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755" yWindow="420" windowWidth="20370" windowHeight="5520" tabRatio="972" activeTab="8"/>
  </bookViews>
  <sheets>
    <sheet name="Tabela nr 6" sheetId="1" r:id="rId1"/>
    <sheet name="Tab. 6A -Drogi" sheetId="2" r:id="rId2"/>
    <sheet name="Tab. 6B Polit społ i rozwój prz" sheetId="3" r:id="rId3"/>
    <sheet name="Tab. 6C - Ochrona zdrowia" sheetId="4" r:id="rId4"/>
    <sheet name="Tab. 6D - Oświata" sheetId="5" r:id="rId5"/>
    <sheet name="Tab. 6E - Administracja" sheetId="6" r:id="rId6"/>
    <sheet name="Tab. 6F - Kultura" sheetId="7" r:id="rId7"/>
    <sheet name="Tab. 6G - Roln i ochrona środ." sheetId="8" r:id="rId8"/>
    <sheet name="Tab. 6H - Kultura fiz. i turyst" sheetId="9" r:id="rId9"/>
    <sheet name="Tab.6I - Planow. przestrz." sheetId="13" r:id="rId10"/>
    <sheet name="Arkusz1" sheetId="15" r:id="rId11"/>
  </sheets>
  <externalReferences>
    <externalReference r:id="rId12"/>
    <externalReference r:id="rId13"/>
    <externalReference r:id="rId14"/>
    <externalReference r:id="rId15"/>
  </externalReferences>
  <definedNames>
    <definedName name="_xlnm._FilterDatabase" localSheetId="1" hidden="1">'Tab. 6A -Drogi'!$A$11:$EA$529</definedName>
    <definedName name="_xlnm._FilterDatabase" localSheetId="2" hidden="1">'Tab. 6B Polit społ i rozwój prz'!#REF!</definedName>
    <definedName name="_xlnm._FilterDatabase" localSheetId="7" hidden="1">'Tab. 6G - Roln i ochrona środ.'!$A$4:$O$56</definedName>
    <definedName name="_xlnm.Print_Area" localSheetId="1">'Tab. 6A -Drogi'!$A$1:$O$659</definedName>
    <definedName name="_xlnm.Print_Area" localSheetId="2">'Tab. 6B Polit społ i rozwój prz'!$A$1:$O$281</definedName>
    <definedName name="_xlnm.Print_Area" localSheetId="3">'Tab. 6C - Ochrona zdrowia'!$A$1:$O$105</definedName>
    <definedName name="_xlnm.Print_Area" localSheetId="4">'Tab. 6D - Oświata'!$A$1:$O$97</definedName>
    <definedName name="_xlnm.Print_Area" localSheetId="5">'Tab. 6E - Administracja'!$A$1:$O$266</definedName>
    <definedName name="_xlnm.Print_Area" localSheetId="6">'Tab. 6F - Kultura'!$A$1:$O$176</definedName>
    <definedName name="_xlnm.Print_Area" localSheetId="7">'Tab. 6G - Roln i ochrona środ.'!$A$1:$O$140</definedName>
    <definedName name="_xlnm.Print_Area" localSheetId="8">'Tab. 6H - Kultura fiz. i turyst'!$A$1:$O$274</definedName>
    <definedName name="_xlnm.Print_Area" localSheetId="9">'Tab.6I - Planow. przestrz.'!$A$1:$O$116</definedName>
    <definedName name="_xlnm.Print_Area" localSheetId="0">'Tabela nr 6'!$A$1:$L$93</definedName>
    <definedName name="_xlnm.Print_Titles" localSheetId="1">'Tab. 6A -Drogi'!$5:$7</definedName>
    <definedName name="_xlnm.Print_Titles" localSheetId="2">'Tab. 6B Polit społ i rozwój prz'!$4:$6</definedName>
    <definedName name="_xlnm.Print_Titles" localSheetId="3">'Tab. 6C - Ochrona zdrowia'!$47:$50</definedName>
    <definedName name="_xlnm.Print_Titles" localSheetId="4">'Tab. 6D - Oświata'!$6:$9</definedName>
    <definedName name="_xlnm.Print_Titles" localSheetId="5">'Tab. 6E - Administracja'!$6:$8</definedName>
    <definedName name="_xlnm.Print_Titles" localSheetId="6">'Tab. 6F - Kultura'!$4:$6</definedName>
    <definedName name="_xlnm.Print_Titles" localSheetId="7">'Tab. 6G - Roln i ochrona środ.'!$5:$7</definedName>
    <definedName name="_xlnm.Print_Titles" localSheetId="8">'Tab. 6H - Kultura fiz. i turyst'!$4:$6</definedName>
    <definedName name="_xlnm.Print_Titles" localSheetId="9">'Tab.6I - Planow. przestrz.'!$5:$7</definedName>
  </definedNames>
  <calcPr calcId="125725"/>
</workbook>
</file>

<file path=xl/calcChain.xml><?xml version="1.0" encoding="utf-8"?>
<calcChain xmlns="http://schemas.openxmlformats.org/spreadsheetml/2006/main">
  <c r="E19" i="13"/>
  <c r="F19"/>
  <c r="G19"/>
  <c r="H19"/>
  <c r="I19"/>
  <c r="J19"/>
  <c r="K19"/>
  <c r="L19"/>
  <c r="E103"/>
  <c r="H103"/>
  <c r="I103"/>
  <c r="J103"/>
  <c r="K103"/>
  <c r="L103"/>
  <c r="N75"/>
  <c r="N76"/>
  <c r="N77"/>
  <c r="N79"/>
  <c r="E25" l="1"/>
  <c r="K25"/>
  <c r="L25"/>
  <c r="J18"/>
  <c r="K18"/>
  <c r="L18"/>
  <c r="E78"/>
  <c r="F78"/>
  <c r="G78"/>
  <c r="H78"/>
  <c r="I78"/>
  <c r="J78"/>
  <c r="K78"/>
  <c r="L78"/>
  <c r="E22"/>
  <c r="F22"/>
  <c r="G22"/>
  <c r="H22"/>
  <c r="I22"/>
  <c r="J22"/>
  <c r="K22"/>
  <c r="L22"/>
  <c r="E15"/>
  <c r="F15"/>
  <c r="G15"/>
  <c r="H15"/>
  <c r="I15"/>
  <c r="J15"/>
  <c r="K15"/>
  <c r="L15"/>
  <c r="E13"/>
  <c r="I13"/>
  <c r="J13"/>
  <c r="K13"/>
  <c r="L13"/>
  <c r="N15" l="1"/>
  <c r="E93"/>
  <c r="E92" s="1"/>
  <c r="F93"/>
  <c r="F92" s="1"/>
  <c r="G93"/>
  <c r="G92" s="1"/>
  <c r="H93"/>
  <c r="H92" s="1"/>
  <c r="I93"/>
  <c r="I92" s="1"/>
  <c r="J93"/>
  <c r="J92" s="1"/>
  <c r="K93"/>
  <c r="K92" s="1"/>
  <c r="L93"/>
  <c r="L92" s="1"/>
  <c r="H81"/>
  <c r="M79"/>
  <c r="M78" s="1"/>
  <c r="D89"/>
  <c r="G88"/>
  <c r="N88" s="1"/>
  <c r="N87" s="1"/>
  <c r="D76"/>
  <c r="L87"/>
  <c r="L86" s="1"/>
  <c r="K87"/>
  <c r="K86" s="1"/>
  <c r="J87"/>
  <c r="J86" s="1"/>
  <c r="I87"/>
  <c r="I86" s="1"/>
  <c r="G87"/>
  <c r="G86" s="1"/>
  <c r="F87"/>
  <c r="F86" s="1"/>
  <c r="E87"/>
  <c r="E86" s="1"/>
  <c r="E83"/>
  <c r="F83"/>
  <c r="G83"/>
  <c r="H83"/>
  <c r="I83"/>
  <c r="J83"/>
  <c r="K83"/>
  <c r="L83"/>
  <c r="E81"/>
  <c r="E80" s="1"/>
  <c r="F81"/>
  <c r="G81"/>
  <c r="G80" s="1"/>
  <c r="I81"/>
  <c r="J81"/>
  <c r="K81"/>
  <c r="K80" s="1"/>
  <c r="K120" s="1"/>
  <c r="L81"/>
  <c r="E75"/>
  <c r="F75"/>
  <c r="G75"/>
  <c r="H75"/>
  <c r="I75"/>
  <c r="J75"/>
  <c r="K75"/>
  <c r="L75"/>
  <c r="D96"/>
  <c r="D94"/>
  <c r="D91"/>
  <c r="D84"/>
  <c r="D83" s="1"/>
  <c r="D82"/>
  <c r="D81" s="1"/>
  <c r="D79"/>
  <c r="D78" s="1"/>
  <c r="N91"/>
  <c r="N90" s="1"/>
  <c r="M91"/>
  <c r="M90" s="1"/>
  <c r="M87"/>
  <c r="L80" l="1"/>
  <c r="L120" s="1"/>
  <c r="K74"/>
  <c r="G74"/>
  <c r="L74"/>
  <c r="H74"/>
  <c r="I80"/>
  <c r="I120" s="1"/>
  <c r="J74"/>
  <c r="F74"/>
  <c r="I74"/>
  <c r="E74"/>
  <c r="H80"/>
  <c r="H120" s="1"/>
  <c r="D80"/>
  <c r="D90"/>
  <c r="D95"/>
  <c r="D93"/>
  <c r="D22"/>
  <c r="N89"/>
  <c r="D77"/>
  <c r="D88"/>
  <c r="H87"/>
  <c r="H86" s="1"/>
  <c r="J80"/>
  <c r="J120" s="1"/>
  <c r="F80"/>
  <c r="F120" s="1"/>
  <c r="N86"/>
  <c r="M86"/>
  <c r="N68" i="7"/>
  <c r="D92" i="13" l="1"/>
  <c r="D75"/>
  <c r="D74" s="1"/>
  <c r="D15"/>
  <c r="P77"/>
  <c r="D87"/>
  <c r="D86" s="1"/>
  <c r="P76"/>
  <c r="U109" i="4"/>
  <c r="T109"/>
  <c r="S109"/>
  <c r="R109"/>
  <c r="Q109"/>
  <c r="P109"/>
  <c r="O109"/>
  <c r="N109"/>
  <c r="K114"/>
  <c r="L114"/>
  <c r="K113"/>
  <c r="L113"/>
  <c r="J8"/>
  <c r="I8"/>
  <c r="H8"/>
  <c r="G8"/>
  <c r="F32"/>
  <c r="E32"/>
  <c r="F30"/>
  <c r="E30"/>
  <c r="F44"/>
  <c r="E44"/>
  <c r="F42"/>
  <c r="E42"/>
  <c r="K115" l="1"/>
  <c r="L115"/>
  <c r="E41"/>
  <c r="E113" s="1"/>
  <c r="E115" s="1"/>
  <c r="E29"/>
  <c r="E114" s="1"/>
  <c r="F41"/>
  <c r="F113" s="1"/>
  <c r="F29"/>
  <c r="F114" s="1"/>
  <c r="J11"/>
  <c r="I11"/>
  <c r="H11"/>
  <c r="G11"/>
  <c r="H13"/>
  <c r="I13"/>
  <c r="J13"/>
  <c r="G13"/>
  <c r="H15"/>
  <c r="I15"/>
  <c r="J15"/>
  <c r="G15"/>
  <c r="H18"/>
  <c r="I18"/>
  <c r="J18"/>
  <c r="G18"/>
  <c r="H20"/>
  <c r="I20"/>
  <c r="J20"/>
  <c r="G20"/>
  <c r="F115" l="1"/>
  <c r="H36"/>
  <c r="I36"/>
  <c r="J36"/>
  <c r="G36"/>
  <c r="H206" i="2"/>
  <c r="H205" s="1"/>
  <c r="D45" i="4" l="1"/>
  <c r="D44" s="1"/>
  <c r="J44"/>
  <c r="I44"/>
  <c r="H44"/>
  <c r="G44"/>
  <c r="D43"/>
  <c r="J42"/>
  <c r="I42"/>
  <c r="H42"/>
  <c r="G42"/>
  <c r="N40"/>
  <c r="N39" s="1"/>
  <c r="D40"/>
  <c r="D39" s="1"/>
  <c r="J39"/>
  <c r="J35" s="1"/>
  <c r="J7" s="1"/>
  <c r="I39"/>
  <c r="I35" s="1"/>
  <c r="I7" s="1"/>
  <c r="H39"/>
  <c r="H35" s="1"/>
  <c r="H7" s="1"/>
  <c r="G39"/>
  <c r="N38"/>
  <c r="M38"/>
  <c r="M36" s="1"/>
  <c r="M35" s="1"/>
  <c r="D38"/>
  <c r="N37"/>
  <c r="D37"/>
  <c r="G335" i="2"/>
  <c r="G330"/>
  <c r="G329"/>
  <c r="N36" i="4" l="1"/>
  <c r="I41"/>
  <c r="I113" s="1"/>
  <c r="N35"/>
  <c r="D42"/>
  <c r="D41" s="1"/>
  <c r="D113" s="1"/>
  <c r="D36"/>
  <c r="D35" s="1"/>
  <c r="D7" s="1"/>
  <c r="G41"/>
  <c r="G113" s="1"/>
  <c r="H41"/>
  <c r="H113" s="1"/>
  <c r="G35"/>
  <c r="G7" s="1"/>
  <c r="J41"/>
  <c r="J113" s="1"/>
  <c r="E8"/>
  <c r="F8"/>
  <c r="K8"/>
  <c r="L8"/>
  <c r="E11"/>
  <c r="F11"/>
  <c r="K11"/>
  <c r="L11"/>
  <c r="E12"/>
  <c r="F12"/>
  <c r="G12"/>
  <c r="H12"/>
  <c r="I12"/>
  <c r="J12"/>
  <c r="K12"/>
  <c r="L12"/>
  <c r="E13"/>
  <c r="F13"/>
  <c r="K13"/>
  <c r="L13"/>
  <c r="E15"/>
  <c r="E14" s="1"/>
  <c r="F15"/>
  <c r="F14" s="1"/>
  <c r="G14"/>
  <c r="H14"/>
  <c r="I14"/>
  <c r="J14"/>
  <c r="K15"/>
  <c r="K14" s="1"/>
  <c r="L15"/>
  <c r="L14" s="1"/>
  <c r="E18"/>
  <c r="E17" s="1"/>
  <c r="F18"/>
  <c r="F17" s="1"/>
  <c r="G17"/>
  <c r="H17"/>
  <c r="I17"/>
  <c r="J17"/>
  <c r="K18"/>
  <c r="K17" s="1"/>
  <c r="L18"/>
  <c r="L17" s="1"/>
  <c r="E20"/>
  <c r="E19" s="1"/>
  <c r="F20"/>
  <c r="F19" s="1"/>
  <c r="G19"/>
  <c r="H19"/>
  <c r="I19"/>
  <c r="J19"/>
  <c r="K20"/>
  <c r="K19" s="1"/>
  <c r="L20"/>
  <c r="L19" s="1"/>
  <c r="D33"/>
  <c r="Q32" s="1"/>
  <c r="J32"/>
  <c r="I32"/>
  <c r="H32"/>
  <c r="G32"/>
  <c r="D31"/>
  <c r="D30" s="1"/>
  <c r="J30"/>
  <c r="I30"/>
  <c r="H30"/>
  <c r="G30"/>
  <c r="N28"/>
  <c r="N27" s="1"/>
  <c r="D28"/>
  <c r="J27"/>
  <c r="I27"/>
  <c r="H27"/>
  <c r="G27"/>
  <c r="N26"/>
  <c r="M26"/>
  <c r="D26"/>
  <c r="D25"/>
  <c r="D12" s="1"/>
  <c r="N24"/>
  <c r="D24"/>
  <c r="J23"/>
  <c r="I23"/>
  <c r="H23"/>
  <c r="G23"/>
  <c r="L7"/>
  <c r="K7"/>
  <c r="F7"/>
  <c r="E7"/>
  <c r="G565" i="2"/>
  <c r="G595"/>
  <c r="D8" i="4" l="1"/>
  <c r="D6" s="1"/>
  <c r="D13"/>
  <c r="Q31"/>
  <c r="Q33" s="1"/>
  <c r="N23"/>
  <c r="N22" s="1"/>
  <c r="J22"/>
  <c r="H22"/>
  <c r="I22"/>
  <c r="D27"/>
  <c r="D15"/>
  <c r="D14" s="1"/>
  <c r="D32"/>
  <c r="D29" s="1"/>
  <c r="D114" s="1"/>
  <c r="D115" s="1"/>
  <c r="D20"/>
  <c r="D19" s="1"/>
  <c r="D18"/>
  <c r="D11"/>
  <c r="M23"/>
  <c r="M22" s="1"/>
  <c r="H16"/>
  <c r="K16"/>
  <c r="K116" s="1"/>
  <c r="G16"/>
  <c r="I10"/>
  <c r="E10"/>
  <c r="N8"/>
  <c r="L16"/>
  <c r="L116" s="1"/>
  <c r="J10"/>
  <c r="F10"/>
  <c r="K10"/>
  <c r="G10"/>
  <c r="L10"/>
  <c r="H10"/>
  <c r="F16"/>
  <c r="F116" s="1"/>
  <c r="J16"/>
  <c r="I16"/>
  <c r="E16"/>
  <c r="E116" s="1"/>
  <c r="D17"/>
  <c r="H29"/>
  <c r="H114" s="1"/>
  <c r="H115" s="1"/>
  <c r="G29"/>
  <c r="G114" s="1"/>
  <c r="G115" s="1"/>
  <c r="I29"/>
  <c r="I114" s="1"/>
  <c r="I115" s="1"/>
  <c r="G22"/>
  <c r="J29"/>
  <c r="J114" s="1"/>
  <c r="J115" s="1"/>
  <c r="J116" s="1"/>
  <c r="D23"/>
  <c r="M11"/>
  <c r="M7"/>
  <c r="M12"/>
  <c r="N13"/>
  <c r="N12"/>
  <c r="M13"/>
  <c r="N7"/>
  <c r="N11"/>
  <c r="I53"/>
  <c r="J53"/>
  <c r="H53"/>
  <c r="I100"/>
  <c r="I99" s="1"/>
  <c r="J100"/>
  <c r="J99" s="1"/>
  <c r="H100"/>
  <c r="H99" s="1"/>
  <c r="N101"/>
  <c r="N53" s="1"/>
  <c r="D101"/>
  <c r="D53" s="1"/>
  <c r="G261" i="3"/>
  <c r="G256"/>
  <c r="G250"/>
  <c r="G243"/>
  <c r="Q92" i="4"/>
  <c r="D10" l="1"/>
  <c r="I116"/>
  <c r="H116"/>
  <c r="G116"/>
  <c r="D22"/>
  <c r="D16"/>
  <c r="D116" s="1"/>
  <c r="N15"/>
  <c r="N14" s="1"/>
  <c r="M15"/>
  <c r="M14" s="1"/>
  <c r="E9"/>
  <c r="H9"/>
  <c r="I9"/>
  <c r="F9"/>
  <c r="D9"/>
  <c r="M10"/>
  <c r="J9"/>
  <c r="G9"/>
  <c r="L9"/>
  <c r="N10"/>
  <c r="K9"/>
  <c r="N100"/>
  <c r="N99" s="1"/>
  <c r="D100"/>
  <c r="D99" s="1"/>
  <c r="L97"/>
  <c r="K97"/>
  <c r="J97"/>
  <c r="I97"/>
  <c r="H97"/>
  <c r="H109" s="1"/>
  <c r="J56" l="1"/>
  <c r="J109"/>
  <c r="I56"/>
  <c r="I109"/>
  <c r="H56"/>
  <c r="P88"/>
  <c r="M9"/>
  <c r="N9"/>
  <c r="G87"/>
  <c r="G92"/>
  <c r="G97"/>
  <c r="D97" s="1"/>
  <c r="G109" l="1"/>
  <c r="M97"/>
  <c r="N97"/>
  <c r="G108" i="6"/>
  <c r="G100"/>
  <c r="G110"/>
  <c r="G136" l="1"/>
  <c r="G127"/>
  <c r="H117"/>
  <c r="G117"/>
  <c r="I117"/>
  <c r="I110"/>
  <c r="I100"/>
  <c r="F110" l="1"/>
  <c r="F100"/>
  <c r="E117"/>
  <c r="E110"/>
  <c r="E100"/>
  <c r="H76" i="8" l="1"/>
  <c r="H73"/>
  <c r="H71"/>
  <c r="G76"/>
  <c r="G73"/>
  <c r="G71"/>
  <c r="H85"/>
  <c r="G85"/>
  <c r="H82"/>
  <c r="G82"/>
  <c r="H80"/>
  <c r="G80"/>
  <c r="N92" i="9"/>
  <c r="D92"/>
  <c r="N91"/>
  <c r="D91"/>
  <c r="L90"/>
  <c r="K90"/>
  <c r="J90"/>
  <c r="I90"/>
  <c r="H90"/>
  <c r="G90"/>
  <c r="F90"/>
  <c r="F89" s="1"/>
  <c r="E90"/>
  <c r="E89" s="1"/>
  <c r="N88"/>
  <c r="D88"/>
  <c r="N87"/>
  <c r="D87"/>
  <c r="L86"/>
  <c r="K86"/>
  <c r="J86"/>
  <c r="I86"/>
  <c r="I85" s="1"/>
  <c r="H86"/>
  <c r="H85" s="1"/>
  <c r="G86"/>
  <c r="G85" s="1"/>
  <c r="F86"/>
  <c r="F85" s="1"/>
  <c r="E86"/>
  <c r="E85" s="1"/>
  <c r="N79"/>
  <c r="N78"/>
  <c r="N75"/>
  <c r="N74"/>
  <c r="D79"/>
  <c r="D78"/>
  <c r="L77"/>
  <c r="K77"/>
  <c r="J77"/>
  <c r="I77"/>
  <c r="H77"/>
  <c r="G77"/>
  <c r="F77"/>
  <c r="E77"/>
  <c r="E73"/>
  <c r="F73"/>
  <c r="D75"/>
  <c r="D74"/>
  <c r="H73"/>
  <c r="I73"/>
  <c r="J73"/>
  <c r="J72" s="1"/>
  <c r="K73"/>
  <c r="K72" s="1"/>
  <c r="L73"/>
  <c r="L72" s="1"/>
  <c r="G73"/>
  <c r="F95"/>
  <c r="D95" s="1"/>
  <c r="D94" s="1"/>
  <c r="D93" s="1"/>
  <c r="L94"/>
  <c r="K94"/>
  <c r="J94"/>
  <c r="I94"/>
  <c r="H94"/>
  <c r="G94"/>
  <c r="E94"/>
  <c r="E93" s="1"/>
  <c r="E9" i="7"/>
  <c r="I9"/>
  <c r="J9"/>
  <c r="L9"/>
  <c r="J13"/>
  <c r="J8"/>
  <c r="J70"/>
  <c r="E522" i="2"/>
  <c r="J522"/>
  <c r="K522"/>
  <c r="L522"/>
  <c r="H670"/>
  <c r="I670"/>
  <c r="J670"/>
  <c r="K670"/>
  <c r="L670"/>
  <c r="K93" i="9" l="1"/>
  <c r="J93"/>
  <c r="L93"/>
  <c r="F94"/>
  <c r="F93" s="1"/>
  <c r="J89"/>
  <c r="J84" s="1"/>
  <c r="I93"/>
  <c r="H89"/>
  <c r="H84" s="1"/>
  <c r="L89"/>
  <c r="L84" s="1"/>
  <c r="K89"/>
  <c r="K84" s="1"/>
  <c r="H93"/>
  <c r="G93"/>
  <c r="J7" i="7"/>
  <c r="F84" i="9"/>
  <c r="D90"/>
  <c r="D89" s="1"/>
  <c r="N90"/>
  <c r="N89" s="1"/>
  <c r="D86"/>
  <c r="D85" s="1"/>
  <c r="G89"/>
  <c r="G84" s="1"/>
  <c r="M90"/>
  <c r="M89" s="1"/>
  <c r="I89"/>
  <c r="I84" s="1"/>
  <c r="E84"/>
  <c r="N86"/>
  <c r="N85" s="1"/>
  <c r="M86"/>
  <c r="M85" s="1"/>
  <c r="D77"/>
  <c r="D73"/>
  <c r="H69"/>
  <c r="G69"/>
  <c r="G60"/>
  <c r="G58"/>
  <c r="P58" s="1"/>
  <c r="G55"/>
  <c r="G53"/>
  <c r="G52"/>
  <c r="H48"/>
  <c r="G48"/>
  <c r="G46"/>
  <c r="P46" s="1"/>
  <c r="G43"/>
  <c r="G41"/>
  <c r="G40"/>
  <c r="H36"/>
  <c r="G36"/>
  <c r="G34"/>
  <c r="P34" s="1"/>
  <c r="G31"/>
  <c r="G29"/>
  <c r="G28"/>
  <c r="H298" i="2"/>
  <c r="H295" s="1"/>
  <c r="G299"/>
  <c r="G294"/>
  <c r="G291"/>
  <c r="H202"/>
  <c r="H199" s="1"/>
  <c r="I202"/>
  <c r="I199" s="1"/>
  <c r="J202"/>
  <c r="J199" s="1"/>
  <c r="H194"/>
  <c r="I194"/>
  <c r="J194"/>
  <c r="H197"/>
  <c r="I197"/>
  <c r="J197"/>
  <c r="H377"/>
  <c r="G377"/>
  <c r="H374"/>
  <c r="G374"/>
  <c r="H370"/>
  <c r="G370"/>
  <c r="G367"/>
  <c r="F367"/>
  <c r="G365"/>
  <c r="F365"/>
  <c r="I254"/>
  <c r="I257"/>
  <c r="I262"/>
  <c r="H263"/>
  <c r="G263"/>
  <c r="H258"/>
  <c r="G258"/>
  <c r="H255"/>
  <c r="G255"/>
  <c r="H174" i="7"/>
  <c r="H176"/>
  <c r="G176"/>
  <c r="H169"/>
  <c r="H190" i="2"/>
  <c r="G191"/>
  <c r="G186"/>
  <c r="G183"/>
  <c r="H275"/>
  <c r="G275"/>
  <c r="H287"/>
  <c r="G287"/>
  <c r="H227"/>
  <c r="G227"/>
  <c r="H222"/>
  <c r="G222"/>
  <c r="F222"/>
  <c r="E220"/>
  <c r="H219"/>
  <c r="G219"/>
  <c r="F219"/>
  <c r="E219"/>
  <c r="H212"/>
  <c r="H214"/>
  <c r="G215"/>
  <c r="G251"/>
  <c r="G246"/>
  <c r="G243"/>
  <c r="G239"/>
  <c r="G237"/>
  <c r="G234"/>
  <c r="G232"/>
  <c r="G231"/>
  <c r="G179"/>
  <c r="G177"/>
  <c r="G174"/>
  <c r="G172"/>
  <c r="G171"/>
  <c r="G82"/>
  <c r="G126" i="7"/>
  <c r="F126"/>
  <c r="G121"/>
  <c r="F121"/>
  <c r="G118"/>
  <c r="I30"/>
  <c r="I29" s="1"/>
  <c r="G31"/>
  <c r="G26"/>
  <c r="E8"/>
  <c r="K8"/>
  <c r="L8"/>
  <c r="D88"/>
  <c r="D87" s="1"/>
  <c r="D84" s="1"/>
  <c r="D83"/>
  <c r="D82" s="1"/>
  <c r="D81"/>
  <c r="D80"/>
  <c r="D76"/>
  <c r="D75" s="1"/>
  <c r="D72" s="1"/>
  <c r="D71"/>
  <c r="D70" s="1"/>
  <c r="D69"/>
  <c r="D68"/>
  <c r="J73"/>
  <c r="J75"/>
  <c r="J67"/>
  <c r="J66" s="1"/>
  <c r="H113" i="9"/>
  <c r="I113"/>
  <c r="J113"/>
  <c r="K113"/>
  <c r="L113"/>
  <c r="G116"/>
  <c r="G114"/>
  <c r="F114"/>
  <c r="G111"/>
  <c r="G109"/>
  <c r="G108"/>
  <c r="F111"/>
  <c r="F108"/>
  <c r="E111"/>
  <c r="E16" s="1"/>
  <c r="E108"/>
  <c r="E12" s="1"/>
  <c r="F109"/>
  <c r="H187" i="2" l="1"/>
  <c r="I259"/>
  <c r="J72" i="7"/>
  <c r="D67"/>
  <c r="D66" s="1"/>
  <c r="D79"/>
  <c r="D78" s="1"/>
  <c r="I253" i="2"/>
  <c r="I193"/>
  <c r="H193"/>
  <c r="J193"/>
  <c r="D84" i="9"/>
  <c r="N84"/>
  <c r="M84"/>
  <c r="H211" i="2"/>
  <c r="E93" i="5"/>
  <c r="E92" s="1"/>
  <c r="E91" s="1"/>
  <c r="F93"/>
  <c r="F92" s="1"/>
  <c r="F91" s="1"/>
  <c r="G93"/>
  <c r="G92" s="1"/>
  <c r="G91" s="1"/>
  <c r="H93"/>
  <c r="H92" s="1"/>
  <c r="H91" s="1"/>
  <c r="I93"/>
  <c r="I92" s="1"/>
  <c r="I91" s="1"/>
  <c r="J93"/>
  <c r="J92" s="1"/>
  <c r="J91" s="1"/>
  <c r="K93"/>
  <c r="K92" s="1"/>
  <c r="K91" s="1"/>
  <c r="L93"/>
  <c r="L92" s="1"/>
  <c r="L91" s="1"/>
  <c r="G96"/>
  <c r="G95" s="1"/>
  <c r="G89" s="1"/>
  <c r="M97"/>
  <c r="M96" s="1"/>
  <c r="M95" s="1"/>
  <c r="D97"/>
  <c r="D96" s="1"/>
  <c r="D95" s="1"/>
  <c r="D89" s="1"/>
  <c r="L96"/>
  <c r="L95" s="1"/>
  <c r="L89" s="1"/>
  <c r="K96"/>
  <c r="K95" s="1"/>
  <c r="K89" s="1"/>
  <c r="J96"/>
  <c r="J95" s="1"/>
  <c r="J89" s="1"/>
  <c r="J88" s="1"/>
  <c r="I96"/>
  <c r="I95" s="1"/>
  <c r="I89" s="1"/>
  <c r="H96"/>
  <c r="H95" s="1"/>
  <c r="H89" s="1"/>
  <c r="F96"/>
  <c r="F95" s="1"/>
  <c r="F89" s="1"/>
  <c r="E96"/>
  <c r="E95" s="1"/>
  <c r="E89" s="1"/>
  <c r="M91"/>
  <c r="G252" i="3"/>
  <c r="G247"/>
  <c r="G263"/>
  <c r="G258"/>
  <c r="G186"/>
  <c r="G184"/>
  <c r="G181"/>
  <c r="G179"/>
  <c r="G178"/>
  <c r="H174"/>
  <c r="G174"/>
  <c r="H172"/>
  <c r="G172"/>
  <c r="H169"/>
  <c r="G169"/>
  <c r="H165"/>
  <c r="G165"/>
  <c r="H162"/>
  <c r="G162"/>
  <c r="L88" i="5" l="1"/>
  <c r="K88"/>
  <c r="I88"/>
  <c r="H88"/>
  <c r="G88"/>
  <c r="D88"/>
  <c r="F88"/>
  <c r="E88"/>
  <c r="D93"/>
  <c r="D92" s="1"/>
  <c r="D91" s="1"/>
  <c r="N97"/>
  <c r="N96" s="1"/>
  <c r="N95" s="1"/>
  <c r="M92" s="1"/>
  <c r="N93"/>
  <c r="N92" s="1"/>
  <c r="N91" s="1"/>
  <c r="E140" i="6"/>
  <c r="E176"/>
  <c r="E183"/>
  <c r="E152" s="1"/>
  <c r="I172"/>
  <c r="H172"/>
  <c r="G172"/>
  <c r="F172"/>
  <c r="H176"/>
  <c r="G176"/>
  <c r="F176"/>
  <c r="H177"/>
  <c r="G177"/>
  <c r="I183"/>
  <c r="H183"/>
  <c r="G183"/>
  <c r="H184"/>
  <c r="G184"/>
  <c r="I199"/>
  <c r="H199"/>
  <c r="G199"/>
  <c r="I204"/>
  <c r="H204"/>
  <c r="I211"/>
  <c r="H211"/>
  <c r="G636" i="2" l="1"/>
  <c r="G644"/>
  <c r="G645"/>
  <c r="G648"/>
  <c r="D655" l="1"/>
  <c r="G654"/>
  <c r="G653" s="1"/>
  <c r="D653" s="1"/>
  <c r="H225" i="9"/>
  <c r="G225"/>
  <c r="H220"/>
  <c r="G220"/>
  <c r="H217"/>
  <c r="G217"/>
  <c r="H530" i="2"/>
  <c r="G530"/>
  <c r="H529"/>
  <c r="G529"/>
  <c r="D654" l="1"/>
  <c r="G42" i="3"/>
  <c r="I42" l="1"/>
  <c r="H42"/>
  <c r="H35"/>
  <c r="G35"/>
  <c r="G36"/>
  <c r="H29"/>
  <c r="G30"/>
  <c r="G29"/>
  <c r="G596" i="2"/>
  <c r="G592"/>
  <c r="G40" i="7" l="1"/>
  <c r="F40"/>
  <c r="G35"/>
  <c r="E105"/>
  <c r="F105"/>
  <c r="I294" i="2"/>
  <c r="I293" s="1"/>
  <c r="I290"/>
  <c r="H291"/>
  <c r="H270"/>
  <c r="H267"/>
  <c r="E360"/>
  <c r="F360"/>
  <c r="J360"/>
  <c r="K360"/>
  <c r="L360"/>
  <c r="E350"/>
  <c r="J350"/>
  <c r="J349" s="1"/>
  <c r="K350"/>
  <c r="L350"/>
  <c r="E345"/>
  <c r="I345"/>
  <c r="J345"/>
  <c r="K345"/>
  <c r="L345"/>
  <c r="J344"/>
  <c r="K344"/>
  <c r="L344"/>
  <c r="J417"/>
  <c r="J416" s="1"/>
  <c r="I418"/>
  <c r="H418"/>
  <c r="H415"/>
  <c r="G415"/>
  <c r="I414"/>
  <c r="I412"/>
  <c r="H413"/>
  <c r="G413"/>
  <c r="J408"/>
  <c r="J407" s="1"/>
  <c r="I409"/>
  <c r="H409"/>
  <c r="H406"/>
  <c r="I405"/>
  <c r="I403"/>
  <c r="H404"/>
  <c r="G406"/>
  <c r="G404"/>
  <c r="E403"/>
  <c r="I391"/>
  <c r="H391"/>
  <c r="E388"/>
  <c r="H388"/>
  <c r="G388"/>
  <c r="H386"/>
  <c r="G386"/>
  <c r="I381"/>
  <c r="I378" s="1"/>
  <c r="H382"/>
  <c r="G382"/>
  <c r="L343" l="1"/>
  <c r="K349"/>
  <c r="H360"/>
  <c r="L349"/>
  <c r="J343"/>
  <c r="I360"/>
  <c r="I289"/>
  <c r="E349"/>
  <c r="H345"/>
  <c r="K343"/>
  <c r="I411"/>
  <c r="I402"/>
  <c r="E20" i="7"/>
  <c r="F20"/>
  <c r="I20"/>
  <c r="J20"/>
  <c r="K20"/>
  <c r="L20"/>
  <c r="E14"/>
  <c r="F14"/>
  <c r="I14"/>
  <c r="J14"/>
  <c r="K14"/>
  <c r="L14"/>
  <c r="E13"/>
  <c r="L13"/>
  <c r="H12"/>
  <c r="I12"/>
  <c r="J12"/>
  <c r="K12"/>
  <c r="L12"/>
  <c r="H101"/>
  <c r="D102"/>
  <c r="D101" s="1"/>
  <c r="K101"/>
  <c r="J101"/>
  <c r="I101"/>
  <c r="G101"/>
  <c r="F101"/>
  <c r="E101"/>
  <c r="D100"/>
  <c r="G98"/>
  <c r="K98"/>
  <c r="J98"/>
  <c r="I98"/>
  <c r="I97" s="1"/>
  <c r="F98"/>
  <c r="E98"/>
  <c r="D96"/>
  <c r="D95" s="1"/>
  <c r="N95"/>
  <c r="M95"/>
  <c r="K95"/>
  <c r="J95"/>
  <c r="I95"/>
  <c r="H95"/>
  <c r="G95"/>
  <c r="F95"/>
  <c r="E95"/>
  <c r="D94"/>
  <c r="N93"/>
  <c r="N91" s="1"/>
  <c r="N90" s="1"/>
  <c r="M93"/>
  <c r="M91" s="1"/>
  <c r="M90" s="1"/>
  <c r="D92"/>
  <c r="L91"/>
  <c r="K91"/>
  <c r="K90" s="1"/>
  <c r="J91"/>
  <c r="J90" s="1"/>
  <c r="I91"/>
  <c r="I90" s="1"/>
  <c r="F91"/>
  <c r="E91"/>
  <c r="F90" l="1"/>
  <c r="E97"/>
  <c r="F97"/>
  <c r="K97"/>
  <c r="J97"/>
  <c r="E90"/>
  <c r="G97"/>
  <c r="H98"/>
  <c r="H97" s="1"/>
  <c r="D99"/>
  <c r="D98" s="1"/>
  <c r="D97" s="1"/>
  <c r="H91"/>
  <c r="H90" s="1"/>
  <c r="D93"/>
  <c r="D91" s="1"/>
  <c r="D90" s="1"/>
  <c r="G91"/>
  <c r="G90" s="1"/>
  <c r="E23" i="3" l="1"/>
  <c r="J23"/>
  <c r="K23"/>
  <c r="E20"/>
  <c r="F20"/>
  <c r="G20"/>
  <c r="H20"/>
  <c r="I20"/>
  <c r="J20"/>
  <c r="K20"/>
  <c r="L20"/>
  <c r="E14"/>
  <c r="F14"/>
  <c r="G14"/>
  <c r="H14"/>
  <c r="I14"/>
  <c r="J14"/>
  <c r="K14"/>
  <c r="L14"/>
  <c r="E13"/>
  <c r="F13"/>
  <c r="E111"/>
  <c r="F111"/>
  <c r="G111"/>
  <c r="H111"/>
  <c r="I111"/>
  <c r="J111"/>
  <c r="K111"/>
  <c r="L111"/>
  <c r="D114"/>
  <c r="D14" s="1"/>
  <c r="D121"/>
  <c r="D120" s="1"/>
  <c r="L120"/>
  <c r="K120"/>
  <c r="J120"/>
  <c r="I120"/>
  <c r="H120"/>
  <c r="G120"/>
  <c r="F120"/>
  <c r="E120"/>
  <c r="D119"/>
  <c r="D118" s="1"/>
  <c r="L118"/>
  <c r="K118"/>
  <c r="J118"/>
  <c r="I118"/>
  <c r="H118"/>
  <c r="G118"/>
  <c r="F118"/>
  <c r="E118"/>
  <c r="N116"/>
  <c r="N115" s="1"/>
  <c r="M116"/>
  <c r="M115" s="1"/>
  <c r="F115"/>
  <c r="L115"/>
  <c r="K115"/>
  <c r="J115"/>
  <c r="I115"/>
  <c r="H115"/>
  <c r="G115"/>
  <c r="E115"/>
  <c r="N113"/>
  <c r="M113"/>
  <c r="D113"/>
  <c r="N112"/>
  <c r="M112"/>
  <c r="D112"/>
  <c r="M111" l="1"/>
  <c r="M110" s="1"/>
  <c r="J117"/>
  <c r="D111"/>
  <c r="L110"/>
  <c r="H110"/>
  <c r="I110"/>
  <c r="E110"/>
  <c r="J110"/>
  <c r="F110"/>
  <c r="K110"/>
  <c r="G110"/>
  <c r="K117"/>
  <c r="L117"/>
  <c r="H117"/>
  <c r="G117"/>
  <c r="F117"/>
  <c r="N111"/>
  <c r="N110" s="1"/>
  <c r="D116"/>
  <c r="D115" s="1"/>
  <c r="E117"/>
  <c r="I117"/>
  <c r="D117"/>
  <c r="D110" l="1"/>
  <c r="N179" i="9"/>
  <c r="N91" i="8"/>
  <c r="N62"/>
  <c r="N111" i="13"/>
  <c r="G15" i="5"/>
  <c r="G647" i="2" l="1"/>
  <c r="G646" s="1"/>
  <c r="G670" s="1"/>
  <c r="J10"/>
  <c r="K10"/>
  <c r="L10"/>
  <c r="J51"/>
  <c r="K51"/>
  <c r="L51"/>
  <c r="J42"/>
  <c r="K42"/>
  <c r="L42"/>
  <c r="I37"/>
  <c r="J37"/>
  <c r="K37"/>
  <c r="L37"/>
  <c r="L22" i="5" l="1"/>
  <c r="L21" s="1"/>
  <c r="K22"/>
  <c r="K21" s="1"/>
  <c r="J22"/>
  <c r="J21" s="1"/>
  <c r="I22"/>
  <c r="I21" s="1"/>
  <c r="H22"/>
  <c r="H21" s="1"/>
  <c r="G22"/>
  <c r="G21" s="1"/>
  <c r="F22"/>
  <c r="F21" s="1"/>
  <c r="E22"/>
  <c r="E21" s="1"/>
  <c r="L18"/>
  <c r="K18"/>
  <c r="J18"/>
  <c r="I18"/>
  <c r="H18"/>
  <c r="G18"/>
  <c r="F18"/>
  <c r="E18"/>
  <c r="L16"/>
  <c r="K16"/>
  <c r="J16"/>
  <c r="I16"/>
  <c r="H16"/>
  <c r="G16"/>
  <c r="G14" s="1"/>
  <c r="F16"/>
  <c r="E16"/>
  <c r="N81"/>
  <c r="N80" s="1"/>
  <c r="N79"/>
  <c r="N78" s="1"/>
  <c r="L85"/>
  <c r="L24" s="1"/>
  <c r="K85"/>
  <c r="K24" s="1"/>
  <c r="J85"/>
  <c r="I85"/>
  <c r="H85"/>
  <c r="G85"/>
  <c r="F85"/>
  <c r="E85"/>
  <c r="L83"/>
  <c r="L82" s="1"/>
  <c r="K83"/>
  <c r="K82" s="1"/>
  <c r="J83"/>
  <c r="J82" s="1"/>
  <c r="I83"/>
  <c r="I82" s="1"/>
  <c r="H83"/>
  <c r="H82" s="1"/>
  <c r="G83"/>
  <c r="G82" s="1"/>
  <c r="F83"/>
  <c r="E83"/>
  <c r="L80"/>
  <c r="K80"/>
  <c r="J80"/>
  <c r="I80"/>
  <c r="H80"/>
  <c r="G80"/>
  <c r="F80"/>
  <c r="E80"/>
  <c r="L78"/>
  <c r="K78"/>
  <c r="J78"/>
  <c r="I78"/>
  <c r="H78"/>
  <c r="G78"/>
  <c r="F78"/>
  <c r="E78"/>
  <c r="D86"/>
  <c r="D85" s="1"/>
  <c r="D24" s="1"/>
  <c r="D84"/>
  <c r="D83" s="1"/>
  <c r="D81"/>
  <c r="D80" s="1"/>
  <c r="D79"/>
  <c r="M77"/>
  <c r="H13" i="8"/>
  <c r="L102"/>
  <c r="K102"/>
  <c r="J102"/>
  <c r="L99"/>
  <c r="K99"/>
  <c r="J99"/>
  <c r="L97"/>
  <c r="K97"/>
  <c r="J97"/>
  <c r="E50" i="13"/>
  <c r="E29" i="8"/>
  <c r="E18"/>
  <c r="L13"/>
  <c r="K13"/>
  <c r="J13"/>
  <c r="I13"/>
  <c r="E13"/>
  <c r="F103"/>
  <c r="I102"/>
  <c r="H102"/>
  <c r="G102"/>
  <c r="E102"/>
  <c r="I101"/>
  <c r="N100"/>
  <c r="N99" s="1"/>
  <c r="F100"/>
  <c r="I99"/>
  <c r="H99"/>
  <c r="G99"/>
  <c r="F99"/>
  <c r="E99"/>
  <c r="N98"/>
  <c r="N97" s="1"/>
  <c r="F98"/>
  <c r="I97"/>
  <c r="H97"/>
  <c r="G97"/>
  <c r="F97"/>
  <c r="E97"/>
  <c r="I93"/>
  <c r="I92" s="1"/>
  <c r="I90"/>
  <c r="I88"/>
  <c r="F94"/>
  <c r="F93" s="1"/>
  <c r="F92" s="1"/>
  <c r="H93"/>
  <c r="H92" s="1"/>
  <c r="G93"/>
  <c r="G92" s="1"/>
  <c r="E93"/>
  <c r="E92" s="1"/>
  <c r="N90"/>
  <c r="F91"/>
  <c r="H90"/>
  <c r="G90"/>
  <c r="E90"/>
  <c r="N89"/>
  <c r="N88" s="1"/>
  <c r="F89"/>
  <c r="M89" s="1"/>
  <c r="M88" s="1"/>
  <c r="H88"/>
  <c r="G88"/>
  <c r="E88"/>
  <c r="G101" l="1"/>
  <c r="L101"/>
  <c r="E101"/>
  <c r="K101"/>
  <c r="J101"/>
  <c r="D98"/>
  <c r="H101"/>
  <c r="L96"/>
  <c r="E24" i="5"/>
  <c r="G24"/>
  <c r="I24"/>
  <c r="F24"/>
  <c r="H24"/>
  <c r="J24"/>
  <c r="I96" i="8"/>
  <c r="E96"/>
  <c r="J96"/>
  <c r="E87"/>
  <c r="F96"/>
  <c r="H96"/>
  <c r="D103"/>
  <c r="K96"/>
  <c r="D78" i="5"/>
  <c r="D77" s="1"/>
  <c r="D16"/>
  <c r="E77"/>
  <c r="G77"/>
  <c r="I77"/>
  <c r="F88" i="8"/>
  <c r="D91"/>
  <c r="D90" s="1"/>
  <c r="D94"/>
  <c r="D93" s="1"/>
  <c r="D92" s="1"/>
  <c r="G96"/>
  <c r="D100"/>
  <c r="D99" s="1"/>
  <c r="F77" i="5"/>
  <c r="H77"/>
  <c r="J77"/>
  <c r="L77"/>
  <c r="N87" i="8"/>
  <c r="F90"/>
  <c r="H87"/>
  <c r="M91"/>
  <c r="M90" s="1"/>
  <c r="M87" s="1"/>
  <c r="D89"/>
  <c r="D88" s="1"/>
  <c r="I87"/>
  <c r="M98"/>
  <c r="M97" s="1"/>
  <c r="M100"/>
  <c r="M99" s="1"/>
  <c r="D97"/>
  <c r="D22" i="5"/>
  <c r="D21" s="1"/>
  <c r="K77"/>
  <c r="N16"/>
  <c r="N18"/>
  <c r="N77"/>
  <c r="D18"/>
  <c r="F82"/>
  <c r="D82"/>
  <c r="E82"/>
  <c r="D102" i="8"/>
  <c r="D101" s="1"/>
  <c r="N96"/>
  <c r="F102"/>
  <c r="G87"/>
  <c r="E47" i="13"/>
  <c r="E46" s="1"/>
  <c r="F549" i="2"/>
  <c r="E549"/>
  <c r="G159"/>
  <c r="H284"/>
  <c r="H286"/>
  <c r="F286"/>
  <c r="E286"/>
  <c r="D285"/>
  <c r="G284"/>
  <c r="F284"/>
  <c r="E284"/>
  <c r="D284"/>
  <c r="N282"/>
  <c r="N281" s="1"/>
  <c r="M282"/>
  <c r="M281" s="1"/>
  <c r="D282"/>
  <c r="D281" s="1"/>
  <c r="H281"/>
  <c r="G281"/>
  <c r="F281"/>
  <c r="E281"/>
  <c r="N280"/>
  <c r="M280"/>
  <c r="D280"/>
  <c r="N279"/>
  <c r="N278" s="1"/>
  <c r="M279"/>
  <c r="M278" s="1"/>
  <c r="D279"/>
  <c r="H278"/>
  <c r="G278"/>
  <c r="F278"/>
  <c r="E278"/>
  <c r="D96" i="8" l="1"/>
  <c r="F101"/>
  <c r="D87"/>
  <c r="F87"/>
  <c r="M96"/>
  <c r="D287" i="2"/>
  <c r="D286" s="1"/>
  <c r="D283" s="1"/>
  <c r="H277"/>
  <c r="H283"/>
  <c r="G286"/>
  <c r="G283" s="1"/>
  <c r="D278"/>
  <c r="D277" s="1"/>
  <c r="E277"/>
  <c r="G277"/>
  <c r="F283"/>
  <c r="E283"/>
  <c r="M277"/>
  <c r="N277"/>
  <c r="F277"/>
  <c r="F46"/>
  <c r="G46"/>
  <c r="H46"/>
  <c r="I46"/>
  <c r="J46"/>
  <c r="K46"/>
  <c r="L46"/>
  <c r="E46"/>
  <c r="E50"/>
  <c r="F50"/>
  <c r="G50"/>
  <c r="H50"/>
  <c r="I50"/>
  <c r="J50"/>
  <c r="K50"/>
  <c r="L50"/>
  <c r="E39"/>
  <c r="F39"/>
  <c r="G39"/>
  <c r="H39"/>
  <c r="I39"/>
  <c r="J39"/>
  <c r="K39"/>
  <c r="L39"/>
  <c r="G587"/>
  <c r="F55" i="8"/>
  <c r="G55"/>
  <c r="H55"/>
  <c r="H29" s="1"/>
  <c r="I55"/>
  <c r="I29" s="1"/>
  <c r="J55"/>
  <c r="J29" s="1"/>
  <c r="K55"/>
  <c r="K29" s="1"/>
  <c r="L55"/>
  <c r="L29" s="1"/>
  <c r="J145"/>
  <c r="K145"/>
  <c r="L145"/>
  <c r="M145"/>
  <c r="E23"/>
  <c r="E14"/>
  <c r="L59"/>
  <c r="E59"/>
  <c r="F59"/>
  <c r="G59"/>
  <c r="H59"/>
  <c r="I59"/>
  <c r="J59"/>
  <c r="K59"/>
  <c r="N60"/>
  <c r="M283" i="3"/>
  <c r="J280"/>
  <c r="I280"/>
  <c r="L280"/>
  <c r="K280"/>
  <c r="F280"/>
  <c r="E280"/>
  <c r="D279"/>
  <c r="D278" s="1"/>
  <c r="L278"/>
  <c r="K278"/>
  <c r="J278"/>
  <c r="I278"/>
  <c r="H278"/>
  <c r="G278"/>
  <c r="F278"/>
  <c r="E278"/>
  <c r="N276"/>
  <c r="D276"/>
  <c r="N275"/>
  <c r="D275"/>
  <c r="L274"/>
  <c r="K274"/>
  <c r="J274"/>
  <c r="I274"/>
  <c r="H274"/>
  <c r="G274"/>
  <c r="F273"/>
  <c r="E273"/>
  <c r="N272"/>
  <c r="D272"/>
  <c r="N271"/>
  <c r="D271"/>
  <c r="L270"/>
  <c r="K270"/>
  <c r="J270"/>
  <c r="I270"/>
  <c r="H270"/>
  <c r="G270"/>
  <c r="N269"/>
  <c r="D269"/>
  <c r="N268"/>
  <c r="D268"/>
  <c r="L267"/>
  <c r="K267"/>
  <c r="J267"/>
  <c r="I267"/>
  <c r="H267"/>
  <c r="G267"/>
  <c r="F266"/>
  <c r="E266"/>
  <c r="G522" i="2"/>
  <c r="G591"/>
  <c r="L66" i="8"/>
  <c r="K66"/>
  <c r="J66"/>
  <c r="I66"/>
  <c r="H66"/>
  <c r="G66"/>
  <c r="F66"/>
  <c r="E66"/>
  <c r="L64"/>
  <c r="K64"/>
  <c r="J64"/>
  <c r="I64"/>
  <c r="H64"/>
  <c r="G64"/>
  <c r="F64"/>
  <c r="E64"/>
  <c r="L61"/>
  <c r="K61"/>
  <c r="J61"/>
  <c r="I61"/>
  <c r="H61"/>
  <c r="F61"/>
  <c r="E61"/>
  <c r="I273" i="3" l="1"/>
  <c r="K273"/>
  <c r="F265"/>
  <c r="H273"/>
  <c r="J273"/>
  <c r="L273"/>
  <c r="G273"/>
  <c r="K266"/>
  <c r="D55" i="8"/>
  <c r="L277" i="3"/>
  <c r="K277"/>
  <c r="F277"/>
  <c r="E277"/>
  <c r="E265"/>
  <c r="H266"/>
  <c r="L266"/>
  <c r="J277"/>
  <c r="H280"/>
  <c r="I277"/>
  <c r="D274"/>
  <c r="G266"/>
  <c r="J266"/>
  <c r="N270"/>
  <c r="I266"/>
  <c r="D270"/>
  <c r="P271" s="1"/>
  <c r="D267"/>
  <c r="N267"/>
  <c r="N274"/>
  <c r="N273" s="1"/>
  <c r="M267"/>
  <c r="M266" s="1"/>
  <c r="M274"/>
  <c r="M273" s="1"/>
  <c r="D62" i="8"/>
  <c r="D61" s="1"/>
  <c r="F63"/>
  <c r="H58"/>
  <c r="J63"/>
  <c r="M60"/>
  <c r="J58"/>
  <c r="D65"/>
  <c r="G63"/>
  <c r="K63"/>
  <c r="K58"/>
  <c r="L58"/>
  <c r="D67"/>
  <c r="D66" s="1"/>
  <c r="M59"/>
  <c r="N61"/>
  <c r="E63"/>
  <c r="I63"/>
  <c r="E58"/>
  <c r="G61"/>
  <c r="H63"/>
  <c r="L63"/>
  <c r="I58"/>
  <c r="N59"/>
  <c r="M62"/>
  <c r="M61" s="1"/>
  <c r="D60"/>
  <c r="D59" s="1"/>
  <c r="F58"/>
  <c r="H43" i="13"/>
  <c r="H38"/>
  <c r="F38"/>
  <c r="H40"/>
  <c r="F40"/>
  <c r="J43"/>
  <c r="I43"/>
  <c r="F43"/>
  <c r="H29"/>
  <c r="F29"/>
  <c r="H31"/>
  <c r="F31"/>
  <c r="I34"/>
  <c r="H34"/>
  <c r="H25" s="1"/>
  <c r="F34"/>
  <c r="F40" i="5"/>
  <c r="H42"/>
  <c r="F42"/>
  <c r="G47"/>
  <c r="F47"/>
  <c r="F65" i="13"/>
  <c r="D65" s="1"/>
  <c r="F67"/>
  <c r="G70"/>
  <c r="G72"/>
  <c r="J59"/>
  <c r="I59"/>
  <c r="H59"/>
  <c r="G59"/>
  <c r="F59"/>
  <c r="J61"/>
  <c r="I61"/>
  <c r="H61"/>
  <c r="G61"/>
  <c r="F61"/>
  <c r="G56"/>
  <c r="F56"/>
  <c r="E56"/>
  <c r="E53" s="1"/>
  <c r="E18" s="1"/>
  <c r="I55"/>
  <c r="H55"/>
  <c r="G55"/>
  <c r="F55"/>
  <c r="G51"/>
  <c r="F51"/>
  <c r="G50"/>
  <c r="F50"/>
  <c r="I49"/>
  <c r="H49"/>
  <c r="G49"/>
  <c r="F49"/>
  <c r="N56" i="7"/>
  <c r="F13" i="13" l="1"/>
  <c r="J25"/>
  <c r="F25"/>
  <c r="G25"/>
  <c r="I25"/>
  <c r="H13"/>
  <c r="H265" i="3"/>
  <c r="I265"/>
  <c r="J265"/>
  <c r="H277"/>
  <c r="L265"/>
  <c r="K265"/>
  <c r="G265"/>
  <c r="D266"/>
  <c r="D64" i="8"/>
  <c r="D63" s="1"/>
  <c r="D273" i="3"/>
  <c r="D281"/>
  <c r="D280" s="1"/>
  <c r="D277" s="1"/>
  <c r="G280"/>
  <c r="N266"/>
  <c r="N265" s="1"/>
  <c r="M265"/>
  <c r="N58" i="8"/>
  <c r="G58"/>
  <c r="M58"/>
  <c r="D58"/>
  <c r="G277" i="3" l="1"/>
  <c r="D265"/>
  <c r="P273"/>
  <c r="F63" i="6" l="1"/>
  <c r="F62"/>
  <c r="N107" i="7" l="1"/>
  <c r="M86" i="1" l="1"/>
  <c r="D235" i="3"/>
  <c r="M663" i="2"/>
  <c r="J662"/>
  <c r="K662"/>
  <c r="L662"/>
  <c r="M662"/>
  <c r="D263" i="3" l="1"/>
  <c r="D262" s="1"/>
  <c r="L262"/>
  <c r="K262"/>
  <c r="J262"/>
  <c r="I262"/>
  <c r="H262"/>
  <c r="G262"/>
  <c r="F262"/>
  <c r="E262"/>
  <c r="D261"/>
  <c r="D260" s="1"/>
  <c r="L260"/>
  <c r="K260"/>
  <c r="J260"/>
  <c r="I260"/>
  <c r="H260"/>
  <c r="G260"/>
  <c r="F260"/>
  <c r="E260"/>
  <c r="L257"/>
  <c r="K257"/>
  <c r="J257"/>
  <c r="I257"/>
  <c r="H257"/>
  <c r="F257"/>
  <c r="E257"/>
  <c r="L255"/>
  <c r="K255"/>
  <c r="J255"/>
  <c r="I255"/>
  <c r="H255"/>
  <c r="M255"/>
  <c r="F255"/>
  <c r="E255"/>
  <c r="D252"/>
  <c r="D251" s="1"/>
  <c r="L251"/>
  <c r="K251"/>
  <c r="J251"/>
  <c r="I251"/>
  <c r="H251"/>
  <c r="G251"/>
  <c r="F251"/>
  <c r="E251"/>
  <c r="D250"/>
  <c r="D249" s="1"/>
  <c r="L249"/>
  <c r="K249"/>
  <c r="J249"/>
  <c r="I249"/>
  <c r="H249"/>
  <c r="G249"/>
  <c r="F249"/>
  <c r="E249"/>
  <c r="N247"/>
  <c r="D247"/>
  <c r="N246"/>
  <c r="D246"/>
  <c r="L245"/>
  <c r="L244" s="1"/>
  <c r="K245"/>
  <c r="K244" s="1"/>
  <c r="J245"/>
  <c r="J244" s="1"/>
  <c r="I245"/>
  <c r="I244" s="1"/>
  <c r="H245"/>
  <c r="H244" s="1"/>
  <c r="G245"/>
  <c r="G244" s="1"/>
  <c r="F244"/>
  <c r="E244"/>
  <c r="N243"/>
  <c r="D243"/>
  <c r="N242"/>
  <c r="D242"/>
  <c r="L241"/>
  <c r="L240" s="1"/>
  <c r="K241"/>
  <c r="K240" s="1"/>
  <c r="J241"/>
  <c r="J240" s="1"/>
  <c r="I241"/>
  <c r="I240" s="1"/>
  <c r="H241"/>
  <c r="H240" s="1"/>
  <c r="G241"/>
  <c r="M240"/>
  <c r="F240"/>
  <c r="E240"/>
  <c r="D237"/>
  <c r="D236" s="1"/>
  <c r="L236"/>
  <c r="K236"/>
  <c r="J236"/>
  <c r="I236"/>
  <c r="H236"/>
  <c r="G236"/>
  <c r="F236"/>
  <c r="E236"/>
  <c r="L234"/>
  <c r="K234"/>
  <c r="J234"/>
  <c r="I234"/>
  <c r="H234"/>
  <c r="G234"/>
  <c r="F234"/>
  <c r="E234"/>
  <c r="N232"/>
  <c r="D232"/>
  <c r="N231"/>
  <c r="D231"/>
  <c r="L230"/>
  <c r="L229" s="1"/>
  <c r="K230"/>
  <c r="K229" s="1"/>
  <c r="J230"/>
  <c r="J229" s="1"/>
  <c r="I230"/>
  <c r="I229" s="1"/>
  <c r="H230"/>
  <c r="H229" s="1"/>
  <c r="G230"/>
  <c r="F229"/>
  <c r="E229"/>
  <c r="N228"/>
  <c r="D228"/>
  <c r="N227"/>
  <c r="D227"/>
  <c r="L226"/>
  <c r="K226"/>
  <c r="J226"/>
  <c r="I226"/>
  <c r="H226"/>
  <c r="G226"/>
  <c r="N225"/>
  <c r="D225"/>
  <c r="N224"/>
  <c r="D224"/>
  <c r="L223"/>
  <c r="K223"/>
  <c r="J223"/>
  <c r="I223"/>
  <c r="H223"/>
  <c r="G223"/>
  <c r="F222"/>
  <c r="E222"/>
  <c r="E22"/>
  <c r="K22"/>
  <c r="L22"/>
  <c r="E21" i="9"/>
  <c r="F21"/>
  <c r="G21"/>
  <c r="H21"/>
  <c r="I21"/>
  <c r="J21"/>
  <c r="K21"/>
  <c r="L21"/>
  <c r="E14"/>
  <c r="F14"/>
  <c r="G14"/>
  <c r="H14"/>
  <c r="I14"/>
  <c r="J14"/>
  <c r="K14"/>
  <c r="L14"/>
  <c r="D230" i="3" l="1"/>
  <c r="D234"/>
  <c r="D233" s="1"/>
  <c r="H259"/>
  <c r="L259"/>
  <c r="J259"/>
  <c r="E239"/>
  <c r="F233"/>
  <c r="J233"/>
  <c r="F221"/>
  <c r="F248"/>
  <c r="J248"/>
  <c r="E221"/>
  <c r="H233"/>
  <c r="G248"/>
  <c r="K248"/>
  <c r="F254"/>
  <c r="D248"/>
  <c r="H248"/>
  <c r="L248"/>
  <c r="E259"/>
  <c r="I259"/>
  <c r="K222"/>
  <c r="L233"/>
  <c r="G259"/>
  <c r="K259"/>
  <c r="K254"/>
  <c r="F259"/>
  <c r="L222"/>
  <c r="G233"/>
  <c r="K233"/>
  <c r="I239"/>
  <c r="E248"/>
  <c r="E254"/>
  <c r="H254"/>
  <c r="L254"/>
  <c r="F239"/>
  <c r="N256"/>
  <c r="N255" s="1"/>
  <c r="E233"/>
  <c r="I233"/>
  <c r="D241"/>
  <c r="G255"/>
  <c r="D256"/>
  <c r="D255" s="1"/>
  <c r="J254"/>
  <c r="M258"/>
  <c r="M257" s="1"/>
  <c r="M254" s="1"/>
  <c r="I254"/>
  <c r="D259"/>
  <c r="G257"/>
  <c r="D258"/>
  <c r="D257" s="1"/>
  <c r="N258"/>
  <c r="N257" s="1"/>
  <c r="I248"/>
  <c r="K239"/>
  <c r="J239"/>
  <c r="D245"/>
  <c r="D244" s="1"/>
  <c r="P244" s="1"/>
  <c r="H239"/>
  <c r="L239"/>
  <c r="N241"/>
  <c r="N240" s="1"/>
  <c r="N245"/>
  <c r="N244" s="1"/>
  <c r="M245"/>
  <c r="M244" s="1"/>
  <c r="M239" s="1"/>
  <c r="G240"/>
  <c r="J222"/>
  <c r="I222"/>
  <c r="H222"/>
  <c r="M230"/>
  <c r="M229" s="1"/>
  <c r="M223"/>
  <c r="M222" s="1"/>
  <c r="N226"/>
  <c r="D226"/>
  <c r="P226" s="1"/>
  <c r="G222"/>
  <c r="D223"/>
  <c r="N223"/>
  <c r="G229"/>
  <c r="D229"/>
  <c r="P229" s="1"/>
  <c r="N230"/>
  <c r="N229" s="1"/>
  <c r="D112" i="7"/>
  <c r="D111" s="1"/>
  <c r="D114"/>
  <c r="D113" s="1"/>
  <c r="E111"/>
  <c r="E113"/>
  <c r="E108"/>
  <c r="E104" s="1"/>
  <c r="D109"/>
  <c r="D108" s="1"/>
  <c r="D106"/>
  <c r="D107"/>
  <c r="F92" i="6"/>
  <c r="F90"/>
  <c r="F87"/>
  <c r="F85"/>
  <c r="D105" i="7" l="1"/>
  <c r="D104" s="1"/>
  <c r="E110"/>
  <c r="I221" i="3"/>
  <c r="G239"/>
  <c r="H221"/>
  <c r="J221"/>
  <c r="L221"/>
  <c r="K221"/>
  <c r="D110" i="7"/>
  <c r="D240" i="3"/>
  <c r="D239" s="1"/>
  <c r="P241"/>
  <c r="G254"/>
  <c r="D254"/>
  <c r="N254"/>
  <c r="N239"/>
  <c r="G221"/>
  <c r="M221"/>
  <c r="D222"/>
  <c r="D221" s="1"/>
  <c r="N222"/>
  <c r="N221" s="1"/>
  <c r="G400" i="2"/>
  <c r="G397"/>
  <c r="G395"/>
  <c r="H385"/>
  <c r="H387"/>
  <c r="I390"/>
  <c r="I389" s="1"/>
  <c r="G391"/>
  <c r="H376"/>
  <c r="H373"/>
  <c r="H369"/>
  <c r="G360"/>
  <c r="G345"/>
  <c r="F345"/>
  <c r="J61" i="7"/>
  <c r="J63"/>
  <c r="D64"/>
  <c r="D63" s="1"/>
  <c r="D62"/>
  <c r="D61" s="1"/>
  <c r="D59"/>
  <c r="D58" s="1"/>
  <c r="D57"/>
  <c r="D56"/>
  <c r="J58"/>
  <c r="J55"/>
  <c r="F108" i="3"/>
  <c r="F103"/>
  <c r="F100"/>
  <c r="H96"/>
  <c r="H91"/>
  <c r="H88"/>
  <c r="G96"/>
  <c r="G91"/>
  <c r="G88"/>
  <c r="F96"/>
  <c r="F91"/>
  <c r="F88"/>
  <c r="F84"/>
  <c r="F79"/>
  <c r="F76"/>
  <c r="H69"/>
  <c r="I69"/>
  <c r="J69"/>
  <c r="K69"/>
  <c r="L69"/>
  <c r="J71"/>
  <c r="K71"/>
  <c r="L71"/>
  <c r="I72"/>
  <c r="H72"/>
  <c r="G72"/>
  <c r="F72"/>
  <c r="J63"/>
  <c r="K63"/>
  <c r="L63"/>
  <c r="J66"/>
  <c r="K66"/>
  <c r="L66"/>
  <c r="I67"/>
  <c r="H67"/>
  <c r="G67"/>
  <c r="F67"/>
  <c r="I64"/>
  <c r="G64"/>
  <c r="H64"/>
  <c r="F64"/>
  <c r="J49" i="2"/>
  <c r="K49"/>
  <c r="L49"/>
  <c r="I274"/>
  <c r="I269"/>
  <c r="I266"/>
  <c r="D275"/>
  <c r="D274" s="1"/>
  <c r="H274"/>
  <c r="G274"/>
  <c r="F274"/>
  <c r="E274"/>
  <c r="D273"/>
  <c r="G272"/>
  <c r="F272"/>
  <c r="E272"/>
  <c r="E271" s="1"/>
  <c r="D272"/>
  <c r="N270"/>
  <c r="N269" s="1"/>
  <c r="M270"/>
  <c r="M269" s="1"/>
  <c r="D270"/>
  <c r="D269" s="1"/>
  <c r="H269"/>
  <c r="G269"/>
  <c r="F269"/>
  <c r="E269"/>
  <c r="N268"/>
  <c r="M268"/>
  <c r="D268"/>
  <c r="N267"/>
  <c r="N266" s="1"/>
  <c r="M267"/>
  <c r="M266" s="1"/>
  <c r="H266"/>
  <c r="G266"/>
  <c r="F266"/>
  <c r="E266"/>
  <c r="F179"/>
  <c r="F177"/>
  <c r="F174"/>
  <c r="F172"/>
  <c r="F171"/>
  <c r="G213"/>
  <c r="G210"/>
  <c r="G208"/>
  <c r="F215"/>
  <c r="F213"/>
  <c r="F210"/>
  <c r="F208"/>
  <c r="F207"/>
  <c r="H294"/>
  <c r="H290"/>
  <c r="F291"/>
  <c r="H37"/>
  <c r="E225"/>
  <c r="F258"/>
  <c r="F255"/>
  <c r="F183"/>
  <c r="F186"/>
  <c r="F271" l="1"/>
  <c r="H293"/>
  <c r="H289" s="1"/>
  <c r="H42"/>
  <c r="H51"/>
  <c r="H271"/>
  <c r="D55" i="7"/>
  <c r="D54" s="1"/>
  <c r="J60"/>
  <c r="F265" i="2"/>
  <c r="H384"/>
  <c r="E265"/>
  <c r="H265"/>
  <c r="I265"/>
  <c r="I271"/>
  <c r="H372"/>
  <c r="H368"/>
  <c r="G271"/>
  <c r="G265"/>
  <c r="D60" i="7"/>
  <c r="P239" i="3"/>
  <c r="L62"/>
  <c r="J68"/>
  <c r="K68"/>
  <c r="J62"/>
  <c r="L68"/>
  <c r="K62"/>
  <c r="J54" i="7"/>
  <c r="N265" i="2"/>
  <c r="D271"/>
  <c r="M265"/>
  <c r="D267"/>
  <c r="D266" s="1"/>
  <c r="D265" s="1"/>
  <c r="H49" l="1"/>
  <c r="N239" i="9"/>
  <c r="E15"/>
  <c r="E13"/>
  <c r="F13"/>
  <c r="G13"/>
  <c r="H13"/>
  <c r="I13"/>
  <c r="J13"/>
  <c r="K13"/>
  <c r="D220"/>
  <c r="D218"/>
  <c r="D217"/>
  <c r="D225"/>
  <c r="N29"/>
  <c r="N332" i="2"/>
  <c r="N330"/>
  <c r="N329"/>
  <c r="G334"/>
  <c r="E336"/>
  <c r="F336"/>
  <c r="G336"/>
  <c r="E328"/>
  <c r="F328"/>
  <c r="G328"/>
  <c r="E331"/>
  <c r="F331"/>
  <c r="G331"/>
  <c r="G325"/>
  <c r="E40"/>
  <c r="H40"/>
  <c r="J40"/>
  <c r="K40"/>
  <c r="L40"/>
  <c r="E48"/>
  <c r="H48"/>
  <c r="I48"/>
  <c r="J48"/>
  <c r="K48"/>
  <c r="L48"/>
  <c r="G319"/>
  <c r="G315"/>
  <c r="G333" l="1"/>
  <c r="E327"/>
  <c r="E11" i="9"/>
  <c r="G327" i="2"/>
  <c r="F327"/>
  <c r="N328"/>
  <c r="F49" i="8"/>
  <c r="J16" i="3"/>
  <c r="K16"/>
  <c r="L16"/>
  <c r="E19"/>
  <c r="F19"/>
  <c r="G19"/>
  <c r="H19"/>
  <c r="I19"/>
  <c r="J19"/>
  <c r="K19"/>
  <c r="L19"/>
  <c r="K21"/>
  <c r="E207"/>
  <c r="F207"/>
  <c r="D219"/>
  <c r="D218" s="1"/>
  <c r="L218"/>
  <c r="K218"/>
  <c r="J218"/>
  <c r="I218"/>
  <c r="H218"/>
  <c r="G218"/>
  <c r="F218"/>
  <c r="E218"/>
  <c r="D217"/>
  <c r="D216" s="1"/>
  <c r="L216"/>
  <c r="K216"/>
  <c r="J216"/>
  <c r="I216"/>
  <c r="H216"/>
  <c r="G216"/>
  <c r="F216"/>
  <c r="E216"/>
  <c r="N214"/>
  <c r="D214"/>
  <c r="N213"/>
  <c r="D213"/>
  <c r="L212"/>
  <c r="L211" s="1"/>
  <c r="K212"/>
  <c r="K211" s="1"/>
  <c r="J212"/>
  <c r="J211" s="1"/>
  <c r="I212"/>
  <c r="I211" s="1"/>
  <c r="H212"/>
  <c r="H211" s="1"/>
  <c r="G212"/>
  <c r="G211" s="1"/>
  <c r="F211"/>
  <c r="E211"/>
  <c r="N210"/>
  <c r="D210"/>
  <c r="N209"/>
  <c r="D209"/>
  <c r="L208"/>
  <c r="L207" s="1"/>
  <c r="K208"/>
  <c r="K207" s="1"/>
  <c r="J208"/>
  <c r="J207" s="1"/>
  <c r="I208"/>
  <c r="I207" s="1"/>
  <c r="H208"/>
  <c r="H207" s="1"/>
  <c r="G208"/>
  <c r="G207" s="1"/>
  <c r="M284"/>
  <c r="G193"/>
  <c r="H193"/>
  <c r="D191"/>
  <c r="D192"/>
  <c r="D194"/>
  <c r="D195"/>
  <c r="D204"/>
  <c r="D203" s="1"/>
  <c r="L203"/>
  <c r="K203"/>
  <c r="J203"/>
  <c r="I203"/>
  <c r="H203"/>
  <c r="G203"/>
  <c r="F203"/>
  <c r="E203"/>
  <c r="D202"/>
  <c r="D201" s="1"/>
  <c r="L201"/>
  <c r="K201"/>
  <c r="J201"/>
  <c r="I201"/>
  <c r="H201"/>
  <c r="G201"/>
  <c r="F201"/>
  <c r="E201"/>
  <c r="N199"/>
  <c r="D199"/>
  <c r="N198"/>
  <c r="D198"/>
  <c r="L197"/>
  <c r="L196" s="1"/>
  <c r="K197"/>
  <c r="K196" s="1"/>
  <c r="J197"/>
  <c r="J196" s="1"/>
  <c r="I197"/>
  <c r="I196" s="1"/>
  <c r="H197"/>
  <c r="H196" s="1"/>
  <c r="G197"/>
  <c r="G196" s="1"/>
  <c r="F196"/>
  <c r="E196"/>
  <c r="N195"/>
  <c r="N194"/>
  <c r="L193"/>
  <c r="K193"/>
  <c r="J193"/>
  <c r="I193"/>
  <c r="N192"/>
  <c r="N191"/>
  <c r="L190"/>
  <c r="K190"/>
  <c r="J190"/>
  <c r="I190"/>
  <c r="H190"/>
  <c r="G190"/>
  <c r="F189"/>
  <c r="E189"/>
  <c r="F76" i="8"/>
  <c r="F85"/>
  <c r="F82"/>
  <c r="F80"/>
  <c r="F81" i="6"/>
  <c r="F79"/>
  <c r="F76"/>
  <c r="F74"/>
  <c r="F29" i="8" l="1"/>
  <c r="G29"/>
  <c r="F188" i="3"/>
  <c r="E188"/>
  <c r="K200"/>
  <c r="J189"/>
  <c r="G215"/>
  <c r="E21"/>
  <c r="E18" s="1"/>
  <c r="E215"/>
  <c r="E200"/>
  <c r="I200"/>
  <c r="F334" i="2"/>
  <c r="F333" s="1"/>
  <c r="E334"/>
  <c r="E333" s="1"/>
  <c r="L200" i="3"/>
  <c r="G200"/>
  <c r="L215"/>
  <c r="F206"/>
  <c r="K18"/>
  <c r="N208"/>
  <c r="N207" s="1"/>
  <c r="K206"/>
  <c r="D212"/>
  <c r="H215"/>
  <c r="I206"/>
  <c r="I189"/>
  <c r="K189"/>
  <c r="E206"/>
  <c r="D208"/>
  <c r="D207" s="1"/>
  <c r="K215"/>
  <c r="L189"/>
  <c r="L188" s="1"/>
  <c r="F200"/>
  <c r="J200"/>
  <c r="G206"/>
  <c r="F215"/>
  <c r="J215"/>
  <c r="D215"/>
  <c r="I215"/>
  <c r="H206"/>
  <c r="L206"/>
  <c r="J206"/>
  <c r="N212"/>
  <c r="N211" s="1"/>
  <c r="M207"/>
  <c r="M212"/>
  <c r="M211" s="1"/>
  <c r="D197"/>
  <c r="D196" s="1"/>
  <c r="G189"/>
  <c r="D200"/>
  <c r="H200"/>
  <c r="D193"/>
  <c r="D190"/>
  <c r="H189"/>
  <c r="N193"/>
  <c r="N190"/>
  <c r="N197"/>
  <c r="N196" s="1"/>
  <c r="M190"/>
  <c r="M189" s="1"/>
  <c r="M197"/>
  <c r="M196" s="1"/>
  <c r="G72" i="5"/>
  <c r="F72"/>
  <c r="F75"/>
  <c r="I138" i="9"/>
  <c r="H138"/>
  <c r="G138"/>
  <c r="H135"/>
  <c r="H133"/>
  <c r="G135"/>
  <c r="G133"/>
  <c r="F135"/>
  <c r="F133"/>
  <c r="I129"/>
  <c r="H129"/>
  <c r="G129"/>
  <c r="F129"/>
  <c r="F126"/>
  <c r="H125"/>
  <c r="H124" s="1"/>
  <c r="G125"/>
  <c r="G124" s="1"/>
  <c r="F125"/>
  <c r="F122"/>
  <c r="H121"/>
  <c r="H120" s="1"/>
  <c r="G121"/>
  <c r="G120" s="1"/>
  <c r="F121"/>
  <c r="G191"/>
  <c r="G188"/>
  <c r="G186"/>
  <c r="H182"/>
  <c r="G178"/>
  <c r="N178" s="1"/>
  <c r="G174"/>
  <c r="F178"/>
  <c r="F174"/>
  <c r="F173" s="1"/>
  <c r="L136" i="6"/>
  <c r="K136"/>
  <c r="J136"/>
  <c r="I136"/>
  <c r="H136"/>
  <c r="F136"/>
  <c r="H132"/>
  <c r="F130"/>
  <c r="L128"/>
  <c r="K128"/>
  <c r="J128"/>
  <c r="I128"/>
  <c r="H128"/>
  <c r="G128"/>
  <c r="F128"/>
  <c r="H127"/>
  <c r="F127"/>
  <c r="H122"/>
  <c r="F122"/>
  <c r="H108"/>
  <c r="D136" l="1"/>
  <c r="F120" i="9"/>
  <c r="H188" i="3"/>
  <c r="K188"/>
  <c r="G188"/>
  <c r="I188"/>
  <c r="J188"/>
  <c r="D211"/>
  <c r="D206" s="1"/>
  <c r="P212"/>
  <c r="P208"/>
  <c r="M206"/>
  <c r="N206"/>
  <c r="M188"/>
  <c r="D189"/>
  <c r="D188" s="1"/>
  <c r="N189"/>
  <c r="N188" s="1"/>
  <c r="F124" i="9"/>
  <c r="J108" i="6"/>
  <c r="J100"/>
  <c r="H113"/>
  <c r="H103"/>
  <c r="H100"/>
  <c r="F114"/>
  <c r="F113"/>
  <c r="F103"/>
  <c r="L117"/>
  <c r="K117"/>
  <c r="J117"/>
  <c r="F117"/>
  <c r="H110"/>
  <c r="H112"/>
  <c r="F112"/>
  <c r="F111"/>
  <c r="L109"/>
  <c r="K109"/>
  <c r="J109"/>
  <c r="I109"/>
  <c r="H109"/>
  <c r="G109"/>
  <c r="F109"/>
  <c r="F108"/>
  <c r="E108"/>
  <c r="F98"/>
  <c r="D117" l="1"/>
  <c r="F183"/>
  <c r="G549" i="2" l="1"/>
  <c r="I549"/>
  <c r="H549"/>
  <c r="F644"/>
  <c r="F645"/>
  <c r="F648"/>
  <c r="F636"/>
  <c r="G632"/>
  <c r="F659"/>
  <c r="F640"/>
  <c r="F201" i="9"/>
  <c r="F197"/>
  <c r="G201"/>
  <c r="G200"/>
  <c r="F200"/>
  <c r="G197"/>
  <c r="G196"/>
  <c r="F196"/>
  <c r="G131" i="3"/>
  <c r="F131"/>
  <c r="G130"/>
  <c r="F130"/>
  <c r="G127"/>
  <c r="F127"/>
  <c r="G126"/>
  <c r="F126"/>
  <c r="F148" i="9"/>
  <c r="F144"/>
  <c r="G147"/>
  <c r="G148"/>
  <c r="G143"/>
  <c r="G144"/>
  <c r="H148"/>
  <c r="H144"/>
  <c r="I255" i="6"/>
  <c r="H255"/>
  <c r="H243" s="1"/>
  <c r="G255"/>
  <c r="F255"/>
  <c r="I156" i="3"/>
  <c r="H156"/>
  <c r="G156"/>
  <c r="H152"/>
  <c r="G152"/>
  <c r="I151"/>
  <c r="H151"/>
  <c r="G151"/>
  <c r="I146"/>
  <c r="I23" s="1"/>
  <c r="H146"/>
  <c r="H23" s="1"/>
  <c r="G146"/>
  <c r="G23" s="1"/>
  <c r="G143"/>
  <c r="F143"/>
  <c r="H142"/>
  <c r="G142"/>
  <c r="F142"/>
  <c r="H140"/>
  <c r="G140"/>
  <c r="F140"/>
  <c r="I139"/>
  <c r="H139"/>
  <c r="G139"/>
  <c r="F595" i="2" l="1"/>
  <c r="F596"/>
  <c r="F592"/>
  <c r="F591"/>
  <c r="F628"/>
  <c r="F587"/>
  <c r="G12" i="7"/>
  <c r="G119"/>
  <c r="F118"/>
  <c r="F12" s="1"/>
  <c r="G146" i="9"/>
  <c r="F146"/>
  <c r="G142"/>
  <c r="F142"/>
  <c r="F143"/>
  <c r="F147"/>
  <c r="F239" i="2"/>
  <c r="F234"/>
  <c r="F231"/>
  <c r="E51" i="9"/>
  <c r="G51"/>
  <c r="F55"/>
  <c r="F52"/>
  <c r="F51" s="1"/>
  <c r="D58"/>
  <c r="D57" s="1"/>
  <c r="L57"/>
  <c r="K57"/>
  <c r="J57"/>
  <c r="I57"/>
  <c r="H57"/>
  <c r="G57"/>
  <c r="F57"/>
  <c r="E57"/>
  <c r="N53"/>
  <c r="D53"/>
  <c r="N41"/>
  <c r="G39"/>
  <c r="E39"/>
  <c r="D46"/>
  <c r="D45" s="1"/>
  <c r="L45"/>
  <c r="K45"/>
  <c r="J45"/>
  <c r="I45"/>
  <c r="H45"/>
  <c r="G45"/>
  <c r="F45"/>
  <c r="E45"/>
  <c r="F43"/>
  <c r="D41"/>
  <c r="F40"/>
  <c r="F39" s="1"/>
  <c r="D34"/>
  <c r="D33" s="1"/>
  <c r="L33"/>
  <c r="K33"/>
  <c r="J33"/>
  <c r="I33"/>
  <c r="H33"/>
  <c r="G33"/>
  <c r="F33"/>
  <c r="E33"/>
  <c r="F31"/>
  <c r="E27"/>
  <c r="D29"/>
  <c r="F28"/>
  <c r="N14" l="1"/>
  <c r="G27"/>
  <c r="N31"/>
  <c r="F27"/>
  <c r="G224" i="6"/>
  <c r="F224"/>
  <c r="G222"/>
  <c r="F222"/>
  <c r="G219"/>
  <c r="F219"/>
  <c r="G216"/>
  <c r="F216"/>
  <c r="H152" i="7"/>
  <c r="G152"/>
  <c r="H150"/>
  <c r="H20" s="1"/>
  <c r="G150"/>
  <c r="G20" s="1"/>
  <c r="H149"/>
  <c r="G149"/>
  <c r="H146"/>
  <c r="G146"/>
  <c r="H144"/>
  <c r="H14" s="1"/>
  <c r="G144"/>
  <c r="G14" s="1"/>
  <c r="H143"/>
  <c r="G143"/>
  <c r="F35"/>
  <c r="F8" s="1"/>
  <c r="G174"/>
  <c r="H171"/>
  <c r="G171"/>
  <c r="G169"/>
  <c r="I164"/>
  <c r="H164"/>
  <c r="G164"/>
  <c r="I162"/>
  <c r="H162"/>
  <c r="G162"/>
  <c r="I159"/>
  <c r="H159"/>
  <c r="G159"/>
  <c r="I157"/>
  <c r="H157"/>
  <c r="H8" s="1"/>
  <c r="G157"/>
  <c r="G8" s="1"/>
  <c r="G131"/>
  <c r="F131"/>
  <c r="H52"/>
  <c r="G52"/>
  <c r="H50"/>
  <c r="G50"/>
  <c r="H47"/>
  <c r="G47"/>
  <c r="H45"/>
  <c r="F45"/>
  <c r="G167" i="2"/>
  <c r="F167"/>
  <c r="G162"/>
  <c r="F162"/>
  <c r="F159"/>
  <c r="G130"/>
  <c r="G129" s="1"/>
  <c r="G143"/>
  <c r="F136"/>
  <c r="F131"/>
  <c r="G81"/>
  <c r="F82"/>
  <c r="F251"/>
  <c r="F246"/>
  <c r="F243"/>
  <c r="F237"/>
  <c r="F232"/>
  <c r="G215" i="6"/>
  <c r="F215"/>
  <c r="H9" i="7" l="1"/>
  <c r="I13"/>
  <c r="I8"/>
  <c r="H13"/>
  <c r="F37" i="2"/>
  <c r="G42"/>
  <c r="G80"/>
  <c r="L47" i="8"/>
  <c r="L14" s="1"/>
  <c r="L49"/>
  <c r="L18" s="1"/>
  <c r="J47"/>
  <c r="J14" s="1"/>
  <c r="J49"/>
  <c r="J18" s="1"/>
  <c r="I47"/>
  <c r="I14" s="1"/>
  <c r="I49"/>
  <c r="I18" s="1"/>
  <c r="H47"/>
  <c r="H14" s="1"/>
  <c r="H49"/>
  <c r="H18" s="1"/>
  <c r="F47"/>
  <c r="F14" s="1"/>
  <c r="L52"/>
  <c r="L23" s="1"/>
  <c r="J52"/>
  <c r="J23" s="1"/>
  <c r="I52"/>
  <c r="I23" s="1"/>
  <c r="H52"/>
  <c r="H23" s="1"/>
  <c r="F52"/>
  <c r="G217" i="6"/>
  <c r="F217"/>
  <c r="F23" i="8" l="1"/>
  <c r="G43" i="6"/>
  <c r="F43"/>
  <c r="G44"/>
  <c r="F44"/>
  <c r="E44"/>
  <c r="G47"/>
  <c r="F47"/>
  <c r="G48"/>
  <c r="F48"/>
  <c r="E48"/>
  <c r="G52"/>
  <c r="F52"/>
  <c r="G53"/>
  <c r="F53"/>
  <c r="E53"/>
  <c r="H56"/>
  <c r="G56"/>
  <c r="H58"/>
  <c r="G58"/>
  <c r="H37"/>
  <c r="G37"/>
  <c r="F65"/>
  <c r="G68"/>
  <c r="G70"/>
  <c r="G29"/>
  <c r="F29"/>
  <c r="G33"/>
  <c r="F33"/>
  <c r="G34"/>
  <c r="N34" s="1"/>
  <c r="F34"/>
  <c r="F30" i="3" l="1"/>
  <c r="F29"/>
  <c r="F36"/>
  <c r="F35"/>
  <c r="G22"/>
  <c r="G439" i="2"/>
  <c r="F439"/>
  <c r="G440"/>
  <c r="F440"/>
  <c r="G444"/>
  <c r="F444"/>
  <c r="G445"/>
  <c r="F445"/>
  <c r="H448"/>
  <c r="G448"/>
  <c r="G425"/>
  <c r="F425"/>
  <c r="G424"/>
  <c r="F424"/>
  <c r="G430"/>
  <c r="F430"/>
  <c r="F429"/>
  <c r="G429"/>
  <c r="N429" s="1"/>
  <c r="H433"/>
  <c r="G433"/>
  <c r="F433"/>
  <c r="F350" s="1"/>
  <c r="F349" s="1"/>
  <c r="G350" l="1"/>
  <c r="G349" s="1"/>
  <c r="H350"/>
  <c r="H349" s="1"/>
  <c r="P442"/>
  <c r="I22" i="3"/>
  <c r="I21" s="1"/>
  <c r="I18" s="1"/>
  <c r="H22"/>
  <c r="H21" s="1"/>
  <c r="H18" s="1"/>
  <c r="D241" i="9" l="1"/>
  <c r="D246" l="1"/>
  <c r="L245"/>
  <c r="K245"/>
  <c r="J245"/>
  <c r="I245"/>
  <c r="H245"/>
  <c r="G245"/>
  <c r="F245"/>
  <c r="E245"/>
  <c r="D244"/>
  <c r="L243"/>
  <c r="K243"/>
  <c r="J243"/>
  <c r="I243"/>
  <c r="H243"/>
  <c r="G243"/>
  <c r="F243"/>
  <c r="E243"/>
  <c r="N241"/>
  <c r="N240" s="1"/>
  <c r="M241"/>
  <c r="M240" s="1"/>
  <c r="D240"/>
  <c r="L240"/>
  <c r="K240"/>
  <c r="J240"/>
  <c r="I240"/>
  <c r="H240"/>
  <c r="G240"/>
  <c r="E240"/>
  <c r="M239"/>
  <c r="D239"/>
  <c r="D14" s="1"/>
  <c r="N238"/>
  <c r="N237" s="1"/>
  <c r="M238"/>
  <c r="D238"/>
  <c r="L237"/>
  <c r="K237"/>
  <c r="J237"/>
  <c r="I237"/>
  <c r="H237"/>
  <c r="G237"/>
  <c r="F237"/>
  <c r="E237"/>
  <c r="D234"/>
  <c r="D233" s="1"/>
  <c r="D232" s="1"/>
  <c r="L233"/>
  <c r="K233"/>
  <c r="J233"/>
  <c r="I233"/>
  <c r="H233"/>
  <c r="G233"/>
  <c r="F233"/>
  <c r="E233"/>
  <c r="E232"/>
  <c r="N231"/>
  <c r="N230" s="1"/>
  <c r="M231"/>
  <c r="M230" s="1"/>
  <c r="D231"/>
  <c r="D230" s="1"/>
  <c r="I230"/>
  <c r="G230"/>
  <c r="E230"/>
  <c r="N229"/>
  <c r="N228" s="1"/>
  <c r="M229"/>
  <c r="M228" s="1"/>
  <c r="D229"/>
  <c r="D228" s="1"/>
  <c r="L228"/>
  <c r="K228"/>
  <c r="J228"/>
  <c r="I228"/>
  <c r="H228"/>
  <c r="G228"/>
  <c r="F228"/>
  <c r="E228"/>
  <c r="F227"/>
  <c r="G242" l="1"/>
  <c r="K242"/>
  <c r="E242"/>
  <c r="I242"/>
  <c r="I227"/>
  <c r="G232"/>
  <c r="G227" s="1"/>
  <c r="D237"/>
  <c r="E227"/>
  <c r="K232"/>
  <c r="K227" s="1"/>
  <c r="I236"/>
  <c r="J227"/>
  <c r="H242"/>
  <c r="L242"/>
  <c r="I232"/>
  <c r="F232"/>
  <c r="H232"/>
  <c r="H227" s="1"/>
  <c r="J232"/>
  <c r="L232"/>
  <c r="L227" s="1"/>
  <c r="G236"/>
  <c r="K236"/>
  <c r="F236"/>
  <c r="H236"/>
  <c r="J236"/>
  <c r="L236"/>
  <c r="E236"/>
  <c r="J242"/>
  <c r="D245"/>
  <c r="D243"/>
  <c r="M227"/>
  <c r="D227"/>
  <c r="M237"/>
  <c r="M236" s="1"/>
  <c r="F242"/>
  <c r="D236"/>
  <c r="N236"/>
  <c r="N227"/>
  <c r="D242" l="1"/>
  <c r="F294" i="2"/>
  <c r="L58" i="3" l="1"/>
  <c r="K58"/>
  <c r="J58"/>
  <c r="I58"/>
  <c r="L56"/>
  <c r="L55" s="1"/>
  <c r="K56"/>
  <c r="J56"/>
  <c r="I56"/>
  <c r="L52"/>
  <c r="K52"/>
  <c r="J52"/>
  <c r="I52"/>
  <c r="L47"/>
  <c r="K47"/>
  <c r="J47"/>
  <c r="I47"/>
  <c r="E47"/>
  <c r="I55" l="1"/>
  <c r="K51"/>
  <c r="J51"/>
  <c r="I51"/>
  <c r="L51"/>
  <c r="K46"/>
  <c r="I46"/>
  <c r="J46"/>
  <c r="L46"/>
  <c r="J55"/>
  <c r="K55"/>
  <c r="I45" l="1"/>
  <c r="L45"/>
  <c r="J45"/>
  <c r="K45"/>
  <c r="N48" l="1"/>
  <c r="N49"/>
  <c r="F52"/>
  <c r="E52"/>
  <c r="E17" s="1"/>
  <c r="D186" l="1"/>
  <c r="D185" s="1"/>
  <c r="L185"/>
  <c r="K185"/>
  <c r="J185"/>
  <c r="I185"/>
  <c r="H185"/>
  <c r="G185"/>
  <c r="F185"/>
  <c r="E185"/>
  <c r="D184"/>
  <c r="D183" s="1"/>
  <c r="L183"/>
  <c r="K183"/>
  <c r="J183"/>
  <c r="I183"/>
  <c r="H183"/>
  <c r="G183"/>
  <c r="F183"/>
  <c r="E183"/>
  <c r="K180"/>
  <c r="J180"/>
  <c r="I180"/>
  <c r="H180"/>
  <c r="L180"/>
  <c r="F180"/>
  <c r="E180"/>
  <c r="L177"/>
  <c r="K177"/>
  <c r="J177"/>
  <c r="I177"/>
  <c r="H177"/>
  <c r="G177"/>
  <c r="F177"/>
  <c r="E177"/>
  <c r="E159"/>
  <c r="F159"/>
  <c r="D174"/>
  <c r="L171"/>
  <c r="K171"/>
  <c r="J171"/>
  <c r="I171"/>
  <c r="H171"/>
  <c r="G171"/>
  <c r="F171"/>
  <c r="E171"/>
  <c r="D172"/>
  <c r="D171" s="1"/>
  <c r="L163"/>
  <c r="L13" s="1"/>
  <c r="K163"/>
  <c r="K13" s="1"/>
  <c r="J163"/>
  <c r="J13" s="1"/>
  <c r="I163"/>
  <c r="I13" s="1"/>
  <c r="H163"/>
  <c r="H13" s="1"/>
  <c r="G163"/>
  <c r="G13" s="1"/>
  <c r="D165"/>
  <c r="D164"/>
  <c r="N165"/>
  <c r="N164"/>
  <c r="J182" l="1"/>
  <c r="E176"/>
  <c r="L182"/>
  <c r="F182"/>
  <c r="H182"/>
  <c r="M181"/>
  <c r="M180" s="1"/>
  <c r="E182"/>
  <c r="G182"/>
  <c r="I182"/>
  <c r="K182"/>
  <c r="N163"/>
  <c r="F176"/>
  <c r="J176"/>
  <c r="I176"/>
  <c r="K176"/>
  <c r="M178"/>
  <c r="M177" s="1"/>
  <c r="D179"/>
  <c r="P184" s="1"/>
  <c r="H176"/>
  <c r="L176"/>
  <c r="D182"/>
  <c r="G180"/>
  <c r="D181"/>
  <c r="D180" s="1"/>
  <c r="D163"/>
  <c r="D178"/>
  <c r="N178"/>
  <c r="N179"/>
  <c r="N181"/>
  <c r="N180" s="1"/>
  <c r="M176" l="1"/>
  <c r="P172"/>
  <c r="G176"/>
  <c r="D177"/>
  <c r="D176" s="1"/>
  <c r="P186"/>
  <c r="N177"/>
  <c r="N176" s="1"/>
  <c r="L167" l="1"/>
  <c r="K167"/>
  <c r="J167"/>
  <c r="I167"/>
  <c r="H167"/>
  <c r="G167"/>
  <c r="N169"/>
  <c r="N168"/>
  <c r="N162"/>
  <c r="N161"/>
  <c r="H160"/>
  <c r="I160"/>
  <c r="J160"/>
  <c r="K160"/>
  <c r="L160"/>
  <c r="G160"/>
  <c r="N160" l="1"/>
  <c r="N159" s="1"/>
  <c r="H159"/>
  <c r="J159"/>
  <c r="K159"/>
  <c r="L159"/>
  <c r="I159"/>
  <c r="G159"/>
  <c r="D167"/>
  <c r="D173"/>
  <c r="D170" s="1"/>
  <c r="L173"/>
  <c r="K173"/>
  <c r="J173"/>
  <c r="I173"/>
  <c r="H173"/>
  <c r="G173"/>
  <c r="F173"/>
  <c r="E173"/>
  <c r="D169"/>
  <c r="D168"/>
  <c r="M167"/>
  <c r="M166" s="1"/>
  <c r="N167"/>
  <c r="N166" s="1"/>
  <c r="L166"/>
  <c r="K166"/>
  <c r="J166"/>
  <c r="I166"/>
  <c r="H166"/>
  <c r="G166"/>
  <c r="F166"/>
  <c r="E166"/>
  <c r="D162"/>
  <c r="D161"/>
  <c r="M160"/>
  <c r="M159" s="1"/>
  <c r="F170" l="1"/>
  <c r="E170"/>
  <c r="P174"/>
  <c r="I170"/>
  <c r="K170"/>
  <c r="J170"/>
  <c r="L170"/>
  <c r="J158"/>
  <c r="N158"/>
  <c r="H170"/>
  <c r="G170"/>
  <c r="D166"/>
  <c r="H158"/>
  <c r="L158"/>
  <c r="F158"/>
  <c r="E158"/>
  <c r="K158"/>
  <c r="G158"/>
  <c r="I158"/>
  <c r="M158"/>
  <c r="D160"/>
  <c r="D159" s="1"/>
  <c r="F427" i="2"/>
  <c r="D158" i="3" l="1"/>
  <c r="P157" l="1"/>
  <c r="N172" i="2" l="1"/>
  <c r="N232"/>
  <c r="O59" i="4" l="1"/>
  <c r="L59"/>
  <c r="M266" i="9" l="1"/>
  <c r="M172" i="2" l="1"/>
  <c r="M143" i="7"/>
  <c r="L56" i="4"/>
  <c r="M92"/>
  <c r="M87"/>
  <c r="M75"/>
  <c r="M169" i="7"/>
  <c r="M157"/>
  <c r="M56" i="4" l="1"/>
  <c r="E30" i="7"/>
  <c r="E29" s="1"/>
  <c r="D429" i="2" l="1"/>
  <c r="E22" i="7" l="1"/>
  <c r="F22"/>
  <c r="G22"/>
  <c r="H22"/>
  <c r="I22"/>
  <c r="J22"/>
  <c r="K22"/>
  <c r="L22"/>
  <c r="I113" i="6" l="1"/>
  <c r="I108"/>
  <c r="I103"/>
  <c r="E31" l="1"/>
  <c r="I19" i="7" l="1"/>
  <c r="M218" i="9"/>
  <c r="M14" s="1"/>
  <c r="F82" l="1"/>
  <c r="M35" i="8" l="1"/>
  <c r="M15" s="1"/>
  <c r="E19" i="7"/>
  <c r="H19"/>
  <c r="J19"/>
  <c r="K19"/>
  <c r="L19"/>
  <c r="E16"/>
  <c r="F16"/>
  <c r="G16"/>
  <c r="H16"/>
  <c r="I16"/>
  <c r="J16"/>
  <c r="K16"/>
  <c r="L16"/>
  <c r="E156"/>
  <c r="E12" s="1"/>
  <c r="D176"/>
  <c r="D175" s="1"/>
  <c r="K175"/>
  <c r="J175"/>
  <c r="I175"/>
  <c r="H175"/>
  <c r="G175"/>
  <c r="F175"/>
  <c r="E175"/>
  <c r="D174"/>
  <c r="D173" s="1"/>
  <c r="K173"/>
  <c r="J173"/>
  <c r="J172" s="1"/>
  <c r="I173"/>
  <c r="H173"/>
  <c r="G173"/>
  <c r="F173"/>
  <c r="F172" s="1"/>
  <c r="E173"/>
  <c r="D171"/>
  <c r="D170" s="1"/>
  <c r="N170"/>
  <c r="M170"/>
  <c r="K170"/>
  <c r="J170"/>
  <c r="I170"/>
  <c r="H170"/>
  <c r="G170"/>
  <c r="F170"/>
  <c r="E170"/>
  <c r="N169"/>
  <c r="N167" s="1"/>
  <c r="N166" s="1"/>
  <c r="M167"/>
  <c r="M166" s="1"/>
  <c r="D168"/>
  <c r="K167"/>
  <c r="J167"/>
  <c r="J166" s="1"/>
  <c r="I167"/>
  <c r="H167"/>
  <c r="G167"/>
  <c r="F167"/>
  <c r="E167"/>
  <c r="D164"/>
  <c r="D163" s="1"/>
  <c r="K163"/>
  <c r="J163"/>
  <c r="I163"/>
  <c r="H163"/>
  <c r="G163"/>
  <c r="F163"/>
  <c r="E163"/>
  <c r="D162"/>
  <c r="D161" s="1"/>
  <c r="K161"/>
  <c r="J161"/>
  <c r="J160" s="1"/>
  <c r="I161"/>
  <c r="H161"/>
  <c r="G161"/>
  <c r="G160" s="1"/>
  <c r="F161"/>
  <c r="F160" s="1"/>
  <c r="E161"/>
  <c r="D159"/>
  <c r="D158" s="1"/>
  <c r="N158"/>
  <c r="M158"/>
  <c r="K158"/>
  <c r="J158"/>
  <c r="I158"/>
  <c r="H158"/>
  <c r="G158"/>
  <c r="F158"/>
  <c r="E158"/>
  <c r="N157"/>
  <c r="N155" s="1"/>
  <c r="N154" s="1"/>
  <c r="M155"/>
  <c r="M154" s="1"/>
  <c r="D156"/>
  <c r="K155"/>
  <c r="K154" s="1"/>
  <c r="J155"/>
  <c r="I155"/>
  <c r="H155"/>
  <c r="G155"/>
  <c r="G154" s="1"/>
  <c r="F155"/>
  <c r="G19"/>
  <c r="F50"/>
  <c r="F19" s="1"/>
  <c r="G45"/>
  <c r="G9" s="1"/>
  <c r="K166" l="1"/>
  <c r="F154"/>
  <c r="J154"/>
  <c r="E166"/>
  <c r="I166"/>
  <c r="K172"/>
  <c r="K160"/>
  <c r="E160"/>
  <c r="I154"/>
  <c r="G172"/>
  <c r="H166"/>
  <c r="G166"/>
  <c r="F166"/>
  <c r="E172"/>
  <c r="I172"/>
  <c r="I160"/>
  <c r="H154"/>
  <c r="H160"/>
  <c r="E155"/>
  <c r="E154" s="1"/>
  <c r="H172"/>
  <c r="D172"/>
  <c r="D160"/>
  <c r="D169"/>
  <c r="D157"/>
  <c r="D155" s="1"/>
  <c r="D154" s="1"/>
  <c r="F251" i="6"/>
  <c r="M251" s="1"/>
  <c r="G250"/>
  <c r="G249" s="1"/>
  <c r="I43"/>
  <c r="H43"/>
  <c r="E43"/>
  <c r="E41" s="1"/>
  <c r="I44"/>
  <c r="H44"/>
  <c r="I47"/>
  <c r="H47"/>
  <c r="E47"/>
  <c r="I48"/>
  <c r="H48"/>
  <c r="I53"/>
  <c r="I52"/>
  <c r="H52"/>
  <c r="E52"/>
  <c r="E50" s="1"/>
  <c r="H53"/>
  <c r="D53" s="1"/>
  <c r="F58"/>
  <c r="K33"/>
  <c r="N33" s="1"/>
  <c r="F37"/>
  <c r="N52" l="1"/>
  <c r="D44"/>
  <c r="D48"/>
  <c r="D33"/>
  <c r="M33"/>
  <c r="D52"/>
  <c r="M199"/>
  <c r="D167" i="7"/>
  <c r="D166" s="1"/>
  <c r="E45" i="6"/>
  <c r="D47"/>
  <c r="G71" i="5"/>
  <c r="G70" s="1"/>
  <c r="G74"/>
  <c r="G73" s="1"/>
  <c r="I29" i="3"/>
  <c r="I30"/>
  <c r="H30"/>
  <c r="E30"/>
  <c r="E27" s="1"/>
  <c r="E12" s="1"/>
  <c r="E11" s="1"/>
  <c r="I35"/>
  <c r="I36"/>
  <c r="H36"/>
  <c r="E36"/>
  <c r="J42"/>
  <c r="F42"/>
  <c r="F22" s="1"/>
  <c r="I439" i="2"/>
  <c r="H439"/>
  <c r="I440"/>
  <c r="H440"/>
  <c r="I444"/>
  <c r="H444"/>
  <c r="I445"/>
  <c r="H445"/>
  <c r="I433"/>
  <c r="I350" s="1"/>
  <c r="I349" s="1"/>
  <c r="H425"/>
  <c r="N425" s="1"/>
  <c r="E425"/>
  <c r="H430"/>
  <c r="N430" s="1"/>
  <c r="E430"/>
  <c r="E427" s="1"/>
  <c r="E344" s="1"/>
  <c r="E343" s="1"/>
  <c r="N36" i="3" l="1"/>
  <c r="N440" i="2"/>
  <c r="N35" i="3"/>
  <c r="N30"/>
  <c r="N439" i="2"/>
  <c r="N29" i="3"/>
  <c r="J22"/>
  <c r="J21" s="1"/>
  <c r="J18" s="1"/>
  <c r="D430" i="2"/>
  <c r="D425"/>
  <c r="E422"/>
  <c r="D35" i="3"/>
  <c r="D29"/>
  <c r="D36"/>
  <c r="E33"/>
  <c r="E16" s="1"/>
  <c r="E15" s="1"/>
  <c r="D30"/>
  <c r="E10" l="1"/>
  <c r="N73" i="8"/>
  <c r="F73"/>
  <c r="F18" s="1"/>
  <c r="F71"/>
  <c r="D223" i="9"/>
  <c r="D21" s="1"/>
  <c r="L222"/>
  <c r="K222"/>
  <c r="J222"/>
  <c r="I222"/>
  <c r="H222"/>
  <c r="G222"/>
  <c r="F222"/>
  <c r="E222"/>
  <c r="E216"/>
  <c r="F216"/>
  <c r="G216"/>
  <c r="H216"/>
  <c r="I216"/>
  <c r="H219"/>
  <c r="I219"/>
  <c r="J219"/>
  <c r="K219"/>
  <c r="L219"/>
  <c r="E211"/>
  <c r="E212"/>
  <c r="J216"/>
  <c r="K216"/>
  <c r="L216"/>
  <c r="J212"/>
  <c r="J23" s="1"/>
  <c r="I209"/>
  <c r="I207"/>
  <c r="J207"/>
  <c r="K207"/>
  <c r="L207"/>
  <c r="H207"/>
  <c r="D224"/>
  <c r="L224"/>
  <c r="K224"/>
  <c r="J224"/>
  <c r="I224"/>
  <c r="H224"/>
  <c r="G224"/>
  <c r="F224"/>
  <c r="E224"/>
  <c r="N220"/>
  <c r="N219" s="1"/>
  <c r="M220"/>
  <c r="M219" s="1"/>
  <c r="D219"/>
  <c r="G219"/>
  <c r="E219"/>
  <c r="N217"/>
  <c r="N216" s="1"/>
  <c r="M217"/>
  <c r="M216" s="1"/>
  <c r="D216"/>
  <c r="D213"/>
  <c r="D212" s="1"/>
  <c r="D211" s="1"/>
  <c r="L212"/>
  <c r="K212"/>
  <c r="I212"/>
  <c r="I23" s="1"/>
  <c r="H212"/>
  <c r="H23" s="1"/>
  <c r="G212"/>
  <c r="F212"/>
  <c r="N210"/>
  <c r="N209" s="1"/>
  <c r="M210"/>
  <c r="M209" s="1"/>
  <c r="D210"/>
  <c r="D209" s="1"/>
  <c r="G209"/>
  <c r="E209"/>
  <c r="N208"/>
  <c r="N207" s="1"/>
  <c r="M208"/>
  <c r="M207" s="1"/>
  <c r="D208"/>
  <c r="D207" s="1"/>
  <c r="G207"/>
  <c r="F207"/>
  <c r="E207"/>
  <c r="F206"/>
  <c r="K23" l="1"/>
  <c r="L215"/>
  <c r="E23"/>
  <c r="L23"/>
  <c r="M206"/>
  <c r="E215"/>
  <c r="F215"/>
  <c r="E206"/>
  <c r="K215"/>
  <c r="D215"/>
  <c r="J215"/>
  <c r="L211"/>
  <c r="L206" s="1"/>
  <c r="J206"/>
  <c r="I215"/>
  <c r="H215"/>
  <c r="D222"/>
  <c r="D221" s="1"/>
  <c r="G215"/>
  <c r="I206"/>
  <c r="G211"/>
  <c r="I211"/>
  <c r="G221"/>
  <c r="I221"/>
  <c r="J211"/>
  <c r="F211"/>
  <c r="H211"/>
  <c r="K211"/>
  <c r="H221"/>
  <c r="J221"/>
  <c r="F221"/>
  <c r="L221"/>
  <c r="K221"/>
  <c r="E221"/>
  <c r="M215"/>
  <c r="N215"/>
  <c r="D206"/>
  <c r="N206"/>
  <c r="F116"/>
  <c r="G206" l="1"/>
  <c r="K206"/>
  <c r="H206"/>
  <c r="G40" i="13" l="1"/>
  <c r="G29" l="1"/>
  <c r="G38"/>
  <c r="G31"/>
  <c r="G13" l="1"/>
  <c r="G151" i="9"/>
  <c r="G23" s="1"/>
  <c r="F151"/>
  <c r="H18" i="7" l="1"/>
  <c r="I18"/>
  <c r="J18"/>
  <c r="L18"/>
  <c r="E11"/>
  <c r="H11"/>
  <c r="J11"/>
  <c r="L11"/>
  <c r="E18"/>
  <c r="F18"/>
  <c r="K18"/>
  <c r="I11"/>
  <c r="D150"/>
  <c r="D20" s="1"/>
  <c r="E148"/>
  <c r="F148"/>
  <c r="G148"/>
  <c r="H148"/>
  <c r="I148"/>
  <c r="J148"/>
  <c r="K148"/>
  <c r="E141"/>
  <c r="F141"/>
  <c r="G141"/>
  <c r="H141"/>
  <c r="I141"/>
  <c r="J141"/>
  <c r="K141"/>
  <c r="L141"/>
  <c r="D144"/>
  <c r="D14" s="1"/>
  <c r="D152"/>
  <c r="D151" s="1"/>
  <c r="K151"/>
  <c r="J151"/>
  <c r="I151"/>
  <c r="H151"/>
  <c r="G151"/>
  <c r="F151"/>
  <c r="E151"/>
  <c r="D149"/>
  <c r="D146"/>
  <c r="D145" s="1"/>
  <c r="N145"/>
  <c r="M145"/>
  <c r="K145"/>
  <c r="J145"/>
  <c r="I145"/>
  <c r="H145"/>
  <c r="G145"/>
  <c r="F145"/>
  <c r="E145"/>
  <c r="M141"/>
  <c r="M140" s="1"/>
  <c r="D143"/>
  <c r="D142"/>
  <c r="E7"/>
  <c r="H7"/>
  <c r="I7"/>
  <c r="L7"/>
  <c r="F39"/>
  <c r="F38" s="1"/>
  <c r="D40"/>
  <c r="D39" s="1"/>
  <c r="D38" s="1"/>
  <c r="G39"/>
  <c r="G38" s="1"/>
  <c r="D37"/>
  <c r="D36" s="1"/>
  <c r="G34"/>
  <c r="G33" s="1"/>
  <c r="M35"/>
  <c r="D35"/>
  <c r="D8" s="1"/>
  <c r="I34"/>
  <c r="H34"/>
  <c r="F34"/>
  <c r="F33" s="1"/>
  <c r="E34"/>
  <c r="E33" s="1"/>
  <c r="I33"/>
  <c r="H33"/>
  <c r="L96" i="3"/>
  <c r="L23" s="1"/>
  <c r="L91"/>
  <c r="L88"/>
  <c r="H45" i="2"/>
  <c r="I45"/>
  <c r="J45"/>
  <c r="K45"/>
  <c r="L45"/>
  <c r="H38"/>
  <c r="I38"/>
  <c r="J38"/>
  <c r="K38"/>
  <c r="L38"/>
  <c r="N231"/>
  <c r="N230" s="1"/>
  <c r="G45"/>
  <c r="G38"/>
  <c r="G176"/>
  <c r="F176"/>
  <c r="H262"/>
  <c r="H257"/>
  <c r="H254"/>
  <c r="D263"/>
  <c r="D262" s="1"/>
  <c r="G262"/>
  <c r="E262"/>
  <c r="D261"/>
  <c r="D260" s="1"/>
  <c r="G260"/>
  <c r="F260"/>
  <c r="E260"/>
  <c r="N258"/>
  <c r="N257" s="1"/>
  <c r="D258"/>
  <c r="D257" s="1"/>
  <c r="G257"/>
  <c r="E257"/>
  <c r="N256"/>
  <c r="M256"/>
  <c r="D256"/>
  <c r="N255"/>
  <c r="N254" s="1"/>
  <c r="D255"/>
  <c r="G254"/>
  <c r="E254"/>
  <c r="G564"/>
  <c r="G563" s="1"/>
  <c r="F565"/>
  <c r="K147" i="7" l="1"/>
  <c r="E140"/>
  <c r="K140"/>
  <c r="I140"/>
  <c r="F140"/>
  <c r="E147"/>
  <c r="I147"/>
  <c r="L21" i="3"/>
  <c r="L18" s="1"/>
  <c r="J140" i="7"/>
  <c r="M174" i="2"/>
  <c r="D254"/>
  <c r="D253" s="1"/>
  <c r="M171"/>
  <c r="M170" s="1"/>
  <c r="G21" i="3"/>
  <c r="G18" s="1"/>
  <c r="N88"/>
  <c r="E253" i="2"/>
  <c r="D148" i="7"/>
  <c r="D147" s="1"/>
  <c r="G147"/>
  <c r="G140"/>
  <c r="H140"/>
  <c r="H259" i="2"/>
  <c r="N171"/>
  <c r="N170" s="1"/>
  <c r="M34" i="7"/>
  <c r="M33" s="1"/>
  <c r="M8"/>
  <c r="G253" i="2"/>
  <c r="H253"/>
  <c r="D34" i="7"/>
  <c r="D33" s="1"/>
  <c r="M67" i="3"/>
  <c r="M64"/>
  <c r="G18" i="7"/>
  <c r="J147"/>
  <c r="H147"/>
  <c r="F147"/>
  <c r="D141"/>
  <c r="D140" s="1"/>
  <c r="N143"/>
  <c r="N141" s="1"/>
  <c r="N140" s="1"/>
  <c r="N35"/>
  <c r="N34" s="1"/>
  <c r="N33" s="1"/>
  <c r="G259" i="2"/>
  <c r="E259"/>
  <c r="D259"/>
  <c r="N253"/>
  <c r="M255"/>
  <c r="M254" s="1"/>
  <c r="M258"/>
  <c r="M257" s="1"/>
  <c r="F254"/>
  <c r="F257"/>
  <c r="F262"/>
  <c r="G364"/>
  <c r="G366"/>
  <c r="G363" l="1"/>
  <c r="F259"/>
  <c r="F253"/>
  <c r="M253"/>
  <c r="G115" i="13" l="1"/>
  <c r="F115"/>
  <c r="F103" s="1"/>
  <c r="N115" l="1"/>
  <c r="G103"/>
  <c r="N103" s="1"/>
  <c r="M215" i="6"/>
  <c r="M219"/>
  <c r="M216"/>
  <c r="F156" i="3" l="1"/>
  <c r="G153"/>
  <c r="F153"/>
  <c r="F152"/>
  <c r="D152" s="1"/>
  <c r="F151"/>
  <c r="F146"/>
  <c r="I143"/>
  <c r="H143"/>
  <c r="H141"/>
  <c r="G141"/>
  <c r="F141"/>
  <c r="F139"/>
  <c r="F23" l="1"/>
  <c r="D153"/>
  <c r="D143"/>
  <c r="D140"/>
  <c r="D142"/>
  <c r="D151"/>
  <c r="D139"/>
  <c r="D141"/>
  <c r="D85" i="8"/>
  <c r="D84" s="1"/>
  <c r="D83" s="1"/>
  <c r="H84"/>
  <c r="G84"/>
  <c r="F84"/>
  <c r="E84"/>
  <c r="N82"/>
  <c r="N81" s="1"/>
  <c r="M82"/>
  <c r="M81" s="1"/>
  <c r="D82"/>
  <c r="D81" s="1"/>
  <c r="H81"/>
  <c r="G81"/>
  <c r="F81"/>
  <c r="E81"/>
  <c r="N80"/>
  <c r="N79" s="1"/>
  <c r="M80"/>
  <c r="M79" s="1"/>
  <c r="D80"/>
  <c r="D79" s="1"/>
  <c r="H79"/>
  <c r="G79"/>
  <c r="F79"/>
  <c r="E79"/>
  <c r="J10"/>
  <c r="K10"/>
  <c r="L10"/>
  <c r="F20"/>
  <c r="G20"/>
  <c r="H20"/>
  <c r="I20"/>
  <c r="J20"/>
  <c r="K20"/>
  <c r="L20"/>
  <c r="D76"/>
  <c r="I75"/>
  <c r="H75"/>
  <c r="G75"/>
  <c r="F75"/>
  <c r="E75"/>
  <c r="H74"/>
  <c r="H145" s="1"/>
  <c r="N72"/>
  <c r="M73"/>
  <c r="M72" s="1"/>
  <c r="D73"/>
  <c r="D72" s="1"/>
  <c r="I72"/>
  <c r="H72"/>
  <c r="G72"/>
  <c r="F72"/>
  <c r="E72"/>
  <c r="N71"/>
  <c r="N70" s="1"/>
  <c r="M71"/>
  <c r="D71"/>
  <c r="I70"/>
  <c r="H70"/>
  <c r="G70"/>
  <c r="F70"/>
  <c r="E70"/>
  <c r="D106"/>
  <c r="E106"/>
  <c r="F106"/>
  <c r="G106"/>
  <c r="H106"/>
  <c r="I106"/>
  <c r="J106"/>
  <c r="H83" l="1"/>
  <c r="G83"/>
  <c r="D29"/>
  <c r="E69"/>
  <c r="D75"/>
  <c r="D74" s="1"/>
  <c r="D145" s="1"/>
  <c r="H78"/>
  <c r="G78"/>
  <c r="I69"/>
  <c r="I10" s="1"/>
  <c r="F74"/>
  <c r="F145" s="1"/>
  <c r="G69"/>
  <c r="E74"/>
  <c r="E145" s="1"/>
  <c r="I74"/>
  <c r="I145" s="1"/>
  <c r="N106"/>
  <c r="E78"/>
  <c r="G74"/>
  <c r="G145" s="1"/>
  <c r="F83"/>
  <c r="N78"/>
  <c r="D78"/>
  <c r="F78"/>
  <c r="M78"/>
  <c r="E83"/>
  <c r="N69"/>
  <c r="F69"/>
  <c r="H69"/>
  <c r="M70"/>
  <c r="M69" s="1"/>
  <c r="D70"/>
  <c r="D69" s="1"/>
  <c r="K52"/>
  <c r="K23" s="1"/>
  <c r="K49"/>
  <c r="K18" s="1"/>
  <c r="K47"/>
  <c r="K14" s="1"/>
  <c r="G52"/>
  <c r="G49"/>
  <c r="G47"/>
  <c r="G14" s="1"/>
  <c r="G18" l="1"/>
  <c r="N49"/>
  <c r="G23"/>
  <c r="D52"/>
  <c r="D23" s="1"/>
  <c r="F568" i="2"/>
  <c r="F522" s="1"/>
  <c r="E565"/>
  <c r="E251" i="6"/>
  <c r="M51" i="5"/>
  <c r="M31"/>
  <c r="M29"/>
  <c r="L13" i="9"/>
  <c r="E20"/>
  <c r="E19" s="1"/>
  <c r="F20"/>
  <c r="F19" s="1"/>
  <c r="G20"/>
  <c r="G19" s="1"/>
  <c r="H20"/>
  <c r="H19" s="1"/>
  <c r="I20"/>
  <c r="I19" s="1"/>
  <c r="J20"/>
  <c r="J19" s="1"/>
  <c r="K20"/>
  <c r="K19" s="1"/>
  <c r="L20"/>
  <c r="L19" s="1"/>
  <c r="E22"/>
  <c r="E18" s="1"/>
  <c r="I22"/>
  <c r="J22"/>
  <c r="K22"/>
  <c r="L22"/>
  <c r="E15" i="8"/>
  <c r="F15"/>
  <c r="G15"/>
  <c r="H15"/>
  <c r="I15"/>
  <c r="J15"/>
  <c r="K15"/>
  <c r="L15"/>
  <c r="G16"/>
  <c r="H16"/>
  <c r="I16"/>
  <c r="J16"/>
  <c r="K16"/>
  <c r="L16"/>
  <c r="E20"/>
  <c r="E16" s="1"/>
  <c r="E25"/>
  <c r="F25"/>
  <c r="G25"/>
  <c r="H25"/>
  <c r="I25"/>
  <c r="J25"/>
  <c r="K25"/>
  <c r="L25"/>
  <c r="E31"/>
  <c r="E28" s="1"/>
  <c r="F31"/>
  <c r="H31"/>
  <c r="H28" s="1"/>
  <c r="I31"/>
  <c r="I28" s="1"/>
  <c r="J31"/>
  <c r="J28" s="1"/>
  <c r="K31"/>
  <c r="K28" s="1"/>
  <c r="L31"/>
  <c r="L28" s="1"/>
  <c r="G54"/>
  <c r="G51"/>
  <c r="G48"/>
  <c r="G46"/>
  <c r="G13" s="1"/>
  <c r="L109" i="4"/>
  <c r="K109"/>
  <c r="F109"/>
  <c r="M59"/>
  <c r="E56"/>
  <c r="F56"/>
  <c r="G56"/>
  <c r="K56"/>
  <c r="E57"/>
  <c r="E6" s="1"/>
  <c r="F57"/>
  <c r="F6" s="1"/>
  <c r="G57"/>
  <c r="H57"/>
  <c r="I57"/>
  <c r="J57"/>
  <c r="K57"/>
  <c r="L57"/>
  <c r="E58"/>
  <c r="F58"/>
  <c r="G58"/>
  <c r="H58"/>
  <c r="I58"/>
  <c r="J58"/>
  <c r="G68" i="1" s="1"/>
  <c r="G123" s="1"/>
  <c r="K58" i="4"/>
  <c r="L58"/>
  <c r="I68" i="1" s="1"/>
  <c r="E59" i="4"/>
  <c r="F59"/>
  <c r="G59"/>
  <c r="H59"/>
  <c r="I59"/>
  <c r="J59"/>
  <c r="K59"/>
  <c r="E61"/>
  <c r="F61"/>
  <c r="G61"/>
  <c r="H61"/>
  <c r="I61"/>
  <c r="J61"/>
  <c r="K61"/>
  <c r="L61"/>
  <c r="E62"/>
  <c r="F62"/>
  <c r="G62"/>
  <c r="H62"/>
  <c r="I62"/>
  <c r="J62"/>
  <c r="K62"/>
  <c r="L62"/>
  <c r="E66"/>
  <c r="F66"/>
  <c r="G66"/>
  <c r="H66"/>
  <c r="I66"/>
  <c r="J66"/>
  <c r="K66"/>
  <c r="L66"/>
  <c r="E67"/>
  <c r="F67"/>
  <c r="G67"/>
  <c r="H67"/>
  <c r="I67"/>
  <c r="J67"/>
  <c r="K67"/>
  <c r="L67"/>
  <c r="E68"/>
  <c r="F68"/>
  <c r="G68"/>
  <c r="H68"/>
  <c r="I68"/>
  <c r="J68"/>
  <c r="K68"/>
  <c r="L68"/>
  <c r="M52"/>
  <c r="E52"/>
  <c r="F52"/>
  <c r="G52"/>
  <c r="H52"/>
  <c r="I52"/>
  <c r="J52"/>
  <c r="K52"/>
  <c r="L52"/>
  <c r="E53"/>
  <c r="F53"/>
  <c r="G53"/>
  <c r="K53"/>
  <c r="L53"/>
  <c r="I67" i="1" l="1"/>
  <c r="L6" i="4"/>
  <c r="E67" i="1"/>
  <c r="H6" i="4"/>
  <c r="F67" i="1"/>
  <c r="I6" i="4"/>
  <c r="G67" i="1"/>
  <c r="J6" i="4"/>
  <c r="H67" i="1"/>
  <c r="K6" i="4"/>
  <c r="D67" i="1"/>
  <c r="K18" i="9"/>
  <c r="I18"/>
  <c r="J18"/>
  <c r="L18"/>
  <c r="M13"/>
  <c r="G45" i="8"/>
  <c r="G44" s="1"/>
  <c r="G9" s="1"/>
  <c r="G12"/>
  <c r="G11" s="1"/>
  <c r="N13" i="9"/>
  <c r="K65" i="4"/>
  <c r="K64" s="1"/>
  <c r="I65"/>
  <c r="G65"/>
  <c r="E65"/>
  <c r="E64" s="1"/>
  <c r="L65"/>
  <c r="J65"/>
  <c r="H65"/>
  <c r="H64" s="1"/>
  <c r="F65"/>
  <c r="F64" s="1"/>
  <c r="L55"/>
  <c r="L54" s="1"/>
  <c r="J55"/>
  <c r="J54" s="1"/>
  <c r="H55"/>
  <c r="H54" s="1"/>
  <c r="K55"/>
  <c r="K54" s="1"/>
  <c r="I55"/>
  <c r="I54" s="1"/>
  <c r="G55"/>
  <c r="G54" s="1"/>
  <c r="E55"/>
  <c r="E54" s="1"/>
  <c r="K22" i="8"/>
  <c r="I22"/>
  <c r="I21" s="1"/>
  <c r="E22"/>
  <c r="E21" s="1"/>
  <c r="I12"/>
  <c r="I11" s="1"/>
  <c r="E12"/>
  <c r="E11" s="1"/>
  <c r="L22"/>
  <c r="L21" s="1"/>
  <c r="J22"/>
  <c r="J21" s="1"/>
  <c r="H22"/>
  <c r="H21" s="1"/>
  <c r="L12"/>
  <c r="L11" s="1"/>
  <c r="G22"/>
  <c r="H12"/>
  <c r="H11" s="1"/>
  <c r="F55" i="4"/>
  <c r="F54" s="1"/>
  <c r="K12" i="8"/>
  <c r="K11" s="1"/>
  <c r="J12"/>
  <c r="J11" s="1"/>
  <c r="G50"/>
  <c r="G144" s="1"/>
  <c r="E10" i="9"/>
  <c r="K21" i="8"/>
  <c r="L64" i="4"/>
  <c r="G64" l="1"/>
  <c r="M8"/>
  <c r="M6" s="1"/>
  <c r="G6"/>
  <c r="N6"/>
  <c r="J64"/>
  <c r="I64"/>
  <c r="E365" i="2"/>
  <c r="H41"/>
  <c r="J41"/>
  <c r="K41"/>
  <c r="L41"/>
  <c r="G138"/>
  <c r="E143"/>
  <c r="F143"/>
  <c r="E140"/>
  <c r="F140"/>
  <c r="F45" s="1"/>
  <c r="E136"/>
  <c r="E133"/>
  <c r="F133"/>
  <c r="F38" s="1"/>
  <c r="E131"/>
  <c r="E90"/>
  <c r="E88"/>
  <c r="E85"/>
  <c r="E83"/>
  <c r="E82"/>
  <c r="E38" l="1"/>
  <c r="E37"/>
  <c r="E42"/>
  <c r="E51"/>
  <c r="E45"/>
  <c r="E44" s="1"/>
  <c r="K44"/>
  <c r="K43" s="1"/>
  <c r="I44"/>
  <c r="K36"/>
  <c r="K35" s="1"/>
  <c r="L44"/>
  <c r="L43" s="1"/>
  <c r="J44"/>
  <c r="J43" s="1"/>
  <c r="H44"/>
  <c r="H43" s="1"/>
  <c r="L36"/>
  <c r="L35" s="1"/>
  <c r="J36"/>
  <c r="J35" s="1"/>
  <c r="H36"/>
  <c r="H35" s="1"/>
  <c r="E41" l="1"/>
  <c r="E49"/>
  <c r="E43" s="1"/>
  <c r="E36"/>
  <c r="M115" i="13"/>
  <c r="M114" s="1"/>
  <c r="M113" s="1"/>
  <c r="M111"/>
  <c r="M110" s="1"/>
  <c r="M109" s="1"/>
  <c r="M100"/>
  <c r="M67"/>
  <c r="M66" s="1"/>
  <c r="M65"/>
  <c r="M64" s="1"/>
  <c r="M51"/>
  <c r="M75"/>
  <c r="M40"/>
  <c r="M39" s="1"/>
  <c r="M38"/>
  <c r="M37" s="1"/>
  <c r="M31"/>
  <c r="M30" s="1"/>
  <c r="M29"/>
  <c r="M28" s="1"/>
  <c r="M17"/>
  <c r="M269" i="9"/>
  <c r="M268" s="1"/>
  <c r="M265"/>
  <c r="M264" s="1"/>
  <c r="M262"/>
  <c r="M261" s="1"/>
  <c r="M260" s="1"/>
  <c r="M201"/>
  <c r="M200"/>
  <c r="M197"/>
  <c r="M196"/>
  <c r="M188"/>
  <c r="M187" s="1"/>
  <c r="M186"/>
  <c r="M185" s="1"/>
  <c r="M179"/>
  <c r="M178"/>
  <c r="M175"/>
  <c r="M174"/>
  <c r="M166"/>
  <c r="M165" s="1"/>
  <c r="M164"/>
  <c r="M163" s="1"/>
  <c r="M157"/>
  <c r="M156" s="1"/>
  <c r="M155"/>
  <c r="M154" s="1"/>
  <c r="M146"/>
  <c r="M145" s="1"/>
  <c r="M142"/>
  <c r="M141" s="1"/>
  <c r="M135"/>
  <c r="M134" s="1"/>
  <c r="M133"/>
  <c r="M132" s="1"/>
  <c r="M109"/>
  <c r="M101"/>
  <c r="M100" s="1"/>
  <c r="M99"/>
  <c r="M98" s="1"/>
  <c r="M133" i="8"/>
  <c r="M132" s="1"/>
  <c r="M131" s="1"/>
  <c r="M125"/>
  <c r="M124"/>
  <c r="M132" i="7"/>
  <c r="M131"/>
  <c r="M129" s="1"/>
  <c r="M128" s="1"/>
  <c r="M120"/>
  <c r="M108"/>
  <c r="M107"/>
  <c r="M105" s="1"/>
  <c r="M104" s="1"/>
  <c r="M82"/>
  <c r="M81"/>
  <c r="M79" s="1"/>
  <c r="M78" s="1"/>
  <c r="M70"/>
  <c r="M68"/>
  <c r="M67" s="1"/>
  <c r="M66" s="1"/>
  <c r="M58"/>
  <c r="M56"/>
  <c r="M55" s="1"/>
  <c r="M54" s="1"/>
  <c r="M46"/>
  <c r="M15"/>
  <c r="M260" i="6"/>
  <c r="M259"/>
  <c r="M250"/>
  <c r="M249" s="1"/>
  <c r="M230"/>
  <c r="M229" s="1"/>
  <c r="M228"/>
  <c r="M218"/>
  <c r="M214"/>
  <c r="M173"/>
  <c r="M129"/>
  <c r="M120"/>
  <c r="M102"/>
  <c r="M17" s="1"/>
  <c r="M101"/>
  <c r="M99"/>
  <c r="M87"/>
  <c r="M86" s="1"/>
  <c r="M85"/>
  <c r="M84" s="1"/>
  <c r="M65"/>
  <c r="M64" s="1"/>
  <c r="M63"/>
  <c r="M62"/>
  <c r="M53"/>
  <c r="M52"/>
  <c r="M48"/>
  <c r="M47"/>
  <c r="M44"/>
  <c r="M43"/>
  <c r="M96" i="4"/>
  <c r="M95" s="1"/>
  <c r="M94" s="1"/>
  <c r="M91"/>
  <c r="M90"/>
  <c r="M89" s="1"/>
  <c r="M86"/>
  <c r="M85"/>
  <c r="M84" s="1"/>
  <c r="M76"/>
  <c r="M61" s="1"/>
  <c r="M74"/>
  <c r="M101" i="3"/>
  <c r="M89"/>
  <c r="M79"/>
  <c r="M78" s="1"/>
  <c r="M77"/>
  <c r="M76"/>
  <c r="M66"/>
  <c r="M65"/>
  <c r="M63" s="1"/>
  <c r="M50"/>
  <c r="M37"/>
  <c r="M36"/>
  <c r="M35"/>
  <c r="M31"/>
  <c r="M30"/>
  <c r="M29"/>
  <c r="M659" i="2"/>
  <c r="M658" s="1"/>
  <c r="M657" s="1"/>
  <c r="M652"/>
  <c r="M651" s="1"/>
  <c r="M650" s="1"/>
  <c r="M644"/>
  <c r="M624"/>
  <c r="M623" s="1"/>
  <c r="M622" s="1"/>
  <c r="M620"/>
  <c r="M619" s="1"/>
  <c r="M618" s="1"/>
  <c r="M613"/>
  <c r="M612"/>
  <c r="M605"/>
  <c r="M604"/>
  <c r="M580"/>
  <c r="M579" s="1"/>
  <c r="M578" s="1"/>
  <c r="M573"/>
  <c r="M572"/>
  <c r="M571" s="1"/>
  <c r="M570" s="1"/>
  <c r="M558"/>
  <c r="M557"/>
  <c r="M553"/>
  <c r="M552" s="1"/>
  <c r="M551" s="1"/>
  <c r="M542"/>
  <c r="M506"/>
  <c r="M505" s="1"/>
  <c r="M504"/>
  <c r="M503" s="1"/>
  <c r="M488"/>
  <c r="M487" s="1"/>
  <c r="M486"/>
  <c r="M485" s="1"/>
  <c r="M473"/>
  <c r="M472"/>
  <c r="M470"/>
  <c r="M469"/>
  <c r="M468"/>
  <c r="M445"/>
  <c r="M444"/>
  <c r="M440"/>
  <c r="M439"/>
  <c r="M415"/>
  <c r="M414" s="1"/>
  <c r="M413"/>
  <c r="M412" s="1"/>
  <c r="M406"/>
  <c r="M405" s="1"/>
  <c r="M404"/>
  <c r="M403" s="1"/>
  <c r="M375"/>
  <c r="M356"/>
  <c r="M355" s="1"/>
  <c r="M354"/>
  <c r="M353" s="1"/>
  <c r="M315"/>
  <c r="M332"/>
  <c r="M331" s="1"/>
  <c r="M330"/>
  <c r="M329"/>
  <c r="M244"/>
  <c r="M232"/>
  <c r="M220"/>
  <c r="M120"/>
  <c r="M119" s="1"/>
  <c r="M108"/>
  <c r="M107" s="1"/>
  <c r="M97"/>
  <c r="M96" s="1"/>
  <c r="M95"/>
  <c r="M85"/>
  <c r="M84" s="1"/>
  <c r="M83"/>
  <c r="M73"/>
  <c r="M72" s="1"/>
  <c r="M71"/>
  <c r="M60"/>
  <c r="M58" s="1"/>
  <c r="M57"/>
  <c r="K164" i="1"/>
  <c r="K152"/>
  <c r="K147"/>
  <c r="K146"/>
  <c r="K145"/>
  <c r="K144"/>
  <c r="K143"/>
  <c r="K142"/>
  <c r="K141"/>
  <c r="K140"/>
  <c r="K139"/>
  <c r="K138"/>
  <c r="K137"/>
  <c r="K136"/>
  <c r="M74" i="13" l="1"/>
  <c r="E35" i="2"/>
  <c r="K165" i="1"/>
  <c r="M123" i="8"/>
  <c r="M122" s="1"/>
  <c r="M38" i="6"/>
  <c r="M53" i="4"/>
  <c r="M51" s="1"/>
  <c r="M62" i="3"/>
  <c r="M402" i="2"/>
  <c r="M411"/>
  <c r="M328"/>
  <c r="M327" s="1"/>
  <c r="M467"/>
  <c r="M258" i="6"/>
  <c r="M257" s="1"/>
  <c r="M195" i="9"/>
  <c r="M194" s="1"/>
  <c r="M173"/>
  <c r="M172" s="1"/>
  <c r="M199"/>
  <c r="M198" s="1"/>
  <c r="M556" i="2"/>
  <c r="M555" s="1"/>
  <c r="M61" i="6"/>
  <c r="M60" s="1"/>
  <c r="V110" i="4"/>
  <c r="K148" i="1"/>
  <c r="M83" i="6"/>
  <c r="M471" i="2"/>
  <c r="M72" i="4"/>
  <c r="M71" s="1"/>
  <c r="M36" i="13"/>
  <c r="M27"/>
  <c r="M213" i="6"/>
  <c r="M162" i="9"/>
  <c r="M153"/>
  <c r="M63" i="13"/>
  <c r="M131" i="9"/>
  <c r="M97"/>
  <c r="M140"/>
  <c r="M184"/>
  <c r="M55" i="4"/>
  <c r="M54" s="1"/>
  <c r="M75" i="3"/>
  <c r="M74" s="1"/>
  <c r="M603" i="2"/>
  <c r="M602" s="1"/>
  <c r="M611"/>
  <c r="M610" s="1"/>
  <c r="M484"/>
  <c r="M502"/>
  <c r="M352"/>
  <c r="M139" i="5"/>
  <c r="M138" s="1"/>
  <c r="M129"/>
  <c r="M126"/>
  <c r="M125" s="1"/>
  <c r="M119"/>
  <c r="M118" s="1"/>
  <c r="M117" s="1"/>
  <c r="M101"/>
  <c r="M72"/>
  <c r="M71" s="1"/>
  <c r="M70" s="1"/>
  <c r="M65"/>
  <c r="M64" s="1"/>
  <c r="M63" s="1"/>
  <c r="M58"/>
  <c r="M57" s="1"/>
  <c r="M56" s="1"/>
  <c r="M50"/>
  <c r="M49" s="1"/>
  <c r="M30"/>
  <c r="M28"/>
  <c r="M12"/>
  <c r="E75"/>
  <c r="E72"/>
  <c r="E47"/>
  <c r="M42"/>
  <c r="M41" s="1"/>
  <c r="E42"/>
  <c r="M40"/>
  <c r="M39" s="1"/>
  <c r="E40"/>
  <c r="M466" i="2" l="1"/>
  <c r="M193" i="9"/>
  <c r="M38" i="5"/>
  <c r="M27"/>
  <c r="E346" i="2"/>
  <c r="E348" l="1"/>
  <c r="E342"/>
  <c r="M367" l="1"/>
  <c r="M366" s="1"/>
  <c r="M365"/>
  <c r="M364" s="1"/>
  <c r="M541"/>
  <c r="M540" s="1"/>
  <c r="M539" s="1"/>
  <c r="M565"/>
  <c r="M564" s="1"/>
  <c r="M563" s="1"/>
  <c r="M198"/>
  <c r="M197" s="1"/>
  <c r="M195"/>
  <c r="M194" s="1"/>
  <c r="M150"/>
  <c r="M149" s="1"/>
  <c r="E141"/>
  <c r="E138"/>
  <c r="M136"/>
  <c r="M134" s="1"/>
  <c r="M131"/>
  <c r="M116"/>
  <c r="M115" s="1"/>
  <c r="M114" s="1"/>
  <c r="M106"/>
  <c r="M105" s="1"/>
  <c r="M104" s="1"/>
  <c r="M94"/>
  <c r="M93" s="1"/>
  <c r="M92" s="1"/>
  <c r="M82"/>
  <c r="M81" s="1"/>
  <c r="M80" s="1"/>
  <c r="M70"/>
  <c r="M69" s="1"/>
  <c r="M68" s="1"/>
  <c r="M56"/>
  <c r="M55" s="1"/>
  <c r="M54" s="1"/>
  <c r="M193" l="1"/>
  <c r="E137"/>
  <c r="M363"/>
  <c r="M133"/>
  <c r="M130" s="1"/>
  <c r="M129" s="1"/>
  <c r="M147"/>
  <c r="M146" s="1"/>
  <c r="M145" s="1"/>
  <c r="E149"/>
  <c r="E146"/>
  <c r="E154"/>
  <c r="E151" s="1"/>
  <c r="N92" i="4"/>
  <c r="H157" i="6"/>
  <c r="I157"/>
  <c r="J157"/>
  <c r="K157"/>
  <c r="L157"/>
  <c r="F158"/>
  <c r="F157" s="1"/>
  <c r="G158"/>
  <c r="G157" s="1"/>
  <c r="D159"/>
  <c r="M159" s="1"/>
  <c r="N159"/>
  <c r="H161"/>
  <c r="H160" s="1"/>
  <c r="I161"/>
  <c r="I160" s="1"/>
  <c r="J161"/>
  <c r="J160" s="1"/>
  <c r="K161"/>
  <c r="K160" s="1"/>
  <c r="L161"/>
  <c r="L160" s="1"/>
  <c r="F162"/>
  <c r="F161" s="1"/>
  <c r="G162"/>
  <c r="G161" s="1"/>
  <c r="G160" s="1"/>
  <c r="F164"/>
  <c r="G164"/>
  <c r="H164"/>
  <c r="I164"/>
  <c r="J164"/>
  <c r="K164"/>
  <c r="L164"/>
  <c r="D165"/>
  <c r="H167"/>
  <c r="H166" s="1"/>
  <c r="I167"/>
  <c r="I166" s="1"/>
  <c r="J167"/>
  <c r="J166" s="1"/>
  <c r="K167"/>
  <c r="K166" s="1"/>
  <c r="L167"/>
  <c r="L166" s="1"/>
  <c r="F168"/>
  <c r="F167" s="1"/>
  <c r="G168"/>
  <c r="G167" s="1"/>
  <c r="G166" s="1"/>
  <c r="N173"/>
  <c r="N53"/>
  <c r="N47"/>
  <c r="N48"/>
  <c r="N44"/>
  <c r="N43"/>
  <c r="N100" i="13"/>
  <c r="N65"/>
  <c r="N64" s="1"/>
  <c r="N67"/>
  <c r="N66" s="1"/>
  <c r="N51"/>
  <c r="N40"/>
  <c r="N38"/>
  <c r="N31"/>
  <c r="N29"/>
  <c r="N158" i="6" l="1"/>
  <c r="N162"/>
  <c r="N63" i="13"/>
  <c r="E145" i="2"/>
  <c r="D164" i="6"/>
  <c r="L163"/>
  <c r="F166"/>
  <c r="D166" s="1"/>
  <c r="D167"/>
  <c r="K163"/>
  <c r="I163"/>
  <c r="G163"/>
  <c r="F160"/>
  <c r="F156" s="1"/>
  <c r="D161"/>
  <c r="M161" s="1"/>
  <c r="N161"/>
  <c r="D157"/>
  <c r="M157" s="1"/>
  <c r="N157"/>
  <c r="K156"/>
  <c r="I156"/>
  <c r="J163"/>
  <c r="H163"/>
  <c r="G156"/>
  <c r="L156"/>
  <c r="J156"/>
  <c r="H156"/>
  <c r="D168"/>
  <c r="D162"/>
  <c r="M162" s="1"/>
  <c r="D158"/>
  <c r="M158" s="1"/>
  <c r="D254" i="9"/>
  <c r="N266"/>
  <c r="N262"/>
  <c r="N201"/>
  <c r="N200"/>
  <c r="N197"/>
  <c r="N196"/>
  <c r="N188"/>
  <c r="N186"/>
  <c r="N175"/>
  <c r="N174"/>
  <c r="N166"/>
  <c r="N164"/>
  <c r="N157"/>
  <c r="N155"/>
  <c r="N146"/>
  <c r="N142"/>
  <c r="N135"/>
  <c r="N133"/>
  <c r="N109"/>
  <c r="N101"/>
  <c r="N99"/>
  <c r="N124" i="8"/>
  <c r="N18"/>
  <c r="N47"/>
  <c r="N14" s="1"/>
  <c r="N35"/>
  <c r="N15" s="1"/>
  <c r="N173" i="9" l="1"/>
  <c r="F163" i="6"/>
  <c r="D163" s="1"/>
  <c r="N195" i="9"/>
  <c r="N194" s="1"/>
  <c r="N199"/>
  <c r="N198" s="1"/>
  <c r="D156" i="6"/>
  <c r="M156" s="1"/>
  <c r="N156"/>
  <c r="D160"/>
  <c r="M160" s="1"/>
  <c r="N160"/>
  <c r="N193" i="9" l="1"/>
  <c r="N131" i="7"/>
  <c r="N99" i="6"/>
  <c r="N101"/>
  <c r="N131"/>
  <c r="N130"/>
  <c r="N129"/>
  <c r="E15"/>
  <c r="J15"/>
  <c r="K15"/>
  <c r="L15"/>
  <c r="E16"/>
  <c r="E22"/>
  <c r="H22"/>
  <c r="I22"/>
  <c r="J22"/>
  <c r="K22"/>
  <c r="L22"/>
  <c r="N259"/>
  <c r="N251"/>
  <c r="N230"/>
  <c r="N228"/>
  <c r="N87"/>
  <c r="N85"/>
  <c r="N76"/>
  <c r="N74"/>
  <c r="N65"/>
  <c r="N63"/>
  <c r="N62"/>
  <c r="N40" i="5"/>
  <c r="N42"/>
  <c r="N72"/>
  <c r="N58"/>
  <c r="N87" i="4"/>
  <c r="N76"/>
  <c r="N61" s="1"/>
  <c r="N75"/>
  <c r="N59" s="1"/>
  <c r="N74"/>
  <c r="N13" i="3"/>
  <c r="N103"/>
  <c r="N101"/>
  <c r="N100"/>
  <c r="N89"/>
  <c r="N79"/>
  <c r="N77"/>
  <c r="N76"/>
  <c r="N65"/>
  <c r="N659" i="2"/>
  <c r="N652"/>
  <c r="N645"/>
  <c r="N644"/>
  <c r="N637"/>
  <c r="N636"/>
  <c r="N632"/>
  <c r="N592"/>
  <c r="N565"/>
  <c r="N553"/>
  <c r="N542"/>
  <c r="N541"/>
  <c r="N415"/>
  <c r="N413"/>
  <c r="N406"/>
  <c r="N404"/>
  <c r="N397"/>
  <c r="N395"/>
  <c r="N388"/>
  <c r="N386"/>
  <c r="N377"/>
  <c r="N375"/>
  <c r="N374"/>
  <c r="N367"/>
  <c r="N365"/>
  <c r="N315"/>
  <c r="N294"/>
  <c r="N222"/>
  <c r="N220"/>
  <c r="N207"/>
  <c r="N198"/>
  <c r="N195"/>
  <c r="N150"/>
  <c r="N147"/>
  <c r="N136"/>
  <c r="N133"/>
  <c r="N131"/>
  <c r="N120"/>
  <c r="N116"/>
  <c r="N108"/>
  <c r="N106"/>
  <c r="N97"/>
  <c r="N95"/>
  <c r="N94"/>
  <c r="N85"/>
  <c r="N83"/>
  <c r="N82"/>
  <c r="N73"/>
  <c r="N71"/>
  <c r="N70"/>
  <c r="N60"/>
  <c r="N57"/>
  <c r="N56"/>
  <c r="N56" i="4" l="1"/>
  <c r="W109"/>
  <c r="V112" s="1"/>
  <c r="N52"/>
  <c r="M13" i="3"/>
  <c r="M645" i="2" l="1"/>
  <c r="M643" s="1"/>
  <c r="M642" s="1"/>
  <c r="F632" l="1"/>
  <c r="M632" s="1"/>
  <c r="M631" s="1"/>
  <c r="M630" s="1"/>
  <c r="F60" i="9" l="1"/>
  <c r="N55"/>
  <c r="M55"/>
  <c r="M54" s="1"/>
  <c r="N52"/>
  <c r="N51" s="1"/>
  <c r="M52"/>
  <c r="M51" s="1"/>
  <c r="F48"/>
  <c r="N43"/>
  <c r="M43"/>
  <c r="M42" s="1"/>
  <c r="N40"/>
  <c r="N39" s="1"/>
  <c r="G22"/>
  <c r="G18" s="1"/>
  <c r="F36"/>
  <c r="F23" l="1"/>
  <c r="F22" s="1"/>
  <c r="F18" s="1"/>
  <c r="M50"/>
  <c r="M40"/>
  <c r="M39" s="1"/>
  <c r="M38" s="1"/>
  <c r="M28"/>
  <c r="N28"/>
  <c r="M31"/>
  <c r="M30" s="1"/>
  <c r="H224" i="2"/>
  <c r="H226"/>
  <c r="F227"/>
  <c r="H221"/>
  <c r="H218"/>
  <c r="M222"/>
  <c r="M221" s="1"/>
  <c r="G37"/>
  <c r="N210"/>
  <c r="M210"/>
  <c r="M209" s="1"/>
  <c r="M207"/>
  <c r="G141"/>
  <c r="G137" s="1"/>
  <c r="N174"/>
  <c r="F191"/>
  <c r="N186"/>
  <c r="N183"/>
  <c r="G51" l="1"/>
  <c r="N219"/>
  <c r="N27" i="9"/>
  <c r="M27"/>
  <c r="M26" s="1"/>
  <c r="M219" i="2"/>
  <c r="M218" s="1"/>
  <c r="M217" s="1"/>
  <c r="H217"/>
  <c r="M291"/>
  <c r="M290" s="1"/>
  <c r="M208"/>
  <c r="M206" s="1"/>
  <c r="M205" s="1"/>
  <c r="N208"/>
  <c r="N291"/>
  <c r="M183"/>
  <c r="M182" s="1"/>
  <c r="M186"/>
  <c r="M185" s="1"/>
  <c r="M173"/>
  <c r="H223"/>
  <c r="G49" l="1"/>
  <c r="M169"/>
  <c r="M181"/>
  <c r="J628" l="1"/>
  <c r="J627"/>
  <c r="I628"/>
  <c r="G628"/>
  <c r="H628"/>
  <c r="J587"/>
  <c r="J586" s="1"/>
  <c r="J585" s="1"/>
  <c r="I587"/>
  <c r="I586" s="1"/>
  <c r="I585" s="1"/>
  <c r="H587"/>
  <c r="N587" l="1"/>
  <c r="M628"/>
  <c r="M627" s="1"/>
  <c r="M626" s="1"/>
  <c r="M587"/>
  <c r="M586" s="1"/>
  <c r="M585" s="1"/>
  <c r="N628"/>
  <c r="J626"/>
  <c r="G150" i="3"/>
  <c r="H150"/>
  <c r="I150"/>
  <c r="J150"/>
  <c r="K150"/>
  <c r="F150"/>
  <c r="M150" l="1"/>
  <c r="M149" s="1"/>
  <c r="M148" s="1"/>
  <c r="N635" i="2"/>
  <c r="M130" i="6" l="1"/>
  <c r="L108"/>
  <c r="L100"/>
  <c r="F104"/>
  <c r="E125"/>
  <c r="E121"/>
  <c r="E102"/>
  <c r="F96"/>
  <c r="D130"/>
  <c r="D129"/>
  <c r="E109"/>
  <c r="E96"/>
  <c r="E14" s="1"/>
  <c r="L96" l="1"/>
  <c r="E106"/>
  <c r="E17"/>
  <c r="B25" i="1" s="1"/>
  <c r="N17" i="13" l="1"/>
  <c r="F21"/>
  <c r="F20" s="1"/>
  <c r="D257" i="9"/>
  <c r="D256" s="1"/>
  <c r="D56" i="8"/>
  <c r="D124" i="7"/>
  <c r="D131"/>
  <c r="D44"/>
  <c r="D28"/>
  <c r="D130"/>
  <c r="D263" i="6"/>
  <c r="D260"/>
  <c r="D45" i="5"/>
  <c r="D44" s="1"/>
  <c r="D106" i="3"/>
  <c r="D101"/>
  <c r="D94"/>
  <c r="D89"/>
  <c r="D43"/>
  <c r="D40"/>
  <c r="D37"/>
  <c r="D31"/>
  <c r="D509" i="2"/>
  <c r="D506"/>
  <c r="D504"/>
  <c r="D491"/>
  <c r="D488"/>
  <c r="D486"/>
  <c r="D482"/>
  <c r="D481"/>
  <c r="D480"/>
  <c r="D478"/>
  <c r="D477"/>
  <c r="D476"/>
  <c r="D473"/>
  <c r="D472"/>
  <c r="D470"/>
  <c r="D469"/>
  <c r="D468"/>
  <c r="D445"/>
  <c r="D444"/>
  <c r="D576"/>
  <c r="D573"/>
  <c r="D572"/>
  <c r="D561"/>
  <c r="D558"/>
  <c r="D557"/>
  <c r="D359"/>
  <c r="D356"/>
  <c r="D354"/>
  <c r="D309"/>
  <c r="D337"/>
  <c r="D335"/>
  <c r="D332"/>
  <c r="D330"/>
  <c r="D329"/>
  <c r="D297"/>
  <c r="D292"/>
  <c r="D249"/>
  <c r="D244"/>
  <c r="D237"/>
  <c r="D232"/>
  <c r="D126"/>
  <c r="D124"/>
  <c r="D123"/>
  <c r="D102"/>
  <c r="D65"/>
  <c r="D59"/>
  <c r="D57"/>
  <c r="J42" i="1"/>
  <c r="E182" i="6"/>
  <c r="E181" s="1"/>
  <c r="E179"/>
  <c r="E171"/>
  <c r="E175"/>
  <c r="E174" s="1"/>
  <c r="E144"/>
  <c r="E143" s="1"/>
  <c r="E19" s="1"/>
  <c r="E23"/>
  <c r="E21" s="1"/>
  <c r="N15" i="1"/>
  <c r="E151" i="6" l="1"/>
  <c r="E25" s="1"/>
  <c r="E24" s="1"/>
  <c r="E20" s="1"/>
  <c r="E13"/>
  <c r="E170"/>
  <c r="E178"/>
  <c r="E142"/>
  <c r="E18"/>
  <c r="E150" l="1"/>
  <c r="E12"/>
  <c r="E255"/>
  <c r="E23" i="13"/>
  <c r="E21"/>
  <c r="E20" s="1"/>
  <c r="E14"/>
  <c r="E12" s="1"/>
  <c r="E21" i="7"/>
  <c r="E17" s="1"/>
  <c r="E15"/>
  <c r="E243" i="6"/>
  <c r="E242" s="1"/>
  <c r="E241" s="1"/>
  <c r="E25" i="5"/>
  <c r="E23" s="1"/>
  <c r="E20" s="1"/>
  <c r="E19"/>
  <c r="E17" s="1"/>
  <c r="E15"/>
  <c r="E14" s="1"/>
  <c r="E525" i="2"/>
  <c r="E524"/>
  <c r="E523"/>
  <c r="E519"/>
  <c r="E518"/>
  <c r="E517"/>
  <c r="E516"/>
  <c r="E28"/>
  <c r="E15"/>
  <c r="B21" i="1" s="1"/>
  <c r="E114" i="13"/>
  <c r="E113" s="1"/>
  <c r="E110"/>
  <c r="E109" s="1"/>
  <c r="E71"/>
  <c r="E69"/>
  <c r="E66"/>
  <c r="E64"/>
  <c r="E60"/>
  <c r="E58"/>
  <c r="E52"/>
  <c r="E39"/>
  <c r="E37"/>
  <c r="E30"/>
  <c r="E28"/>
  <c r="D115"/>
  <c r="D51"/>
  <c r="D111"/>
  <c r="D72"/>
  <c r="D71" s="1"/>
  <c r="D70"/>
  <c r="D69" s="1"/>
  <c r="D67"/>
  <c r="D66" s="1"/>
  <c r="D64"/>
  <c r="D48"/>
  <c r="D31"/>
  <c r="D29"/>
  <c r="E265" i="9"/>
  <c r="E264" s="1"/>
  <c r="E261"/>
  <c r="E260" s="1"/>
  <c r="E203"/>
  <c r="E198"/>
  <c r="E194"/>
  <c r="E190"/>
  <c r="E189" s="1"/>
  <c r="E187"/>
  <c r="E185"/>
  <c r="E181"/>
  <c r="E176"/>
  <c r="E172"/>
  <c r="E168"/>
  <c r="E165"/>
  <c r="E163"/>
  <c r="E159"/>
  <c r="E156"/>
  <c r="E154"/>
  <c r="E150"/>
  <c r="E145"/>
  <c r="E141"/>
  <c r="E137"/>
  <c r="E136" s="1"/>
  <c r="E134"/>
  <c r="E132"/>
  <c r="E128"/>
  <c r="E127" s="1"/>
  <c r="E123"/>
  <c r="E119"/>
  <c r="E113"/>
  <c r="E115"/>
  <c r="E110"/>
  <c r="E107"/>
  <c r="E103"/>
  <c r="E102" s="1"/>
  <c r="E100"/>
  <c r="E98"/>
  <c r="E81"/>
  <c r="E80" s="1"/>
  <c r="E76"/>
  <c r="E72"/>
  <c r="E68"/>
  <c r="E67" s="1"/>
  <c r="E65"/>
  <c r="E63"/>
  <c r="E59"/>
  <c r="E54"/>
  <c r="E47"/>
  <c r="E44" s="1"/>
  <c r="E42"/>
  <c r="E38" s="1"/>
  <c r="E35"/>
  <c r="E32" s="1"/>
  <c r="E30"/>
  <c r="D266"/>
  <c r="D262"/>
  <c r="D204"/>
  <c r="D191"/>
  <c r="D188"/>
  <c r="D186"/>
  <c r="D182"/>
  <c r="D160"/>
  <c r="D151"/>
  <c r="D150" s="1"/>
  <c r="D149" s="1"/>
  <c r="D146"/>
  <c r="D142"/>
  <c r="D138"/>
  <c r="D137" s="1"/>
  <c r="D136" s="1"/>
  <c r="D135"/>
  <c r="D133"/>
  <c r="D129"/>
  <c r="D128" s="1"/>
  <c r="D127" s="1"/>
  <c r="D114"/>
  <c r="D109"/>
  <c r="D13" s="1"/>
  <c r="D104"/>
  <c r="D103" s="1"/>
  <c r="D102" s="1"/>
  <c r="D101"/>
  <c r="D99"/>
  <c r="D69"/>
  <c r="E54" i="8"/>
  <c r="E51"/>
  <c r="E48"/>
  <c r="E45"/>
  <c r="E41"/>
  <c r="E39"/>
  <c r="E38" s="1"/>
  <c r="E36"/>
  <c r="E34"/>
  <c r="E123"/>
  <c r="E122" s="1"/>
  <c r="E107" s="1"/>
  <c r="E105" s="1"/>
  <c r="D128"/>
  <c r="D124"/>
  <c r="D53"/>
  <c r="E129" i="7"/>
  <c r="E123"/>
  <c r="E125"/>
  <c r="E120"/>
  <c r="E117"/>
  <c r="E51"/>
  <c r="E49"/>
  <c r="E46"/>
  <c r="E43"/>
  <c r="E25"/>
  <c r="E24" s="1"/>
  <c r="D118"/>
  <c r="D12" s="1"/>
  <c r="D121"/>
  <c r="D50"/>
  <c r="D47"/>
  <c r="D126"/>
  <c r="D52"/>
  <c r="D31"/>
  <c r="E258" i="6"/>
  <c r="E257" s="1"/>
  <c r="E254"/>
  <c r="E253" s="1"/>
  <c r="E250"/>
  <c r="E249" s="1"/>
  <c r="E234"/>
  <c r="E232"/>
  <c r="E229"/>
  <c r="E227"/>
  <c r="E223"/>
  <c r="E221"/>
  <c r="E218"/>
  <c r="E214"/>
  <c r="E148"/>
  <c r="E139"/>
  <c r="E138" s="1"/>
  <c r="E135"/>
  <c r="E134" s="1"/>
  <c r="E124"/>
  <c r="E120"/>
  <c r="E116"/>
  <c r="E115" s="1"/>
  <c r="E105"/>
  <c r="E95"/>
  <c r="E91"/>
  <c r="E89"/>
  <c r="E86"/>
  <c r="E84"/>
  <c r="E80"/>
  <c r="E78"/>
  <c r="E75"/>
  <c r="E73"/>
  <c r="E69"/>
  <c r="E67"/>
  <c r="E64"/>
  <c r="E61"/>
  <c r="E57"/>
  <c r="E55"/>
  <c r="E49"/>
  <c r="E40"/>
  <c r="E36"/>
  <c r="E35" s="1"/>
  <c r="E30"/>
  <c r="E28"/>
  <c r="D87"/>
  <c r="D70"/>
  <c r="D69" s="1"/>
  <c r="D37"/>
  <c r="D259"/>
  <c r="D251"/>
  <c r="D235"/>
  <c r="D233"/>
  <c r="D230"/>
  <c r="D228"/>
  <c r="D101"/>
  <c r="D99"/>
  <c r="D97"/>
  <c r="D92"/>
  <c r="D90"/>
  <c r="D85"/>
  <c r="D68"/>
  <c r="D65"/>
  <c r="D64" s="1"/>
  <c r="D63"/>
  <c r="D62"/>
  <c r="D58"/>
  <c r="D56"/>
  <c r="D43"/>
  <c r="E74" i="5"/>
  <c r="E73" s="1"/>
  <c r="E71"/>
  <c r="E70" s="1"/>
  <c r="E60"/>
  <c r="E59" s="1"/>
  <c r="E57"/>
  <c r="E56" s="1"/>
  <c r="E44"/>
  <c r="E46"/>
  <c r="E41"/>
  <c r="E39"/>
  <c r="D61"/>
  <c r="D92" i="4"/>
  <c r="E95"/>
  <c r="E94" s="1"/>
  <c r="E90"/>
  <c r="E89" s="1"/>
  <c r="E85"/>
  <c r="E84" s="1"/>
  <c r="E72"/>
  <c r="E71" s="1"/>
  <c r="E80"/>
  <c r="E79"/>
  <c r="D96"/>
  <c r="D91"/>
  <c r="D87"/>
  <c r="D56" s="1"/>
  <c r="D86"/>
  <c r="D66"/>
  <c r="D76"/>
  <c r="D75"/>
  <c r="D74"/>
  <c r="D58" s="1"/>
  <c r="D73"/>
  <c r="E155" i="3"/>
  <c r="E154" s="1"/>
  <c r="E149"/>
  <c r="E148" s="1"/>
  <c r="E145"/>
  <c r="E144" s="1"/>
  <c r="E137"/>
  <c r="E136" s="1"/>
  <c r="E133"/>
  <c r="E132" s="1"/>
  <c r="E128"/>
  <c r="E124"/>
  <c r="E105"/>
  <c r="E107"/>
  <c r="E102"/>
  <c r="E99"/>
  <c r="E93"/>
  <c r="E95"/>
  <c r="E90"/>
  <c r="E87"/>
  <c r="E81"/>
  <c r="E83"/>
  <c r="E78"/>
  <c r="E75"/>
  <c r="E69"/>
  <c r="E71"/>
  <c r="E66"/>
  <c r="E63"/>
  <c r="E56"/>
  <c r="E58"/>
  <c r="E51"/>
  <c r="E46"/>
  <c r="E32"/>
  <c r="E26"/>
  <c r="D76"/>
  <c r="D103" i="13" l="1"/>
  <c r="P63" i="6"/>
  <c r="E147"/>
  <c r="E239"/>
  <c r="E72"/>
  <c r="E83"/>
  <c r="E42" i="7"/>
  <c r="E56" i="9"/>
  <c r="E149"/>
  <c r="E180"/>
  <c r="E213" i="6"/>
  <c r="D22" i="7"/>
  <c r="E33" i="8"/>
  <c r="E54" i="6"/>
  <c r="E77"/>
  <c r="E231"/>
  <c r="D16" i="7"/>
  <c r="E44" i="8"/>
  <c r="E9" s="1"/>
  <c r="E48" i="7"/>
  <c r="E62" i="9"/>
  <c r="E116" i="7"/>
  <c r="E184" i="9"/>
  <c r="E26"/>
  <c r="E202"/>
  <c r="D19" i="7"/>
  <c r="D18" s="1"/>
  <c r="D59" i="4"/>
  <c r="E162" i="9"/>
  <c r="E158"/>
  <c r="D52" i="4"/>
  <c r="E50" i="8"/>
  <c r="E16" i="13"/>
  <c r="E97" i="9"/>
  <c r="E112"/>
  <c r="E171"/>
  <c r="E153"/>
  <c r="E167"/>
  <c r="E515" i="2"/>
  <c r="E514" s="1"/>
  <c r="E43" i="5"/>
  <c r="E143" s="1"/>
  <c r="E13"/>
  <c r="D67" i="6"/>
  <c r="E193" i="9"/>
  <c r="E226" i="6"/>
  <c r="E27"/>
  <c r="E39"/>
  <c r="E25" i="3"/>
  <c r="E45"/>
  <c r="E62"/>
  <c r="E74"/>
  <c r="E86"/>
  <c r="E98"/>
  <c r="E123"/>
  <c r="E94" i="6"/>
  <c r="E119"/>
  <c r="E27" i="13"/>
  <c r="E36"/>
  <c r="E45"/>
  <c r="E57"/>
  <c r="E63"/>
  <c r="E10" s="1"/>
  <c r="D61" i="6"/>
  <c r="E88"/>
  <c r="D63" i="13"/>
  <c r="D10" s="1"/>
  <c r="D68"/>
  <c r="D120" s="1"/>
  <c r="E68"/>
  <c r="E120" s="1"/>
  <c r="E50" i="9"/>
  <c r="E140"/>
  <c r="E71"/>
  <c r="E106"/>
  <c r="E118"/>
  <c r="E131"/>
  <c r="E122" i="7"/>
  <c r="E10"/>
  <c r="E60" i="6"/>
  <c r="E66"/>
  <c r="E220"/>
  <c r="E38" i="5"/>
  <c r="E51" i="4"/>
  <c r="E55" i="3"/>
  <c r="E68"/>
  <c r="E80"/>
  <c r="E92"/>
  <c r="E104"/>
  <c r="E521" i="2"/>
  <c r="E520" s="1"/>
  <c r="E127" i="8"/>
  <c r="E126" s="1"/>
  <c r="D84" i="3"/>
  <c r="D79"/>
  <c r="D156"/>
  <c r="D146"/>
  <c r="P146" s="1"/>
  <c r="D134"/>
  <c r="E564" i="2"/>
  <c r="E563" s="1"/>
  <c r="E658"/>
  <c r="E657" s="1"/>
  <c r="E651"/>
  <c r="E650" s="1"/>
  <c r="E647"/>
  <c r="E646" s="1"/>
  <c r="E643"/>
  <c r="E642" s="1"/>
  <c r="E639"/>
  <c r="E638" s="1"/>
  <c r="E635"/>
  <c r="E634" s="1"/>
  <c r="E627"/>
  <c r="E626" s="1"/>
  <c r="E594"/>
  <c r="E593" s="1"/>
  <c r="E590"/>
  <c r="E589" s="1"/>
  <c r="E586"/>
  <c r="E585" s="1"/>
  <c r="E552"/>
  <c r="E551" s="1"/>
  <c r="E548"/>
  <c r="E547" s="1"/>
  <c r="E544"/>
  <c r="E543" s="1"/>
  <c r="E540"/>
  <c r="E539" s="1"/>
  <c r="E532"/>
  <c r="E531" s="1"/>
  <c r="E528"/>
  <c r="E527" s="1"/>
  <c r="E447"/>
  <c r="E441"/>
  <c r="E436"/>
  <c r="E426"/>
  <c r="E421"/>
  <c r="E417"/>
  <c r="E416" s="1"/>
  <c r="E414"/>
  <c r="E413"/>
  <c r="E408"/>
  <c r="E407" s="1"/>
  <c r="E405"/>
  <c r="E279" i="9" l="1"/>
  <c r="E9"/>
  <c r="E670" i="2"/>
  <c r="B103" i="1" s="1"/>
  <c r="E278" i="9"/>
  <c r="E283" i="3"/>
  <c r="E8"/>
  <c r="E144" i="8"/>
  <c r="E146" s="1"/>
  <c r="E11" i="13"/>
  <c r="E10" i="8"/>
  <c r="E8" s="1"/>
  <c r="E446" i="2"/>
  <c r="E662" s="1"/>
  <c r="E284" i="3"/>
  <c r="E9"/>
  <c r="E8" i="9"/>
  <c r="P68" i="3"/>
  <c r="E669" i="2"/>
  <c r="B102" i="1" s="1"/>
  <c r="E10" i="6"/>
  <c r="E412" i="2"/>
  <c r="E411" s="1"/>
  <c r="E341"/>
  <c r="E11" i="6"/>
  <c r="E9" i="13"/>
  <c r="E512" i="2"/>
  <c r="E402"/>
  <c r="E420"/>
  <c r="E513"/>
  <c r="E435"/>
  <c r="E399"/>
  <c r="E398" s="1"/>
  <c r="E396"/>
  <c r="E394"/>
  <c r="E390"/>
  <c r="E389" s="1"/>
  <c r="E387"/>
  <c r="E385"/>
  <c r="E381"/>
  <c r="E379"/>
  <c r="E376"/>
  <c r="E373"/>
  <c r="E368"/>
  <c r="E366"/>
  <c r="E364"/>
  <c r="E324"/>
  <c r="E321"/>
  <c r="E318"/>
  <c r="E314"/>
  <c r="E298"/>
  <c r="E296"/>
  <c r="E293"/>
  <c r="E290"/>
  <c r="E248"/>
  <c r="E250"/>
  <c r="E245"/>
  <c r="E242"/>
  <c r="E236"/>
  <c r="E238"/>
  <c r="E233"/>
  <c r="E230"/>
  <c r="E226"/>
  <c r="E224"/>
  <c r="E221"/>
  <c r="E218"/>
  <c r="E214"/>
  <c r="E212"/>
  <c r="E209"/>
  <c r="E206"/>
  <c r="E202"/>
  <c r="E200"/>
  <c r="E197"/>
  <c r="E194"/>
  <c r="E190"/>
  <c r="E185"/>
  <c r="E182"/>
  <c r="E178"/>
  <c r="E173"/>
  <c r="E170"/>
  <c r="E166"/>
  <c r="E163" s="1"/>
  <c r="E161"/>
  <c r="E158"/>
  <c r="E134"/>
  <c r="E130"/>
  <c r="E125"/>
  <c r="E119"/>
  <c r="E115"/>
  <c r="E110"/>
  <c r="E109" s="1"/>
  <c r="E107"/>
  <c r="E105"/>
  <c r="D659"/>
  <c r="D652"/>
  <c r="D644"/>
  <c r="D628"/>
  <c r="D568"/>
  <c r="D553"/>
  <c r="D545"/>
  <c r="D542"/>
  <c r="D541"/>
  <c r="D533"/>
  <c r="D448"/>
  <c r="D418"/>
  <c r="D415"/>
  <c r="D413"/>
  <c r="D409"/>
  <c r="D406"/>
  <c r="D404"/>
  <c r="D380"/>
  <c r="D375"/>
  <c r="D315"/>
  <c r="D227"/>
  <c r="D225"/>
  <c r="D222"/>
  <c r="D220"/>
  <c r="D219"/>
  <c r="D215"/>
  <c r="D213"/>
  <c r="D210"/>
  <c r="D208"/>
  <c r="D140"/>
  <c r="D133"/>
  <c r="D132"/>
  <c r="D120"/>
  <c r="D111"/>
  <c r="D108"/>
  <c r="D100"/>
  <c r="D97"/>
  <c r="D95"/>
  <c r="D90"/>
  <c r="D88"/>
  <c r="D85"/>
  <c r="D83"/>
  <c r="D76"/>
  <c r="D73"/>
  <c r="D71"/>
  <c r="D78"/>
  <c r="D66"/>
  <c r="D63"/>
  <c r="D60"/>
  <c r="E187" l="1"/>
  <c r="E280" i="9"/>
  <c r="E7"/>
  <c r="E7" i="3"/>
  <c r="E671" i="2"/>
  <c r="E672" s="1"/>
  <c r="E9" i="6"/>
  <c r="E340" i="2"/>
  <c r="E339" s="1"/>
  <c r="E511"/>
  <c r="E8" i="13"/>
  <c r="E199" i="2"/>
  <c r="E205"/>
  <c r="E217"/>
  <c r="E223"/>
  <c r="E229"/>
  <c r="E241"/>
  <c r="E169"/>
  <c r="E175"/>
  <c r="E289"/>
  <c r="E295"/>
  <c r="E313"/>
  <c r="E320"/>
  <c r="E114"/>
  <c r="E104"/>
  <c r="E393"/>
  <c r="E247"/>
  <c r="E235"/>
  <c r="E372"/>
  <c r="E378"/>
  <c r="E384"/>
  <c r="E25"/>
  <c r="B37" i="1" s="1"/>
  <c r="E122" i="2"/>
  <c r="E121" s="1"/>
  <c r="E129"/>
  <c r="E157"/>
  <c r="E193"/>
  <c r="E363"/>
  <c r="E211"/>
  <c r="E181"/>
  <c r="K348" l="1"/>
  <c r="J348"/>
  <c r="I348"/>
  <c r="H348"/>
  <c r="G348"/>
  <c r="F348"/>
  <c r="D645" l="1"/>
  <c r="D648"/>
  <c r="B136" i="1" l="1"/>
  <c r="E136"/>
  <c r="G523" i="2" l="1"/>
  <c r="H523"/>
  <c r="I523"/>
  <c r="J523"/>
  <c r="K523"/>
  <c r="L523"/>
  <c r="G517"/>
  <c r="H517"/>
  <c r="I517"/>
  <c r="J517"/>
  <c r="K517"/>
  <c r="L517"/>
  <c r="G635"/>
  <c r="H635"/>
  <c r="I635"/>
  <c r="J635"/>
  <c r="K635"/>
  <c r="L635"/>
  <c r="F637"/>
  <c r="M637" s="1"/>
  <c r="F639"/>
  <c r="F638" s="1"/>
  <c r="L639"/>
  <c r="L638" s="1"/>
  <c r="K639"/>
  <c r="K638" s="1"/>
  <c r="J639"/>
  <c r="J638" s="1"/>
  <c r="I639"/>
  <c r="I638" s="1"/>
  <c r="H639"/>
  <c r="H638" s="1"/>
  <c r="G639"/>
  <c r="G638" s="1"/>
  <c r="N549"/>
  <c r="D565"/>
  <c r="F567"/>
  <c r="F566" s="1"/>
  <c r="G567"/>
  <c r="G566" s="1"/>
  <c r="H567"/>
  <c r="H566" s="1"/>
  <c r="I567"/>
  <c r="I566" s="1"/>
  <c r="J567"/>
  <c r="J566" s="1"/>
  <c r="K567"/>
  <c r="K566" s="1"/>
  <c r="L567"/>
  <c r="L566" s="1"/>
  <c r="D567"/>
  <c r="D566" s="1"/>
  <c r="M549" l="1"/>
  <c r="M548" s="1"/>
  <c r="M547" s="1"/>
  <c r="M513" s="1"/>
  <c r="D636"/>
  <c r="M636"/>
  <c r="M635" s="1"/>
  <c r="M634" s="1"/>
  <c r="D549"/>
  <c r="N517"/>
  <c r="D640"/>
  <c r="D639" s="1"/>
  <c r="D638" s="1"/>
  <c r="F517"/>
  <c r="M517" s="1"/>
  <c r="D637"/>
  <c r="D517" s="1"/>
  <c r="F635"/>
  <c r="F523"/>
  <c r="N77" i="9"/>
  <c r="N73"/>
  <c r="D523" i="2" l="1"/>
  <c r="M73" i="9"/>
  <c r="M72" s="1"/>
  <c r="M77"/>
  <c r="M76" s="1"/>
  <c r="D82"/>
  <c r="D197"/>
  <c r="D20"/>
  <c r="D19" s="1"/>
  <c r="M71" l="1"/>
  <c r="D81"/>
  <c r="D80" s="1"/>
  <c r="G396" i="2"/>
  <c r="G394"/>
  <c r="H399"/>
  <c r="H398" s="1"/>
  <c r="F400"/>
  <c r="D400" s="1"/>
  <c r="G385"/>
  <c r="H390"/>
  <c r="H389" s="1"/>
  <c r="F391"/>
  <c r="G387"/>
  <c r="F388"/>
  <c r="G376"/>
  <c r="H381"/>
  <c r="D370"/>
  <c r="D367"/>
  <c r="D365"/>
  <c r="H378" l="1"/>
  <c r="G384"/>
  <c r="D388"/>
  <c r="M388"/>
  <c r="M387" s="1"/>
  <c r="D395"/>
  <c r="M395"/>
  <c r="M394" s="1"/>
  <c r="D377"/>
  <c r="D345" s="1"/>
  <c r="M377"/>
  <c r="M376" s="1"/>
  <c r="D374"/>
  <c r="M374"/>
  <c r="M373" s="1"/>
  <c r="M386"/>
  <c r="M385" s="1"/>
  <c r="D397"/>
  <c r="M397"/>
  <c r="M396" s="1"/>
  <c r="D391"/>
  <c r="D382"/>
  <c r="D360" s="1"/>
  <c r="G393"/>
  <c r="G298"/>
  <c r="G295" s="1"/>
  <c r="F299"/>
  <c r="D299" s="1"/>
  <c r="D291"/>
  <c r="D82"/>
  <c r="D56"/>
  <c r="D106"/>
  <c r="D94"/>
  <c r="M384" l="1"/>
  <c r="M372"/>
  <c r="M393"/>
  <c r="D294"/>
  <c r="M294"/>
  <c r="M293" s="1"/>
  <c r="M289" s="1"/>
  <c r="N246"/>
  <c r="N243"/>
  <c r="D251"/>
  <c r="D127"/>
  <c r="D116"/>
  <c r="N234"/>
  <c r="D239"/>
  <c r="D155"/>
  <c r="D150"/>
  <c r="D147"/>
  <c r="D174"/>
  <c r="D198"/>
  <c r="D195"/>
  <c r="D186"/>
  <c r="N162"/>
  <c r="M162"/>
  <c r="M161" s="1"/>
  <c r="D143"/>
  <c r="D136"/>
  <c r="F119" i="7"/>
  <c r="D138"/>
  <c r="K137"/>
  <c r="J137"/>
  <c r="I137"/>
  <c r="H137"/>
  <c r="G137"/>
  <c r="F137"/>
  <c r="K135"/>
  <c r="J135"/>
  <c r="I135"/>
  <c r="H135"/>
  <c r="G135"/>
  <c r="F135"/>
  <c r="N132"/>
  <c r="K132"/>
  <c r="J132"/>
  <c r="I132"/>
  <c r="H132"/>
  <c r="G132"/>
  <c r="F132"/>
  <c r="N129"/>
  <c r="N128" s="1"/>
  <c r="D129"/>
  <c r="K129"/>
  <c r="J129"/>
  <c r="I129"/>
  <c r="I128" s="1"/>
  <c r="H129"/>
  <c r="G129"/>
  <c r="F129"/>
  <c r="F26"/>
  <c r="F9" s="1"/>
  <c r="H63" i="9"/>
  <c r="H65"/>
  <c r="G66"/>
  <c r="G64"/>
  <c r="F66"/>
  <c r="F64"/>
  <c r="D60"/>
  <c r="D55"/>
  <c r="D52"/>
  <c r="D51" s="1"/>
  <c r="D48"/>
  <c r="D43"/>
  <c r="D40"/>
  <c r="D39" s="1"/>
  <c r="H22"/>
  <c r="H18" s="1"/>
  <c r="D28"/>
  <c r="I134" i="7" l="1"/>
  <c r="H134"/>
  <c r="G7"/>
  <c r="G13"/>
  <c r="F13"/>
  <c r="G134"/>
  <c r="K134"/>
  <c r="D27" i="9"/>
  <c r="N66"/>
  <c r="M119" i="7"/>
  <c r="M117" s="1"/>
  <c r="M116" s="1"/>
  <c r="M37" i="2"/>
  <c r="N64" i="9"/>
  <c r="F7" i="7"/>
  <c r="N119"/>
  <c r="G117"/>
  <c r="N26"/>
  <c r="M26"/>
  <c r="D119"/>
  <c r="D64" i="9"/>
  <c r="M64"/>
  <c r="D66"/>
  <c r="M66"/>
  <c r="M65" s="1"/>
  <c r="H62"/>
  <c r="N159" i="2"/>
  <c r="D231"/>
  <c r="M231"/>
  <c r="M230" s="1"/>
  <c r="D243"/>
  <c r="M243"/>
  <c r="M242" s="1"/>
  <c r="M159"/>
  <c r="M158" s="1"/>
  <c r="M157" s="1"/>
  <c r="M234"/>
  <c r="M233" s="1"/>
  <c r="M246"/>
  <c r="M245" s="1"/>
  <c r="D246"/>
  <c r="D159"/>
  <c r="D167"/>
  <c r="D31" i="9"/>
  <c r="D36"/>
  <c r="D136" i="7"/>
  <c r="D135" s="1"/>
  <c r="D26"/>
  <c r="F128"/>
  <c r="H128"/>
  <c r="J128"/>
  <c r="F134"/>
  <c r="D162" i="2"/>
  <c r="D183"/>
  <c r="D191"/>
  <c r="D171"/>
  <c r="D179"/>
  <c r="D234"/>
  <c r="G128" i="7"/>
  <c r="K128"/>
  <c r="J134"/>
  <c r="D137"/>
  <c r="E137"/>
  <c r="E132"/>
  <c r="E128" s="1"/>
  <c r="E135"/>
  <c r="F199" i="9"/>
  <c r="F198" s="1"/>
  <c r="L203"/>
  <c r="K203"/>
  <c r="J203"/>
  <c r="I203"/>
  <c r="H203"/>
  <c r="G203"/>
  <c r="F203"/>
  <c r="D201"/>
  <c r="D200"/>
  <c r="L199"/>
  <c r="L198" s="1"/>
  <c r="K199"/>
  <c r="K198" s="1"/>
  <c r="J199"/>
  <c r="J198" s="1"/>
  <c r="I199"/>
  <c r="I198" s="1"/>
  <c r="H199"/>
  <c r="H198" s="1"/>
  <c r="G199"/>
  <c r="G198" s="1"/>
  <c r="D196"/>
  <c r="L195"/>
  <c r="K195"/>
  <c r="J195"/>
  <c r="I195"/>
  <c r="H195"/>
  <c r="G195"/>
  <c r="F195"/>
  <c r="F12" s="1"/>
  <c r="F11" l="1"/>
  <c r="M63"/>
  <c r="M62" s="1"/>
  <c r="J202"/>
  <c r="M229" i="2"/>
  <c r="Q7" i="7"/>
  <c r="F11"/>
  <c r="F194" i="9"/>
  <c r="F202"/>
  <c r="L202"/>
  <c r="G11" i="7"/>
  <c r="J194" i="9"/>
  <c r="H194"/>
  <c r="L194"/>
  <c r="G194"/>
  <c r="I194"/>
  <c r="K194"/>
  <c r="K202"/>
  <c r="M25" i="7"/>
  <c r="M24" s="1"/>
  <c r="M241" i="2"/>
  <c r="H202" i="9"/>
  <c r="D195"/>
  <c r="G202"/>
  <c r="I202"/>
  <c r="D199"/>
  <c r="D134" i="7"/>
  <c r="D133"/>
  <c r="D132" s="1"/>
  <c r="D128" s="1"/>
  <c r="D203" i="9"/>
  <c r="E134" i="7"/>
  <c r="D198" i="9"/>
  <c r="F131" i="6"/>
  <c r="H193" i="9" l="1"/>
  <c r="G193"/>
  <c r="F193"/>
  <c r="L193"/>
  <c r="D202"/>
  <c r="J193"/>
  <c r="I193"/>
  <c r="K193"/>
  <c r="D131" i="6"/>
  <c r="M131"/>
  <c r="D194" i="9"/>
  <c r="D193" s="1"/>
  <c r="G132" i="6"/>
  <c r="N132" s="1"/>
  <c r="G122"/>
  <c r="G112"/>
  <c r="M112" s="1"/>
  <c r="K100"/>
  <c r="K96" l="1"/>
  <c r="N127"/>
  <c r="M127"/>
  <c r="D112"/>
  <c r="N112"/>
  <c r="F106"/>
  <c r="F102"/>
  <c r="D127"/>
  <c r="D81"/>
  <c r="D76" l="1"/>
  <c r="M76"/>
  <c r="M75" s="1"/>
  <c r="D74"/>
  <c r="M74"/>
  <c r="M73" s="1"/>
  <c r="D79"/>
  <c r="G113" i="9"/>
  <c r="F113"/>
  <c r="N108"/>
  <c r="F107"/>
  <c r="G107"/>
  <c r="H107"/>
  <c r="I107"/>
  <c r="J107"/>
  <c r="K107"/>
  <c r="L107"/>
  <c r="G187"/>
  <c r="D187" s="1"/>
  <c r="F190"/>
  <c r="G190"/>
  <c r="H190"/>
  <c r="I190"/>
  <c r="J190"/>
  <c r="K190"/>
  <c r="L190"/>
  <c r="L189" s="1"/>
  <c r="F185"/>
  <c r="G185"/>
  <c r="H185"/>
  <c r="I185"/>
  <c r="J185"/>
  <c r="K185"/>
  <c r="L185"/>
  <c r="L184" s="1"/>
  <c r="D179"/>
  <c r="D178"/>
  <c r="D174"/>
  <c r="N187"/>
  <c r="N185"/>
  <c r="F181"/>
  <c r="G181"/>
  <c r="H181"/>
  <c r="I181"/>
  <c r="J181"/>
  <c r="K181"/>
  <c r="L181"/>
  <c r="F177"/>
  <c r="F16" s="1"/>
  <c r="G177"/>
  <c r="H177"/>
  <c r="H16" s="1"/>
  <c r="I177"/>
  <c r="I16" s="1"/>
  <c r="J177"/>
  <c r="J16" s="1"/>
  <c r="K177"/>
  <c r="K16" s="1"/>
  <c r="L177"/>
  <c r="L16" s="1"/>
  <c r="G173"/>
  <c r="H173"/>
  <c r="I173"/>
  <c r="J173"/>
  <c r="J12" s="1"/>
  <c r="J11" s="1"/>
  <c r="K173"/>
  <c r="K12" s="1"/>
  <c r="K11" s="1"/>
  <c r="L173"/>
  <c r="G12" l="1"/>
  <c r="G11" s="1"/>
  <c r="H12"/>
  <c r="H11" s="1"/>
  <c r="I12"/>
  <c r="I11" s="1"/>
  <c r="G16"/>
  <c r="G15" s="1"/>
  <c r="K15"/>
  <c r="K10" s="1"/>
  <c r="J15"/>
  <c r="J10" s="1"/>
  <c r="F15"/>
  <c r="L15"/>
  <c r="H15"/>
  <c r="I15"/>
  <c r="M72" i="6"/>
  <c r="N177" i="9"/>
  <c r="N176" s="1"/>
  <c r="N107"/>
  <c r="L12"/>
  <c r="L11" s="1"/>
  <c r="D113"/>
  <c r="H189"/>
  <c r="F189"/>
  <c r="J189"/>
  <c r="F184"/>
  <c r="M108"/>
  <c r="M177"/>
  <c r="M176" s="1"/>
  <c r="M171" s="1"/>
  <c r="N172"/>
  <c r="G189"/>
  <c r="D108"/>
  <c r="K180"/>
  <c r="I180"/>
  <c r="G180"/>
  <c r="K184"/>
  <c r="G184"/>
  <c r="D177"/>
  <c r="D173"/>
  <c r="L180"/>
  <c r="J180"/>
  <c r="H180"/>
  <c r="F180"/>
  <c r="I184"/>
  <c r="J184"/>
  <c r="H184"/>
  <c r="K189"/>
  <c r="I189"/>
  <c r="K176"/>
  <c r="I176"/>
  <c r="G176"/>
  <c r="L176"/>
  <c r="J176"/>
  <c r="H176"/>
  <c r="F176"/>
  <c r="L172"/>
  <c r="J172"/>
  <c r="H172"/>
  <c r="K172"/>
  <c r="I172"/>
  <c r="G172"/>
  <c r="D185"/>
  <c r="D181"/>
  <c r="D190"/>
  <c r="N184"/>
  <c r="F172"/>
  <c r="N658" i="2"/>
  <c r="N657" s="1"/>
  <c r="F658"/>
  <c r="F657" s="1"/>
  <c r="G658"/>
  <c r="G657" s="1"/>
  <c r="H658"/>
  <c r="H657" s="1"/>
  <c r="I658"/>
  <c r="I657" s="1"/>
  <c r="J658"/>
  <c r="J657" s="1"/>
  <c r="J513" s="1"/>
  <c r="K658"/>
  <c r="K657" s="1"/>
  <c r="K513" s="1"/>
  <c r="L658"/>
  <c r="L657" s="1"/>
  <c r="L513" s="1"/>
  <c r="D658"/>
  <c r="D657" s="1"/>
  <c r="I530"/>
  <c r="I529"/>
  <c r="F530"/>
  <c r="F529"/>
  <c r="I595"/>
  <c r="I522" s="1"/>
  <c r="H595"/>
  <c r="H522" s="1"/>
  <c r="I591"/>
  <c r="H591"/>
  <c r="I10" i="9" l="1"/>
  <c r="D176"/>
  <c r="M107"/>
  <c r="L10"/>
  <c r="N530" i="2"/>
  <c r="N529"/>
  <c r="G171" i="9"/>
  <c r="N591" i="2"/>
  <c r="K171" i="9"/>
  <c r="M591" i="2"/>
  <c r="L171" i="9"/>
  <c r="D184"/>
  <c r="G10"/>
  <c r="D189"/>
  <c r="D172"/>
  <c r="D171" s="1"/>
  <c r="D529" i="2"/>
  <c r="M529"/>
  <c r="D530"/>
  <c r="M530"/>
  <c r="N171" i="9"/>
  <c r="D591" i="2"/>
  <c r="H171" i="9"/>
  <c r="D180"/>
  <c r="J171"/>
  <c r="I171"/>
  <c r="D595" i="2"/>
  <c r="D522" s="1"/>
  <c r="F171" i="9"/>
  <c r="M528" i="2" l="1"/>
  <c r="M527" s="1"/>
  <c r="L10" i="13" l="1"/>
  <c r="K10"/>
  <c r="J10"/>
  <c r="I10"/>
  <c r="H10"/>
  <c r="G10"/>
  <c r="H21"/>
  <c r="H20" s="1"/>
  <c r="I21"/>
  <c r="I20" s="1"/>
  <c r="J21"/>
  <c r="J20" s="1"/>
  <c r="K21"/>
  <c r="K20" s="1"/>
  <c r="N10" l="1"/>
  <c r="D57" i="4" l="1"/>
  <c r="D61" i="13" l="1"/>
  <c r="F64"/>
  <c r="F66"/>
  <c r="G69"/>
  <c r="G71"/>
  <c r="G438" i="2"/>
  <c r="H438"/>
  <c r="I438"/>
  <c r="F438"/>
  <c r="F443"/>
  <c r="G443"/>
  <c r="H443"/>
  <c r="I443"/>
  <c r="J341"/>
  <c r="N438" l="1"/>
  <c r="M443"/>
  <c r="M438"/>
  <c r="D59" i="13"/>
  <c r="D21" s="1"/>
  <c r="D20" s="1"/>
  <c r="G21"/>
  <c r="G20" s="1"/>
  <c r="F63"/>
  <c r="D443" i="2"/>
  <c r="G68" i="13"/>
  <c r="G120" s="1"/>
  <c r="F10" l="1"/>
  <c r="M10" s="1"/>
  <c r="D438" i="2"/>
  <c r="D439"/>
  <c r="D440"/>
  <c r="G437"/>
  <c r="H437"/>
  <c r="I437"/>
  <c r="I341" s="1"/>
  <c r="F437"/>
  <c r="N443"/>
  <c r="N444"/>
  <c r="N445"/>
  <c r="G442"/>
  <c r="H442"/>
  <c r="I442"/>
  <c r="I344" s="1"/>
  <c r="I343" s="1"/>
  <c r="F442"/>
  <c r="F344" s="1"/>
  <c r="F343" s="1"/>
  <c r="D447"/>
  <c r="D446" s="1"/>
  <c r="H447"/>
  <c r="I447"/>
  <c r="G447"/>
  <c r="M437" l="1"/>
  <c r="M436" s="1"/>
  <c r="M442"/>
  <c r="M441" s="1"/>
  <c r="N442"/>
  <c r="N441" s="1"/>
  <c r="D437"/>
  <c r="N437"/>
  <c r="N436" s="1"/>
  <c r="D442"/>
  <c r="F441"/>
  <c r="I446"/>
  <c r="G446"/>
  <c r="H446"/>
  <c r="H436"/>
  <c r="I436"/>
  <c r="G436"/>
  <c r="F436"/>
  <c r="G441"/>
  <c r="H441"/>
  <c r="I441"/>
  <c r="N435" l="1"/>
  <c r="M435"/>
  <c r="D441"/>
  <c r="H435"/>
  <c r="G435"/>
  <c r="F435"/>
  <c r="D436"/>
  <c r="I435"/>
  <c r="D435" l="1"/>
  <c r="D55" i="6" l="1"/>
  <c r="D57"/>
  <c r="G55"/>
  <c r="H55"/>
  <c r="I55"/>
  <c r="J55"/>
  <c r="F55"/>
  <c r="G57"/>
  <c r="H57"/>
  <c r="I57"/>
  <c r="J57"/>
  <c r="F57"/>
  <c r="F41"/>
  <c r="G41"/>
  <c r="H41"/>
  <c r="I41"/>
  <c r="F45"/>
  <c r="G45"/>
  <c r="H45"/>
  <c r="H15" s="1"/>
  <c r="I45"/>
  <c r="I15" s="1"/>
  <c r="F50"/>
  <c r="G50"/>
  <c r="H50"/>
  <c r="H49" s="1"/>
  <c r="I50"/>
  <c r="I49" s="1"/>
  <c r="F61"/>
  <c r="D45" l="1"/>
  <c r="N50"/>
  <c r="N49" s="1"/>
  <c r="M50"/>
  <c r="M49" s="1"/>
  <c r="M45"/>
  <c r="M41"/>
  <c r="N45"/>
  <c r="G49"/>
  <c r="N41"/>
  <c r="F49"/>
  <c r="D50"/>
  <c r="D49" s="1"/>
  <c r="D41"/>
  <c r="J54"/>
  <c r="H54"/>
  <c r="F54"/>
  <c r="I54"/>
  <c r="G54"/>
  <c r="P54" s="1"/>
  <c r="D54"/>
  <c r="I40"/>
  <c r="G40"/>
  <c r="H40"/>
  <c r="F40"/>
  <c r="N40" l="1"/>
  <c r="N39" s="1"/>
  <c r="M40"/>
  <c r="M39" s="1"/>
  <c r="F39"/>
  <c r="H39"/>
  <c r="I39"/>
  <c r="G39"/>
  <c r="D40"/>
  <c r="D39" s="1"/>
  <c r="M172" l="1"/>
  <c r="M171" s="1"/>
  <c r="N172"/>
  <c r="N171" s="1"/>
  <c r="N177"/>
  <c r="N199"/>
  <c r="I200"/>
  <c r="I198" s="1"/>
  <c r="H200"/>
  <c r="I207"/>
  <c r="H207"/>
  <c r="N176" l="1"/>
  <c r="N175" s="1"/>
  <c r="N174" s="1"/>
  <c r="M176"/>
  <c r="D596" i="2" l="1"/>
  <c r="D592" l="1"/>
  <c r="M592"/>
  <c r="M590" s="1"/>
  <c r="M589" s="1"/>
  <c r="M512" s="1"/>
  <c r="M511" s="1"/>
  <c r="G524"/>
  <c r="H524"/>
  <c r="I524"/>
  <c r="J524"/>
  <c r="K524"/>
  <c r="L524"/>
  <c r="L518"/>
  <c r="K518"/>
  <c r="J518"/>
  <c r="I518"/>
  <c r="H518"/>
  <c r="G518"/>
  <c r="F518"/>
  <c r="F524"/>
  <c r="F647"/>
  <c r="F646" s="1"/>
  <c r="F670" s="1"/>
  <c r="D647"/>
  <c r="L643"/>
  <c r="K643"/>
  <c r="J643"/>
  <c r="I643"/>
  <c r="H643"/>
  <c r="G643"/>
  <c r="M518" l="1"/>
  <c r="N518"/>
  <c r="F643"/>
  <c r="D646"/>
  <c r="D144" i="9" l="1"/>
  <c r="D148"/>
  <c r="H143"/>
  <c r="H147"/>
  <c r="D147" s="1"/>
  <c r="D143"/>
  <c r="D34" i="13" l="1"/>
  <c r="D25" s="1"/>
  <c r="D43"/>
  <c r="K119" l="1"/>
  <c r="K121" s="1"/>
  <c r="L119"/>
  <c r="L121" s="1"/>
  <c r="M29" i="6" l="1"/>
  <c r="M28" s="1"/>
  <c r="M34" l="1"/>
  <c r="D34"/>
  <c r="D29"/>
  <c r="N29"/>
  <c r="M111" i="9"/>
  <c r="M110" s="1"/>
  <c r="M106" s="1"/>
  <c r="F98"/>
  <c r="N111" l="1"/>
  <c r="D111"/>
  <c r="D116"/>
  <c r="D23" s="1"/>
  <c r="D131" i="2"/>
  <c r="D115" i="9" l="1"/>
  <c r="D112" s="1"/>
  <c r="F84" i="6"/>
  <c r="F86"/>
  <c r="F89"/>
  <c r="F91"/>
  <c r="F88" l="1"/>
  <c r="F83"/>
  <c r="I99" i="13"/>
  <c r="J99"/>
  <c r="K99"/>
  <c r="L99"/>
  <c r="N114"/>
  <c r="N113" s="1"/>
  <c r="H114"/>
  <c r="H113" s="1"/>
  <c r="G114"/>
  <c r="G113" s="1"/>
  <c r="F114"/>
  <c r="F113" s="1"/>
  <c r="D114" l="1"/>
  <c r="D113" s="1"/>
  <c r="K31" i="6"/>
  <c r="J31"/>
  <c r="I31"/>
  <c r="H31"/>
  <c r="G31"/>
  <c r="F31"/>
  <c r="M31" l="1"/>
  <c r="M30" s="1"/>
  <c r="M27" s="1"/>
  <c r="N31"/>
  <c r="D31"/>
  <c r="D59" i="9"/>
  <c r="D56" s="1"/>
  <c r="H59"/>
  <c r="G59"/>
  <c r="F59"/>
  <c r="G54"/>
  <c r="N54"/>
  <c r="D54"/>
  <c r="F54"/>
  <c r="H56" l="1"/>
  <c r="F56"/>
  <c r="G56"/>
  <c r="N50"/>
  <c r="G50"/>
  <c r="D50"/>
  <c r="F50" l="1"/>
  <c r="N255" i="6"/>
  <c r="L138" i="3" l="1"/>
  <c r="K138"/>
  <c r="J138"/>
  <c r="I138"/>
  <c r="H138"/>
  <c r="G138"/>
  <c r="F138"/>
  <c r="D155"/>
  <c r="D154" s="1"/>
  <c r="L155"/>
  <c r="K155"/>
  <c r="J155"/>
  <c r="I155"/>
  <c r="H155"/>
  <c r="G155"/>
  <c r="F155"/>
  <c r="L150"/>
  <c r="J149"/>
  <c r="I149"/>
  <c r="H149"/>
  <c r="K149"/>
  <c r="G149"/>
  <c r="D145"/>
  <c r="D144" s="1"/>
  <c r="L145"/>
  <c r="K145"/>
  <c r="J145"/>
  <c r="I145"/>
  <c r="H145"/>
  <c r="G145"/>
  <c r="F145"/>
  <c r="D133"/>
  <c r="D132" s="1"/>
  <c r="L133"/>
  <c r="L132" s="1"/>
  <c r="K133"/>
  <c r="K132" s="1"/>
  <c r="J133"/>
  <c r="J132" s="1"/>
  <c r="I133"/>
  <c r="H133"/>
  <c r="G133"/>
  <c r="F133"/>
  <c r="D131"/>
  <c r="D130"/>
  <c r="L129"/>
  <c r="L17" s="1"/>
  <c r="K129"/>
  <c r="J129"/>
  <c r="I129"/>
  <c r="H129"/>
  <c r="G129"/>
  <c r="F129"/>
  <c r="D127"/>
  <c r="D126"/>
  <c r="L125"/>
  <c r="L12" s="1"/>
  <c r="K125"/>
  <c r="K12" s="1"/>
  <c r="J125"/>
  <c r="J12" s="1"/>
  <c r="I125"/>
  <c r="H125"/>
  <c r="G125"/>
  <c r="F125"/>
  <c r="F17" l="1"/>
  <c r="J17"/>
  <c r="J15" s="1"/>
  <c r="L11"/>
  <c r="K11"/>
  <c r="J11"/>
  <c r="I17"/>
  <c r="K17"/>
  <c r="L15"/>
  <c r="J137"/>
  <c r="J136" s="1"/>
  <c r="K137"/>
  <c r="K136" s="1"/>
  <c r="L137"/>
  <c r="L136" s="1"/>
  <c r="K154"/>
  <c r="K128"/>
  <c r="J128"/>
  <c r="J124"/>
  <c r="I124"/>
  <c r="H124"/>
  <c r="L124"/>
  <c r="K124"/>
  <c r="N125"/>
  <c r="N124" s="1"/>
  <c r="M129"/>
  <c r="M128" s="1"/>
  <c r="H137"/>
  <c r="H136" s="1"/>
  <c r="I137"/>
  <c r="I136" s="1"/>
  <c r="G137"/>
  <c r="G136" s="1"/>
  <c r="N150"/>
  <c r="F154"/>
  <c r="H154"/>
  <c r="J154"/>
  <c r="L154"/>
  <c r="L144"/>
  <c r="G154"/>
  <c r="I154"/>
  <c r="M138"/>
  <c r="M137" s="1"/>
  <c r="M136" s="1"/>
  <c r="D138"/>
  <c r="D137" s="1"/>
  <c r="D136" s="1"/>
  <c r="M125"/>
  <c r="M124" s="1"/>
  <c r="N138"/>
  <c r="G124"/>
  <c r="N129"/>
  <c r="L149"/>
  <c r="L148" s="1"/>
  <c r="D150"/>
  <c r="P151" s="1"/>
  <c r="F144"/>
  <c r="J144"/>
  <c r="F137"/>
  <c r="F136" s="1"/>
  <c r="D129"/>
  <c r="D125"/>
  <c r="H144"/>
  <c r="G132"/>
  <c r="I132"/>
  <c r="G144"/>
  <c r="P144" s="1"/>
  <c r="I144"/>
  <c r="K144"/>
  <c r="G148"/>
  <c r="H148"/>
  <c r="J148"/>
  <c r="F132"/>
  <c r="H132"/>
  <c r="K148"/>
  <c r="I148"/>
  <c r="G128"/>
  <c r="I128"/>
  <c r="F149"/>
  <c r="H128"/>
  <c r="L128"/>
  <c r="F128"/>
  <c r="F124"/>
  <c r="K15" l="1"/>
  <c r="K10" s="1"/>
  <c r="J123"/>
  <c r="L123"/>
  <c r="P136"/>
  <c r="L10"/>
  <c r="J10"/>
  <c r="K123"/>
  <c r="H123"/>
  <c r="I123"/>
  <c r="M123"/>
  <c r="G123"/>
  <c r="F148"/>
  <c r="F123"/>
  <c r="N149"/>
  <c r="N148" s="1"/>
  <c r="D149"/>
  <c r="D148" s="1"/>
  <c r="N137"/>
  <c r="N136" s="1"/>
  <c r="N128"/>
  <c r="N123" s="1"/>
  <c r="D128"/>
  <c r="D124"/>
  <c r="D123" l="1"/>
  <c r="J516" i="2"/>
  <c r="K516"/>
  <c r="L516"/>
  <c r="N651"/>
  <c r="N650" s="1"/>
  <c r="D651"/>
  <c r="D650" s="1"/>
  <c r="I651"/>
  <c r="I650" s="1"/>
  <c r="H651"/>
  <c r="H650" s="1"/>
  <c r="G651"/>
  <c r="G650" s="1"/>
  <c r="F651"/>
  <c r="F650" s="1"/>
  <c r="L111" i="6" l="1"/>
  <c r="P105" l="1"/>
  <c r="P95"/>
  <c r="P94" l="1"/>
  <c r="J512" i="2"/>
  <c r="K512"/>
  <c r="L512"/>
  <c r="F519"/>
  <c r="G519"/>
  <c r="H519"/>
  <c r="I519"/>
  <c r="J519"/>
  <c r="K519"/>
  <c r="L519"/>
  <c r="F525"/>
  <c r="C79" i="1" s="1"/>
  <c r="G525" i="2"/>
  <c r="D79" i="1" s="1"/>
  <c r="H525" i="2"/>
  <c r="E79" i="1" s="1"/>
  <c r="I525" i="2"/>
  <c r="F79" i="1" s="1"/>
  <c r="J525" i="2"/>
  <c r="G79" i="1" s="1"/>
  <c r="K525" i="2"/>
  <c r="H79" i="1" s="1"/>
  <c r="L525" i="2"/>
  <c r="I79" i="1" s="1"/>
  <c r="H528" i="2"/>
  <c r="H527" s="1"/>
  <c r="I528"/>
  <c r="I527" s="1"/>
  <c r="D532"/>
  <c r="D531" s="1"/>
  <c r="G528"/>
  <c r="F532"/>
  <c r="F531" s="1"/>
  <c r="G532"/>
  <c r="G531" s="1"/>
  <c r="H532"/>
  <c r="H531" s="1"/>
  <c r="I532"/>
  <c r="I531" s="1"/>
  <c r="J532"/>
  <c r="J531" s="1"/>
  <c r="J669" s="1"/>
  <c r="K532"/>
  <c r="K531" s="1"/>
  <c r="K669" s="1"/>
  <c r="L532"/>
  <c r="L531" s="1"/>
  <c r="L669" s="1"/>
  <c r="D519"/>
  <c r="H102" i="1" l="1"/>
  <c r="K671" i="2"/>
  <c r="I102" i="1"/>
  <c r="L671" i="2"/>
  <c r="G102" i="1"/>
  <c r="J671" i="2"/>
  <c r="M519"/>
  <c r="N519"/>
  <c r="D525"/>
  <c r="N528"/>
  <c r="F528"/>
  <c r="F306" l="1"/>
  <c r="F311"/>
  <c r="F304"/>
  <c r="I325"/>
  <c r="I51" s="1"/>
  <c r="F325"/>
  <c r="G322"/>
  <c r="F322"/>
  <c r="I319"/>
  <c r="I42" s="1"/>
  <c r="G41"/>
  <c r="F319"/>
  <c r="I316"/>
  <c r="G316"/>
  <c r="F316"/>
  <c r="F51" l="1"/>
  <c r="F42"/>
  <c r="I41"/>
  <c r="G48"/>
  <c r="G44" s="1"/>
  <c r="G43" s="1"/>
  <c r="F40"/>
  <c r="F36" s="1"/>
  <c r="G40"/>
  <c r="G36" s="1"/>
  <c r="G35" s="1"/>
  <c r="I40"/>
  <c r="I36" s="1"/>
  <c r="F48"/>
  <c r="F44" s="1"/>
  <c r="M319"/>
  <c r="M318" s="1"/>
  <c r="M316"/>
  <c r="M314" s="1"/>
  <c r="D304"/>
  <c r="M304"/>
  <c r="M302" s="1"/>
  <c r="D306"/>
  <c r="M306"/>
  <c r="M305" s="1"/>
  <c r="D316"/>
  <c r="N319"/>
  <c r="D322"/>
  <c r="D48" s="1"/>
  <c r="D311"/>
  <c r="D325"/>
  <c r="D319"/>
  <c r="F49" l="1"/>
  <c r="F43" s="1"/>
  <c r="D42"/>
  <c r="I49"/>
  <c r="I43" s="1"/>
  <c r="I35"/>
  <c r="D40"/>
  <c r="N40"/>
  <c r="M313"/>
  <c r="M42"/>
  <c r="F41"/>
  <c r="F35" s="1"/>
  <c r="M301"/>
  <c r="F95" i="4"/>
  <c r="F94" s="1"/>
  <c r="G95"/>
  <c r="G94" s="1"/>
  <c r="H95"/>
  <c r="H94" s="1"/>
  <c r="I95"/>
  <c r="I94" s="1"/>
  <c r="J95"/>
  <c r="J94" s="1"/>
  <c r="K95"/>
  <c r="K94" s="1"/>
  <c r="L95"/>
  <c r="L94" s="1"/>
  <c r="N95" l="1"/>
  <c r="N94" s="1"/>
  <c r="D95"/>
  <c r="D94" s="1"/>
  <c r="M120" i="9" l="1"/>
  <c r="N120"/>
  <c r="N12" s="1"/>
  <c r="N11" s="1"/>
  <c r="D120"/>
  <c r="D12" s="1"/>
  <c r="M119" l="1"/>
  <c r="M12"/>
  <c r="M11" s="1"/>
  <c r="M124"/>
  <c r="M123" s="1"/>
  <c r="D11"/>
  <c r="H10"/>
  <c r="N16"/>
  <c r="N124"/>
  <c r="D124"/>
  <c r="D16" s="1"/>
  <c r="M118" l="1"/>
  <c r="P23"/>
  <c r="F10"/>
  <c r="M16"/>
  <c r="M15" s="1"/>
  <c r="G163" l="1"/>
  <c r="D108" i="3" l="1"/>
  <c r="N91"/>
  <c r="F21"/>
  <c r="F18" s="1"/>
  <c r="D91" l="1"/>
  <c r="M91"/>
  <c r="M90" s="1"/>
  <c r="D88"/>
  <c r="P88" s="1"/>
  <c r="M88"/>
  <c r="M87" s="1"/>
  <c r="D96"/>
  <c r="D103"/>
  <c r="M103"/>
  <c r="M102" s="1"/>
  <c r="D100"/>
  <c r="M100"/>
  <c r="M99" s="1"/>
  <c r="D165" i="9"/>
  <c r="D168"/>
  <c r="D167" s="1"/>
  <c r="N154"/>
  <c r="N156"/>
  <c r="D154"/>
  <c r="G154"/>
  <c r="H154"/>
  <c r="F154"/>
  <c r="D156"/>
  <c r="G156"/>
  <c r="H156"/>
  <c r="F156"/>
  <c r="G159"/>
  <c r="H159"/>
  <c r="F159"/>
  <c r="D159"/>
  <c r="D158" s="1"/>
  <c r="D278" s="1"/>
  <c r="N163"/>
  <c r="N165"/>
  <c r="H163"/>
  <c r="I163"/>
  <c r="F163"/>
  <c r="D163"/>
  <c r="G165"/>
  <c r="H165"/>
  <c r="I165"/>
  <c r="F165"/>
  <c r="G168"/>
  <c r="H168"/>
  <c r="I168"/>
  <c r="F168"/>
  <c r="G427" i="2"/>
  <c r="H427"/>
  <c r="H344" s="1"/>
  <c r="H343" s="1"/>
  <c r="J31"/>
  <c r="I31"/>
  <c r="K31"/>
  <c r="L31"/>
  <c r="G22" i="6"/>
  <c r="F22"/>
  <c r="N219"/>
  <c r="G15"/>
  <c r="F15"/>
  <c r="N215"/>
  <c r="N128"/>
  <c r="L123"/>
  <c r="K123"/>
  <c r="K121" s="1"/>
  <c r="K120" s="1"/>
  <c r="J123"/>
  <c r="I123"/>
  <c r="I121" s="1"/>
  <c r="I120" s="1"/>
  <c r="H123"/>
  <c r="G123"/>
  <c r="G121" s="1"/>
  <c r="G120" s="1"/>
  <c r="F123"/>
  <c r="L133"/>
  <c r="L125" s="1"/>
  <c r="K133"/>
  <c r="K125" s="1"/>
  <c r="J133"/>
  <c r="J125" s="1"/>
  <c r="I133"/>
  <c r="I125" s="1"/>
  <c r="H133"/>
  <c r="H125" s="1"/>
  <c r="G133"/>
  <c r="F133"/>
  <c r="F132"/>
  <c r="M132" s="1"/>
  <c r="H116"/>
  <c r="H115" s="1"/>
  <c r="F116"/>
  <c r="F115" s="1"/>
  <c r="L114"/>
  <c r="K114"/>
  <c r="J114"/>
  <c r="I114"/>
  <c r="H114"/>
  <c r="G114"/>
  <c r="G113"/>
  <c r="K111"/>
  <c r="J111"/>
  <c r="I111"/>
  <c r="H111"/>
  <c r="G111"/>
  <c r="L110"/>
  <c r="K110"/>
  <c r="J110"/>
  <c r="M109"/>
  <c r="K108"/>
  <c r="L104"/>
  <c r="L102" s="1"/>
  <c r="K104"/>
  <c r="K102" s="1"/>
  <c r="J104"/>
  <c r="I104"/>
  <c r="I102" s="1"/>
  <c r="H104"/>
  <c r="G104"/>
  <c r="G103"/>
  <c r="H96"/>
  <c r="I98"/>
  <c r="N37" i="8"/>
  <c r="N20" s="1"/>
  <c r="N16" s="1"/>
  <c r="D72" i="5"/>
  <c r="D75"/>
  <c r="D74" s="1"/>
  <c r="D73" s="1"/>
  <c r="D40"/>
  <c r="D42"/>
  <c r="D41" s="1"/>
  <c r="D47"/>
  <c r="F33" i="3"/>
  <c r="F16" s="1"/>
  <c r="F15" s="1"/>
  <c r="G27"/>
  <c r="H27"/>
  <c r="I27"/>
  <c r="I12" s="1"/>
  <c r="J137" i="9"/>
  <c r="K137"/>
  <c r="L137"/>
  <c r="I134"/>
  <c r="J134"/>
  <c r="K134"/>
  <c r="L134"/>
  <c r="I132"/>
  <c r="J132"/>
  <c r="K132"/>
  <c r="L132"/>
  <c r="H132"/>
  <c r="F72"/>
  <c r="F30"/>
  <c r="F26" s="1"/>
  <c r="F110"/>
  <c r="F63"/>
  <c r="F65"/>
  <c r="F132"/>
  <c r="F134"/>
  <c r="G76"/>
  <c r="G72"/>
  <c r="G30"/>
  <c r="G26" s="1"/>
  <c r="G110"/>
  <c r="G63"/>
  <c r="G65"/>
  <c r="G132"/>
  <c r="G134"/>
  <c r="H134"/>
  <c r="H76"/>
  <c r="H72"/>
  <c r="H26"/>
  <c r="H106"/>
  <c r="I76"/>
  <c r="I72"/>
  <c r="I106"/>
  <c r="J76"/>
  <c r="J71" s="1"/>
  <c r="J106"/>
  <c r="K131"/>
  <c r="K76"/>
  <c r="K71" s="1"/>
  <c r="K106"/>
  <c r="L76"/>
  <c r="L71" s="1"/>
  <c r="L106"/>
  <c r="F97"/>
  <c r="F119"/>
  <c r="F123"/>
  <c r="F141"/>
  <c r="F145"/>
  <c r="G103"/>
  <c r="G98"/>
  <c r="G119"/>
  <c r="G123"/>
  <c r="G141"/>
  <c r="G145"/>
  <c r="H97"/>
  <c r="H119"/>
  <c r="H123"/>
  <c r="H141"/>
  <c r="H145"/>
  <c r="I97"/>
  <c r="I118"/>
  <c r="I140"/>
  <c r="J97"/>
  <c r="J118"/>
  <c r="J140"/>
  <c r="K97"/>
  <c r="K118"/>
  <c r="K140"/>
  <c r="L97"/>
  <c r="L118"/>
  <c r="L140"/>
  <c r="D30"/>
  <c r="D26" s="1"/>
  <c r="D107"/>
  <c r="D132"/>
  <c r="D98"/>
  <c r="D119"/>
  <c r="D145"/>
  <c r="D35"/>
  <c r="D32" s="1"/>
  <c r="N67" i="3"/>
  <c r="N66" s="1"/>
  <c r="N64"/>
  <c r="D67"/>
  <c r="D125" i="7"/>
  <c r="K125"/>
  <c r="J125"/>
  <c r="I125"/>
  <c r="H125"/>
  <c r="G125"/>
  <c r="F125"/>
  <c r="D123"/>
  <c r="K123"/>
  <c r="J123"/>
  <c r="I123"/>
  <c r="H123"/>
  <c r="G123"/>
  <c r="F123"/>
  <c r="D120"/>
  <c r="N120"/>
  <c r="K120"/>
  <c r="J120"/>
  <c r="I120"/>
  <c r="H120"/>
  <c r="G120"/>
  <c r="F120"/>
  <c r="N117"/>
  <c r="N116" s="1"/>
  <c r="K117"/>
  <c r="J117"/>
  <c r="I117"/>
  <c r="H117"/>
  <c r="F117"/>
  <c r="G116"/>
  <c r="K45"/>
  <c r="K9" s="1"/>
  <c r="L150" i="9"/>
  <c r="K150"/>
  <c r="J150"/>
  <c r="I150"/>
  <c r="H150"/>
  <c r="G150"/>
  <c r="F150"/>
  <c r="N145"/>
  <c r="N141"/>
  <c r="F137"/>
  <c r="G137"/>
  <c r="H137"/>
  <c r="I137"/>
  <c r="F128"/>
  <c r="G128"/>
  <c r="H128"/>
  <c r="I128"/>
  <c r="J128"/>
  <c r="K128"/>
  <c r="L128"/>
  <c r="N134"/>
  <c r="N132"/>
  <c r="N123"/>
  <c r="N119"/>
  <c r="G200" i="6"/>
  <c r="I203"/>
  <c r="H203"/>
  <c r="H202" s="1"/>
  <c r="H201" s="1"/>
  <c r="G204"/>
  <c r="M204" s="1"/>
  <c r="G207"/>
  <c r="I210"/>
  <c r="H210"/>
  <c r="H209" s="1"/>
  <c r="H208" s="1"/>
  <c r="G211"/>
  <c r="H424" i="2"/>
  <c r="M430"/>
  <c r="M425"/>
  <c r="I432"/>
  <c r="I431" s="1"/>
  <c r="I662" s="1"/>
  <c r="F310"/>
  <c r="F308"/>
  <c r="F305"/>
  <c r="F302"/>
  <c r="G321"/>
  <c r="F68" i="9"/>
  <c r="G68"/>
  <c r="H68"/>
  <c r="I253"/>
  <c r="J253"/>
  <c r="K253"/>
  <c r="L253"/>
  <c r="E253"/>
  <c r="F253"/>
  <c r="G253"/>
  <c r="H253"/>
  <c r="D253"/>
  <c r="N265"/>
  <c r="N264" s="1"/>
  <c r="L265"/>
  <c r="K265"/>
  <c r="J265"/>
  <c r="I265"/>
  <c r="H265"/>
  <c r="G265"/>
  <c r="F265"/>
  <c r="D265"/>
  <c r="L264"/>
  <c r="K264"/>
  <c r="J264"/>
  <c r="I264"/>
  <c r="H264"/>
  <c r="G264"/>
  <c r="F264"/>
  <c r="D264"/>
  <c r="N63"/>
  <c r="N65"/>
  <c r="D203" i="2"/>
  <c r="D51" s="1"/>
  <c r="D250"/>
  <c r="G250"/>
  <c r="F250"/>
  <c r="D248"/>
  <c r="G248"/>
  <c r="F248"/>
  <c r="N245"/>
  <c r="D245"/>
  <c r="G245"/>
  <c r="F245"/>
  <c r="N244"/>
  <c r="N242"/>
  <c r="G242"/>
  <c r="F242"/>
  <c r="D238"/>
  <c r="G238"/>
  <c r="F238"/>
  <c r="D236"/>
  <c r="G236"/>
  <c r="F236"/>
  <c r="N233"/>
  <c r="G233"/>
  <c r="F233"/>
  <c r="D233"/>
  <c r="G230"/>
  <c r="F230"/>
  <c r="D226"/>
  <c r="G226"/>
  <c r="F226"/>
  <c r="G224"/>
  <c r="F224"/>
  <c r="N221"/>
  <c r="D221"/>
  <c r="G221"/>
  <c r="F221"/>
  <c r="N218"/>
  <c r="G218"/>
  <c r="F218"/>
  <c r="G214"/>
  <c r="G212"/>
  <c r="G206"/>
  <c r="F209"/>
  <c r="G209"/>
  <c r="D207"/>
  <c r="D214"/>
  <c r="D209"/>
  <c r="F214"/>
  <c r="D212"/>
  <c r="F212"/>
  <c r="N209"/>
  <c r="D70"/>
  <c r="D224"/>
  <c r="D218"/>
  <c r="N133" i="8"/>
  <c r="N132" s="1"/>
  <c r="N131" s="1"/>
  <c r="K106"/>
  <c r="L106"/>
  <c r="D110"/>
  <c r="E120"/>
  <c r="B79" i="1" s="1"/>
  <c r="J79" s="1"/>
  <c r="E119" i="8"/>
  <c r="B81" i="1" s="1"/>
  <c r="F119" i="8"/>
  <c r="F116" s="1"/>
  <c r="F115" s="1"/>
  <c r="G119"/>
  <c r="H119"/>
  <c r="H116" s="1"/>
  <c r="H115" s="1"/>
  <c r="I119"/>
  <c r="J119"/>
  <c r="K119"/>
  <c r="K116" s="1"/>
  <c r="K115" s="1"/>
  <c r="L119"/>
  <c r="E113"/>
  <c r="F113"/>
  <c r="C72" i="1" s="1"/>
  <c r="G113" i="8"/>
  <c r="D72" i="1" s="1"/>
  <c r="H113" i="8"/>
  <c r="E72" i="1" s="1"/>
  <c r="I113" i="8"/>
  <c r="F72" i="1" s="1"/>
  <c r="J113" i="8"/>
  <c r="K113"/>
  <c r="H72" i="1" s="1"/>
  <c r="H125" s="1"/>
  <c r="H191" s="1"/>
  <c r="L113" i="8"/>
  <c r="I72" i="1" s="1"/>
  <c r="J116" i="8"/>
  <c r="J115" s="1"/>
  <c r="D113"/>
  <c r="F127"/>
  <c r="F126" s="1"/>
  <c r="C103" i="1" s="1"/>
  <c r="G127" i="8"/>
  <c r="G126" s="1"/>
  <c r="D103" i="1" s="1"/>
  <c r="H127" i="8"/>
  <c r="H126" s="1"/>
  <c r="E103" i="1" s="1"/>
  <c r="I127" i="8"/>
  <c r="I126" s="1"/>
  <c r="F103" i="1" s="1"/>
  <c r="J127" i="8"/>
  <c r="J126" s="1"/>
  <c r="G103" i="1" s="1"/>
  <c r="K127" i="8"/>
  <c r="K126" s="1"/>
  <c r="H103" i="1" s="1"/>
  <c r="L127" i="8"/>
  <c r="L126" s="1"/>
  <c r="I103" i="1" s="1"/>
  <c r="F123" i="8"/>
  <c r="F122" s="1"/>
  <c r="F107" s="1"/>
  <c r="F105" s="1"/>
  <c r="G123"/>
  <c r="G122" s="1"/>
  <c r="G107" s="1"/>
  <c r="H123"/>
  <c r="H122" s="1"/>
  <c r="H107" s="1"/>
  <c r="H105" s="1"/>
  <c r="I123"/>
  <c r="I122" s="1"/>
  <c r="I107" s="1"/>
  <c r="I105" s="1"/>
  <c r="J123"/>
  <c r="J122" s="1"/>
  <c r="J107" s="1"/>
  <c r="J105" s="1"/>
  <c r="K123"/>
  <c r="K122" s="1"/>
  <c r="K107" s="1"/>
  <c r="L123"/>
  <c r="L122" s="1"/>
  <c r="L107" s="1"/>
  <c r="D119"/>
  <c r="L110"/>
  <c r="H110"/>
  <c r="J110"/>
  <c r="F110"/>
  <c r="E110"/>
  <c r="K110"/>
  <c r="I110"/>
  <c r="G110"/>
  <c r="G72" i="1"/>
  <c r="N85" i="4"/>
  <c r="N84" s="1"/>
  <c r="J26" i="3"/>
  <c r="J25" s="1"/>
  <c r="F41"/>
  <c r="F38" s="1"/>
  <c r="H41"/>
  <c r="J41"/>
  <c r="G71"/>
  <c r="F66"/>
  <c r="G63"/>
  <c r="G66"/>
  <c r="B152" i="1"/>
  <c r="B167"/>
  <c r="D234" i="6"/>
  <c r="D258"/>
  <c r="D257" s="1"/>
  <c r="D229"/>
  <c r="D28"/>
  <c r="D58" i="13"/>
  <c r="P33"/>
  <c r="D85" i="4"/>
  <c r="D84" s="1"/>
  <c r="D75" i="3"/>
  <c r="D643" i="2"/>
  <c r="D642" s="1"/>
  <c r="D342"/>
  <c r="D308"/>
  <c r="N90" i="4"/>
  <c r="N89" s="1"/>
  <c r="N30" i="13"/>
  <c r="N98" i="9"/>
  <c r="N260" i="6"/>
  <c r="N258" s="1"/>
  <c r="N257" s="1"/>
  <c r="N73"/>
  <c r="N28"/>
  <c r="N65" i="5"/>
  <c r="N64" s="1"/>
  <c r="N63" s="1"/>
  <c r="F15"/>
  <c r="F14" s="1"/>
  <c r="N12"/>
  <c r="N90" i="3"/>
  <c r="N643" i="2"/>
  <c r="N642" s="1"/>
  <c r="N624"/>
  <c r="N620"/>
  <c r="N619" s="1"/>
  <c r="N618" s="1"/>
  <c r="N613"/>
  <c r="N612"/>
  <c r="N605"/>
  <c r="N580"/>
  <c r="N579" s="1"/>
  <c r="N578" s="1"/>
  <c r="N306"/>
  <c r="N305" s="1"/>
  <c r="N304"/>
  <c r="N302" s="1"/>
  <c r="N331"/>
  <c r="N206"/>
  <c r="N81"/>
  <c r="F28" i="6"/>
  <c r="G28"/>
  <c r="H28"/>
  <c r="I28"/>
  <c r="J28"/>
  <c r="K28"/>
  <c r="H140"/>
  <c r="D59" i="3"/>
  <c r="F564" i="2"/>
  <c r="F563" s="1"/>
  <c r="N37"/>
  <c r="N396"/>
  <c r="N394"/>
  <c r="F115"/>
  <c r="F114" s="1"/>
  <c r="N149"/>
  <c r="D635"/>
  <c r="D634" s="1"/>
  <c r="D38" i="13"/>
  <c r="D13" s="1"/>
  <c r="J30" i="6"/>
  <c r="K30"/>
  <c r="J36"/>
  <c r="J35" s="1"/>
  <c r="K36"/>
  <c r="K35" s="1"/>
  <c r="L36"/>
  <c r="L35" s="1"/>
  <c r="F177"/>
  <c r="D177" s="1"/>
  <c r="D145" s="1"/>
  <c r="F184"/>
  <c r="D184" s="1"/>
  <c r="D153" s="1"/>
  <c r="G81" i="1"/>
  <c r="H81"/>
  <c r="F250" i="6"/>
  <c r="F249" s="1"/>
  <c r="F240" s="1"/>
  <c r="F83" i="3"/>
  <c r="F78"/>
  <c r="F75"/>
  <c r="H71"/>
  <c r="I71"/>
  <c r="I68" s="1"/>
  <c r="H66"/>
  <c r="I66"/>
  <c r="H63"/>
  <c r="I63"/>
  <c r="J51" i="7"/>
  <c r="K51"/>
  <c r="J49"/>
  <c r="K49"/>
  <c r="J46"/>
  <c r="K46"/>
  <c r="J43"/>
  <c r="G30"/>
  <c r="G29" s="1"/>
  <c r="G234" i="6"/>
  <c r="F234"/>
  <c r="F232"/>
  <c r="G232"/>
  <c r="N229"/>
  <c r="G229"/>
  <c r="F229"/>
  <c r="G227"/>
  <c r="N227" s="1"/>
  <c r="F227"/>
  <c r="M49" i="8"/>
  <c r="M18" s="1"/>
  <c r="M47"/>
  <c r="M14" s="1"/>
  <c r="L107" i="3"/>
  <c r="K107"/>
  <c r="J107"/>
  <c r="I107"/>
  <c r="H107"/>
  <c r="G107"/>
  <c r="F107"/>
  <c r="L105"/>
  <c r="K105"/>
  <c r="J105"/>
  <c r="I105"/>
  <c r="H105"/>
  <c r="G105"/>
  <c r="F105"/>
  <c r="N102"/>
  <c r="L102"/>
  <c r="K102"/>
  <c r="J102"/>
  <c r="I102"/>
  <c r="H102"/>
  <c r="G102"/>
  <c r="F102"/>
  <c r="L99"/>
  <c r="K99"/>
  <c r="J99"/>
  <c r="I99"/>
  <c r="H99"/>
  <c r="G99"/>
  <c r="F99"/>
  <c r="F55" i="2"/>
  <c r="F54" s="1"/>
  <c r="F69"/>
  <c r="F68" s="1"/>
  <c r="F81"/>
  <c r="F80" s="1"/>
  <c r="F93"/>
  <c r="F92" s="1"/>
  <c r="F105"/>
  <c r="F104" s="1"/>
  <c r="N173"/>
  <c r="N169" s="1"/>
  <c r="N185"/>
  <c r="N182"/>
  <c r="G100" i="9"/>
  <c r="L115"/>
  <c r="L112" s="1"/>
  <c r="K115"/>
  <c r="K112" s="1"/>
  <c r="J115"/>
  <c r="J112" s="1"/>
  <c r="I115"/>
  <c r="I112" s="1"/>
  <c r="H115"/>
  <c r="H112" s="1"/>
  <c r="G115"/>
  <c r="F115"/>
  <c r="N110"/>
  <c r="L103"/>
  <c r="L102" s="1"/>
  <c r="K103"/>
  <c r="K102" s="1"/>
  <c r="J103"/>
  <c r="J102" s="1"/>
  <c r="I103"/>
  <c r="H103"/>
  <c r="F103"/>
  <c r="N100"/>
  <c r="N527" i="2"/>
  <c r="F540"/>
  <c r="F539" s="1"/>
  <c r="H324"/>
  <c r="H321"/>
  <c r="I321"/>
  <c r="I324"/>
  <c r="H314"/>
  <c r="H318"/>
  <c r="I318"/>
  <c r="I314"/>
  <c r="N316"/>
  <c r="I642"/>
  <c r="H642"/>
  <c r="G642"/>
  <c r="F642"/>
  <c r="G634"/>
  <c r="H634"/>
  <c r="I634"/>
  <c r="N634"/>
  <c r="F634"/>
  <c r="I548"/>
  <c r="I547" s="1"/>
  <c r="N548"/>
  <c r="N547" s="1"/>
  <c r="N604"/>
  <c r="I50" i="13"/>
  <c r="H50"/>
  <c r="I56"/>
  <c r="H56"/>
  <c r="F71" i="5"/>
  <c r="F70" s="1"/>
  <c r="F74"/>
  <c r="F41"/>
  <c r="F39"/>
  <c r="C71" i="1"/>
  <c r="L23" i="13"/>
  <c r="J16"/>
  <c r="K16"/>
  <c r="L16"/>
  <c r="J14"/>
  <c r="J12" s="1"/>
  <c r="K14"/>
  <c r="K12" s="1"/>
  <c r="L14"/>
  <c r="L12" s="1"/>
  <c r="F42"/>
  <c r="G42"/>
  <c r="H42"/>
  <c r="I42"/>
  <c r="J42"/>
  <c r="F37"/>
  <c r="G37"/>
  <c r="H37"/>
  <c r="I37"/>
  <c r="F39"/>
  <c r="G39"/>
  <c r="H39"/>
  <c r="I39"/>
  <c r="G33"/>
  <c r="H33"/>
  <c r="I33"/>
  <c r="F33"/>
  <c r="F30"/>
  <c r="G30"/>
  <c r="H30"/>
  <c r="F28"/>
  <c r="G28"/>
  <c r="H28"/>
  <c r="H47" i="9"/>
  <c r="G47"/>
  <c r="H27"/>
  <c r="I36" i="13"/>
  <c r="N76" i="9"/>
  <c r="F130" i="2"/>
  <c r="D54" i="3"/>
  <c r="D53"/>
  <c r="D48"/>
  <c r="G52"/>
  <c r="G17" s="1"/>
  <c r="H52"/>
  <c r="H17" s="1"/>
  <c r="D49"/>
  <c r="F47"/>
  <c r="G47"/>
  <c r="G12" s="1"/>
  <c r="H47"/>
  <c r="H12" s="1"/>
  <c r="G58"/>
  <c r="H58"/>
  <c r="F56"/>
  <c r="G56"/>
  <c r="H56"/>
  <c r="G36" i="8"/>
  <c r="H36"/>
  <c r="G34"/>
  <c r="H34"/>
  <c r="H41"/>
  <c r="H39"/>
  <c r="H38" s="1"/>
  <c r="D40"/>
  <c r="D25" s="1"/>
  <c r="F261" i="9"/>
  <c r="F260" s="1"/>
  <c r="F249" s="1"/>
  <c r="G261"/>
  <c r="G260" s="1"/>
  <c r="H261"/>
  <c r="H260" s="1"/>
  <c r="F422" i="2"/>
  <c r="H26" i="3"/>
  <c r="I594" i="2"/>
  <c r="I593" s="1"/>
  <c r="I669" s="1"/>
  <c r="I516"/>
  <c r="H586"/>
  <c r="H585" s="1"/>
  <c r="H548"/>
  <c r="H547" s="1"/>
  <c r="D632"/>
  <c r="D631" s="1"/>
  <c r="D630" s="1"/>
  <c r="F631"/>
  <c r="F630" s="1"/>
  <c r="N623"/>
  <c r="N622" s="1"/>
  <c r="L348"/>
  <c r="F342"/>
  <c r="F25" s="1"/>
  <c r="C37" i="1" s="1"/>
  <c r="G342" i="2"/>
  <c r="G25" s="1"/>
  <c r="H342"/>
  <c r="I342"/>
  <c r="I25" s="1"/>
  <c r="F37" i="1" s="1"/>
  <c r="J342" i="2"/>
  <c r="J25" s="1"/>
  <c r="G37" i="1" s="1"/>
  <c r="K342" i="2"/>
  <c r="K15" s="1"/>
  <c r="H21" i="1" s="1"/>
  <c r="L342" i="2"/>
  <c r="K341"/>
  <c r="K340" s="1"/>
  <c r="L341"/>
  <c r="G202"/>
  <c r="F202"/>
  <c r="D201"/>
  <c r="D200" s="1"/>
  <c r="N197"/>
  <c r="G197"/>
  <c r="F197"/>
  <c r="D196"/>
  <c r="D194" s="1"/>
  <c r="N194"/>
  <c r="G194"/>
  <c r="F194"/>
  <c r="G190"/>
  <c r="F190"/>
  <c r="D189"/>
  <c r="D188" s="1"/>
  <c r="D185"/>
  <c r="G185"/>
  <c r="F185"/>
  <c r="D184"/>
  <c r="G182"/>
  <c r="F182"/>
  <c r="G178"/>
  <c r="F178"/>
  <c r="D177"/>
  <c r="G173"/>
  <c r="F173"/>
  <c r="D172"/>
  <c r="G170"/>
  <c r="F170"/>
  <c r="G166"/>
  <c r="G161"/>
  <c r="G158"/>
  <c r="F166"/>
  <c r="D165"/>
  <c r="D164" s="1"/>
  <c r="N161"/>
  <c r="F161"/>
  <c r="D160"/>
  <c r="N158"/>
  <c r="F158"/>
  <c r="I417"/>
  <c r="H417"/>
  <c r="G417"/>
  <c r="F417"/>
  <c r="N414"/>
  <c r="H414"/>
  <c r="G414"/>
  <c r="F414"/>
  <c r="N412"/>
  <c r="N411" s="1"/>
  <c r="H412"/>
  <c r="G412"/>
  <c r="F412"/>
  <c r="I408"/>
  <c r="G408"/>
  <c r="H408"/>
  <c r="G405"/>
  <c r="H405"/>
  <c r="G403"/>
  <c r="H403"/>
  <c r="F408"/>
  <c r="N405"/>
  <c r="F405"/>
  <c r="N403"/>
  <c r="F403"/>
  <c r="G399"/>
  <c r="F399"/>
  <c r="D396"/>
  <c r="F396"/>
  <c r="F394"/>
  <c r="G390"/>
  <c r="G389" s="1"/>
  <c r="F390"/>
  <c r="F389" s="1"/>
  <c r="N387"/>
  <c r="F387"/>
  <c r="N385"/>
  <c r="F385"/>
  <c r="N631"/>
  <c r="N630" s="1"/>
  <c r="G631"/>
  <c r="G630" s="1"/>
  <c r="G373"/>
  <c r="G381"/>
  <c r="N376"/>
  <c r="N373"/>
  <c r="G369"/>
  <c r="F366"/>
  <c r="F364"/>
  <c r="D379"/>
  <c r="D348"/>
  <c r="D347" s="1"/>
  <c r="I54" i="8"/>
  <c r="J54"/>
  <c r="K54"/>
  <c r="L54"/>
  <c r="I51"/>
  <c r="I50" s="1"/>
  <c r="I144" s="1"/>
  <c r="J51"/>
  <c r="J50" s="1"/>
  <c r="J144" s="1"/>
  <c r="K51"/>
  <c r="L51"/>
  <c r="L50" s="1"/>
  <c r="L144" s="1"/>
  <c r="I48"/>
  <c r="J48"/>
  <c r="K48"/>
  <c r="L48"/>
  <c r="I45"/>
  <c r="I44" s="1"/>
  <c r="I9" s="1"/>
  <c r="J45"/>
  <c r="K45"/>
  <c r="K44" s="1"/>
  <c r="K9" s="1"/>
  <c r="L45"/>
  <c r="D207" i="6"/>
  <c r="D206" s="1"/>
  <c r="F19" i="5"/>
  <c r="F17" s="1"/>
  <c r="G19"/>
  <c r="G17" s="1"/>
  <c r="H19"/>
  <c r="H17" s="1"/>
  <c r="I19"/>
  <c r="I17" s="1"/>
  <c r="J19"/>
  <c r="J17" s="1"/>
  <c r="K19"/>
  <c r="K17" s="1"/>
  <c r="L19"/>
  <c r="L17" s="1"/>
  <c r="F25"/>
  <c r="F23" s="1"/>
  <c r="F20" s="1"/>
  <c r="G25"/>
  <c r="G23" s="1"/>
  <c r="G20" s="1"/>
  <c r="H25"/>
  <c r="H23" s="1"/>
  <c r="H20" s="1"/>
  <c r="I25"/>
  <c r="I23" s="1"/>
  <c r="I20" s="1"/>
  <c r="J25"/>
  <c r="J23" s="1"/>
  <c r="J20" s="1"/>
  <c r="K25"/>
  <c r="K23" s="1"/>
  <c r="K20" s="1"/>
  <c r="L25"/>
  <c r="L23" s="1"/>
  <c r="L20" s="1"/>
  <c r="L21" i="13"/>
  <c r="L20" s="1"/>
  <c r="J9"/>
  <c r="K9"/>
  <c r="K8" s="1"/>
  <c r="L9"/>
  <c r="L8" s="1"/>
  <c r="J58"/>
  <c r="J60"/>
  <c r="F58"/>
  <c r="G58"/>
  <c r="H58"/>
  <c r="I58"/>
  <c r="F60"/>
  <c r="G60"/>
  <c r="H60"/>
  <c r="I60"/>
  <c r="F140" i="6"/>
  <c r="F297"/>
  <c r="I191"/>
  <c r="I190" s="1"/>
  <c r="I189" s="1"/>
  <c r="H191"/>
  <c r="G191"/>
  <c r="G190" s="1"/>
  <c r="G189" s="1"/>
  <c r="I195"/>
  <c r="I297" s="1"/>
  <c r="H195"/>
  <c r="H297" s="1"/>
  <c r="G195"/>
  <c r="D71" i="5"/>
  <c r="D70" s="1"/>
  <c r="N71"/>
  <c r="N70" s="1"/>
  <c r="G422" i="2"/>
  <c r="G214" i="6"/>
  <c r="N318" i="2"/>
  <c r="N314"/>
  <c r="E298" i="6"/>
  <c r="E301" s="1"/>
  <c r="K297"/>
  <c r="K296"/>
  <c r="J297"/>
  <c r="J296"/>
  <c r="G296"/>
  <c r="F296"/>
  <c r="G223"/>
  <c r="F221"/>
  <c r="G218"/>
  <c r="F218"/>
  <c r="G432" i="2"/>
  <c r="G431" s="1"/>
  <c r="G662" s="1"/>
  <c r="H432"/>
  <c r="F432"/>
  <c r="F431" s="1"/>
  <c r="F662" s="1"/>
  <c r="F324"/>
  <c r="G324"/>
  <c r="F318"/>
  <c r="G318"/>
  <c r="F321"/>
  <c r="F320" s="1"/>
  <c r="F314"/>
  <c r="G314"/>
  <c r="D303"/>
  <c r="G293"/>
  <c r="G290"/>
  <c r="D180" i="6"/>
  <c r="G198"/>
  <c r="H198"/>
  <c r="F198"/>
  <c r="J198"/>
  <c r="K198"/>
  <c r="L198"/>
  <c r="D200"/>
  <c r="F206"/>
  <c r="G206"/>
  <c r="H206"/>
  <c r="I206"/>
  <c r="J206"/>
  <c r="K206"/>
  <c r="L206"/>
  <c r="G140"/>
  <c r="I140"/>
  <c r="J140"/>
  <c r="K140"/>
  <c r="K14" s="1"/>
  <c r="L140"/>
  <c r="L14" s="1"/>
  <c r="F141"/>
  <c r="G141"/>
  <c r="H141"/>
  <c r="H16" s="1"/>
  <c r="I141"/>
  <c r="I16" s="1"/>
  <c r="J141"/>
  <c r="J16" s="1"/>
  <c r="K141"/>
  <c r="K16" s="1"/>
  <c r="L141"/>
  <c r="L16" s="1"/>
  <c r="F144"/>
  <c r="J144"/>
  <c r="J299" s="1"/>
  <c r="K144"/>
  <c r="K299" s="1"/>
  <c r="L144"/>
  <c r="G145"/>
  <c r="H145"/>
  <c r="I145"/>
  <c r="J145"/>
  <c r="K145"/>
  <c r="L145"/>
  <c r="F146"/>
  <c r="H146"/>
  <c r="I146"/>
  <c r="J146"/>
  <c r="K146"/>
  <c r="L146"/>
  <c r="F149"/>
  <c r="G149"/>
  <c r="G23" s="1"/>
  <c r="H149"/>
  <c r="H148" s="1"/>
  <c r="I149"/>
  <c r="I23" s="1"/>
  <c r="J149"/>
  <c r="K149"/>
  <c r="K23" s="1"/>
  <c r="L149"/>
  <c r="L148" s="1"/>
  <c r="F152"/>
  <c r="J152"/>
  <c r="K152"/>
  <c r="L152"/>
  <c r="G153"/>
  <c r="H153"/>
  <c r="I153"/>
  <c r="J153"/>
  <c r="K153"/>
  <c r="L153"/>
  <c r="F154"/>
  <c r="H154"/>
  <c r="I154"/>
  <c r="J154"/>
  <c r="K154"/>
  <c r="L154"/>
  <c r="F171"/>
  <c r="G171"/>
  <c r="H171"/>
  <c r="I171"/>
  <c r="J171"/>
  <c r="K171"/>
  <c r="L171"/>
  <c r="G175"/>
  <c r="G174" s="1"/>
  <c r="H175"/>
  <c r="I175"/>
  <c r="I174" s="1"/>
  <c r="J175"/>
  <c r="J174" s="1"/>
  <c r="K175"/>
  <c r="K174" s="1"/>
  <c r="L175"/>
  <c r="L174" s="1"/>
  <c r="D173"/>
  <c r="D172"/>
  <c r="F179"/>
  <c r="G179"/>
  <c r="H179"/>
  <c r="I179"/>
  <c r="J179"/>
  <c r="K179"/>
  <c r="L179"/>
  <c r="G182"/>
  <c r="G181" s="1"/>
  <c r="H182"/>
  <c r="H181" s="1"/>
  <c r="I182"/>
  <c r="J182"/>
  <c r="J181" s="1"/>
  <c r="K182"/>
  <c r="L182"/>
  <c r="L181" s="1"/>
  <c r="F187"/>
  <c r="G187"/>
  <c r="H187"/>
  <c r="I187"/>
  <c r="J187"/>
  <c r="K187"/>
  <c r="L187"/>
  <c r="D188"/>
  <c r="M188" s="1"/>
  <c r="N188"/>
  <c r="F190"/>
  <c r="F189" s="1"/>
  <c r="J190"/>
  <c r="J189" s="1"/>
  <c r="K190"/>
  <c r="K189" s="1"/>
  <c r="L190"/>
  <c r="L189" s="1"/>
  <c r="F194"/>
  <c r="F193" s="1"/>
  <c r="F192" s="1"/>
  <c r="J194"/>
  <c r="J193" s="1"/>
  <c r="J192" s="1"/>
  <c r="K194"/>
  <c r="K193" s="1"/>
  <c r="K192" s="1"/>
  <c r="L194"/>
  <c r="L193" s="1"/>
  <c r="L192" s="1"/>
  <c r="D199"/>
  <c r="F202"/>
  <c r="J202"/>
  <c r="J201" s="1"/>
  <c r="J197" s="1"/>
  <c r="K202"/>
  <c r="K201" s="1"/>
  <c r="L202"/>
  <c r="L201" s="1"/>
  <c r="F209"/>
  <c r="F208" s="1"/>
  <c r="F205" s="1"/>
  <c r="J209"/>
  <c r="J208" s="1"/>
  <c r="K209"/>
  <c r="K208" s="1"/>
  <c r="L209"/>
  <c r="L208" s="1"/>
  <c r="J81" i="9"/>
  <c r="L98" i="13"/>
  <c r="K98"/>
  <c r="J98"/>
  <c r="H110"/>
  <c r="H109" s="1"/>
  <c r="H99" s="1"/>
  <c r="H98" s="1"/>
  <c r="G110"/>
  <c r="G109" s="1"/>
  <c r="G99" s="1"/>
  <c r="F110"/>
  <c r="F109" s="1"/>
  <c r="F99" s="1"/>
  <c r="N110"/>
  <c r="N109" s="1"/>
  <c r="Q112" s="1"/>
  <c r="I107"/>
  <c r="I106" s="1"/>
  <c r="I105" s="1"/>
  <c r="H107"/>
  <c r="H106" s="1"/>
  <c r="H105" s="1"/>
  <c r="G107"/>
  <c r="G106" s="1"/>
  <c r="G105" s="1"/>
  <c r="F107"/>
  <c r="F106" s="1"/>
  <c r="F105" s="1"/>
  <c r="D107"/>
  <c r="D106" s="1"/>
  <c r="D105" s="1"/>
  <c r="I104"/>
  <c r="H104"/>
  <c r="G104"/>
  <c r="F104"/>
  <c r="D104"/>
  <c r="I98"/>
  <c r="D110"/>
  <c r="D109" s="1"/>
  <c r="D99" s="1"/>
  <c r="D98" s="1"/>
  <c r="G39" i="5"/>
  <c r="H39"/>
  <c r="G41"/>
  <c r="H41"/>
  <c r="F44"/>
  <c r="G44"/>
  <c r="L508" i="2"/>
  <c r="L507" s="1"/>
  <c r="K508"/>
  <c r="K507" s="1"/>
  <c r="J508"/>
  <c r="J507" s="1"/>
  <c r="L505"/>
  <c r="K505"/>
  <c r="J505"/>
  <c r="L503"/>
  <c r="K503"/>
  <c r="J503"/>
  <c r="J515"/>
  <c r="J514" s="1"/>
  <c r="L515"/>
  <c r="L514" s="1"/>
  <c r="K515"/>
  <c r="K514" s="1"/>
  <c r="L254" i="6"/>
  <c r="L253" s="1"/>
  <c r="K254"/>
  <c r="K253" s="1"/>
  <c r="J254"/>
  <c r="J253" s="1"/>
  <c r="L262"/>
  <c r="L261" s="1"/>
  <c r="L258" i="9"/>
  <c r="K262" i="6"/>
  <c r="K261" s="1"/>
  <c r="J262"/>
  <c r="J261" s="1"/>
  <c r="J258" i="9"/>
  <c r="L258" i="6"/>
  <c r="L257" s="1"/>
  <c r="K258"/>
  <c r="K257" s="1"/>
  <c r="J258"/>
  <c r="J257" s="1"/>
  <c r="J90" i="4"/>
  <c r="J89" s="1"/>
  <c r="K90"/>
  <c r="K89" s="1"/>
  <c r="L90"/>
  <c r="L89" s="1"/>
  <c r="I90"/>
  <c r="I89" s="1"/>
  <c r="H90"/>
  <c r="H89" s="1"/>
  <c r="G90"/>
  <c r="G89" s="1"/>
  <c r="F90"/>
  <c r="F89" s="1"/>
  <c r="L80"/>
  <c r="L79" s="1"/>
  <c r="K80"/>
  <c r="K79" s="1"/>
  <c r="J80"/>
  <c r="J79" s="1"/>
  <c r="L72"/>
  <c r="L71" s="1"/>
  <c r="K72"/>
  <c r="K71" s="1"/>
  <c r="J72"/>
  <c r="J71" s="1"/>
  <c r="P555" i="2"/>
  <c r="J511"/>
  <c r="K511"/>
  <c r="D560"/>
  <c r="D559" s="1"/>
  <c r="L511"/>
  <c r="J39" i="5"/>
  <c r="K39"/>
  <c r="L39"/>
  <c r="J41"/>
  <c r="K41"/>
  <c r="L41"/>
  <c r="J46"/>
  <c r="J43" s="1"/>
  <c r="J143" s="1"/>
  <c r="K46"/>
  <c r="K43" s="1"/>
  <c r="K143" s="1"/>
  <c r="L46"/>
  <c r="L43" s="1"/>
  <c r="L143" s="1"/>
  <c r="J50"/>
  <c r="K50"/>
  <c r="L50"/>
  <c r="J53"/>
  <c r="J52" s="1"/>
  <c r="K53"/>
  <c r="K52" s="1"/>
  <c r="L53"/>
  <c r="L52" s="1"/>
  <c r="J57"/>
  <c r="J56" s="1"/>
  <c r="K57"/>
  <c r="K56" s="1"/>
  <c r="L57"/>
  <c r="L56" s="1"/>
  <c r="J60"/>
  <c r="K60"/>
  <c r="L60"/>
  <c r="J102"/>
  <c r="J100" s="1"/>
  <c r="K102"/>
  <c r="K100" s="1"/>
  <c r="L102"/>
  <c r="L100" s="1"/>
  <c r="J108"/>
  <c r="K108"/>
  <c r="L108"/>
  <c r="J104"/>
  <c r="K104"/>
  <c r="L104"/>
  <c r="J114"/>
  <c r="J110" s="1"/>
  <c r="K114"/>
  <c r="K110" s="1"/>
  <c r="L114"/>
  <c r="L110" s="1"/>
  <c r="J126"/>
  <c r="K126"/>
  <c r="L126"/>
  <c r="J132"/>
  <c r="K132"/>
  <c r="L132"/>
  <c r="J139"/>
  <c r="J138" s="1"/>
  <c r="K139"/>
  <c r="K138" s="1"/>
  <c r="L139"/>
  <c r="L138" s="1"/>
  <c r="J64"/>
  <c r="K64"/>
  <c r="L64"/>
  <c r="J67"/>
  <c r="J66" s="1"/>
  <c r="K67"/>
  <c r="K66" s="1"/>
  <c r="L67"/>
  <c r="L66" s="1"/>
  <c r="I67"/>
  <c r="H67"/>
  <c r="G67"/>
  <c r="G66" s="1"/>
  <c r="F67"/>
  <c r="I66"/>
  <c r="H66"/>
  <c r="I64"/>
  <c r="H64"/>
  <c r="G64"/>
  <c r="F64"/>
  <c r="F63" s="1"/>
  <c r="F102"/>
  <c r="G102"/>
  <c r="H102"/>
  <c r="I102"/>
  <c r="N72" i="9"/>
  <c r="I258"/>
  <c r="I257" s="1"/>
  <c r="I256" s="1"/>
  <c r="K258"/>
  <c r="K257" s="1"/>
  <c r="K256" s="1"/>
  <c r="H258"/>
  <c r="H257" s="1"/>
  <c r="H256" s="1"/>
  <c r="J260"/>
  <c r="J249" s="1"/>
  <c r="G60" i="1" s="1"/>
  <c r="K260" i="9"/>
  <c r="K250" s="1"/>
  <c r="L260"/>
  <c r="K81"/>
  <c r="L81"/>
  <c r="G69" i="3"/>
  <c r="F69"/>
  <c r="D69"/>
  <c r="D81"/>
  <c r="D78"/>
  <c r="N78"/>
  <c r="N75"/>
  <c r="K346" i="2"/>
  <c r="G180" i="1"/>
  <c r="H180"/>
  <c r="I180"/>
  <c r="G164"/>
  <c r="H164"/>
  <c r="I164"/>
  <c r="G167"/>
  <c r="H167"/>
  <c r="I167"/>
  <c r="G152"/>
  <c r="H152"/>
  <c r="I152"/>
  <c r="D71"/>
  <c r="E71"/>
  <c r="F71"/>
  <c r="G71"/>
  <c r="H71"/>
  <c r="I71"/>
  <c r="C81"/>
  <c r="C152"/>
  <c r="D152"/>
  <c r="E152"/>
  <c r="F152"/>
  <c r="B164"/>
  <c r="C164"/>
  <c r="D164"/>
  <c r="E164"/>
  <c r="F164"/>
  <c r="J164"/>
  <c r="C167"/>
  <c r="D167"/>
  <c r="E167"/>
  <c r="F167"/>
  <c r="B180"/>
  <c r="C180"/>
  <c r="D180"/>
  <c r="E180"/>
  <c r="F180"/>
  <c r="J180"/>
  <c r="J152"/>
  <c r="J167"/>
  <c r="L135" i="6"/>
  <c r="L134" s="1"/>
  <c r="K135"/>
  <c r="K134" s="1"/>
  <c r="J135"/>
  <c r="J134" s="1"/>
  <c r="L116"/>
  <c r="L115" s="1"/>
  <c r="K116"/>
  <c r="K115" s="1"/>
  <c r="J8" i="13"/>
  <c r="J23"/>
  <c r="K23"/>
  <c r="K122" s="1"/>
  <c r="J254" i="9"/>
  <c r="G66" i="1" s="1"/>
  <c r="K254" i="9"/>
  <c r="H66" i="1" s="1"/>
  <c r="L254" i="9"/>
  <c r="I66" i="1" s="1"/>
  <c r="J255" i="9"/>
  <c r="J252" s="1"/>
  <c r="J251" s="1"/>
  <c r="K255"/>
  <c r="L255"/>
  <c r="J15" i="7"/>
  <c r="J10" s="1"/>
  <c r="K15"/>
  <c r="L15"/>
  <c r="L10" s="1"/>
  <c r="J21"/>
  <c r="J17" s="1"/>
  <c r="K21"/>
  <c r="K17" s="1"/>
  <c r="L21"/>
  <c r="L17" s="1"/>
  <c r="L51" i="4"/>
  <c r="G185" i="1"/>
  <c r="I123"/>
  <c r="I185" s="1"/>
  <c r="G70"/>
  <c r="H70"/>
  <c r="I70"/>
  <c r="G69"/>
  <c r="H69"/>
  <c r="I69"/>
  <c r="G74"/>
  <c r="G73" s="1"/>
  <c r="I74"/>
  <c r="I73" s="1"/>
  <c r="G77"/>
  <c r="H77"/>
  <c r="I77"/>
  <c r="G78"/>
  <c r="H78"/>
  <c r="I78"/>
  <c r="G83"/>
  <c r="G82" s="1"/>
  <c r="H83"/>
  <c r="H82" s="1"/>
  <c r="I83"/>
  <c r="I82" s="1"/>
  <c r="J85" i="4"/>
  <c r="J84" s="1"/>
  <c r="K85"/>
  <c r="K84" s="1"/>
  <c r="L85"/>
  <c r="L84" s="1"/>
  <c r="J15" i="5"/>
  <c r="K15"/>
  <c r="L15"/>
  <c r="H74" i="1"/>
  <c r="H73" s="1"/>
  <c r="J51" i="4"/>
  <c r="K51"/>
  <c r="J95" i="3"/>
  <c r="K95"/>
  <c r="L95"/>
  <c r="J93"/>
  <c r="K93"/>
  <c r="L93"/>
  <c r="J90"/>
  <c r="K90"/>
  <c r="L90"/>
  <c r="J87"/>
  <c r="K87"/>
  <c r="L87"/>
  <c r="I27" i="1"/>
  <c r="I30"/>
  <c r="I130" s="1"/>
  <c r="I192" s="1"/>
  <c r="I36"/>
  <c r="I35"/>
  <c r="I136" s="1"/>
  <c r="I198" s="1"/>
  <c r="I44"/>
  <c r="I142" s="1"/>
  <c r="I204" s="1"/>
  <c r="G27"/>
  <c r="H27"/>
  <c r="G30"/>
  <c r="G130" s="1"/>
  <c r="G192" s="1"/>
  <c r="H30"/>
  <c r="H130" s="1"/>
  <c r="H192" s="1"/>
  <c r="G36"/>
  <c r="H36"/>
  <c r="G136"/>
  <c r="G198" s="1"/>
  <c r="H35"/>
  <c r="G44"/>
  <c r="G142" s="1"/>
  <c r="G204" s="1"/>
  <c r="H44"/>
  <c r="H142" s="1"/>
  <c r="H204" s="1"/>
  <c r="B36"/>
  <c r="B27"/>
  <c r="L346" i="2"/>
  <c r="J452"/>
  <c r="K452"/>
  <c r="L452"/>
  <c r="J453"/>
  <c r="J14" s="1"/>
  <c r="K453"/>
  <c r="K14" s="1"/>
  <c r="L453"/>
  <c r="J454"/>
  <c r="K454"/>
  <c r="K16" s="1"/>
  <c r="L454"/>
  <c r="J456"/>
  <c r="J20" s="1"/>
  <c r="K456"/>
  <c r="K20" s="1"/>
  <c r="L456"/>
  <c r="L20" s="1"/>
  <c r="J457"/>
  <c r="J21" s="1"/>
  <c r="G28" i="1" s="1"/>
  <c r="G131" s="1"/>
  <c r="G193" s="1"/>
  <c r="K457" i="2"/>
  <c r="K21" s="1"/>
  <c r="H28" i="1" s="1"/>
  <c r="H131" s="1"/>
  <c r="H193" s="1"/>
  <c r="L457" i="2"/>
  <c r="L21" s="1"/>
  <c r="J460"/>
  <c r="J24" s="1"/>
  <c r="G34" i="1" s="1"/>
  <c r="K460" i="2"/>
  <c r="K24" s="1"/>
  <c r="H34" i="1" s="1"/>
  <c r="L460" i="2"/>
  <c r="J461"/>
  <c r="K461"/>
  <c r="L461"/>
  <c r="L26" s="1"/>
  <c r="J463"/>
  <c r="J32" s="1"/>
  <c r="K463"/>
  <c r="K32" s="1"/>
  <c r="L463"/>
  <c r="L32" s="1"/>
  <c r="J464"/>
  <c r="J33" s="1"/>
  <c r="G43" i="1" s="1"/>
  <c r="G146" s="1"/>
  <c r="G208" s="1"/>
  <c r="K464" i="2"/>
  <c r="K33" s="1"/>
  <c r="H43" i="1" s="1"/>
  <c r="H146" s="1"/>
  <c r="H208" s="1"/>
  <c r="L464" i="2"/>
  <c r="L33" s="1"/>
  <c r="I43" i="1" s="1"/>
  <c r="I146" s="1"/>
  <c r="I208" s="1"/>
  <c r="J495" i="2"/>
  <c r="J494" s="1"/>
  <c r="K495"/>
  <c r="K494" s="1"/>
  <c r="L495"/>
  <c r="J497"/>
  <c r="K497"/>
  <c r="L497"/>
  <c r="J500"/>
  <c r="J499" s="1"/>
  <c r="J498" s="1"/>
  <c r="K500"/>
  <c r="K499" s="1"/>
  <c r="K498" s="1"/>
  <c r="L500"/>
  <c r="L499" s="1"/>
  <c r="L498" s="1"/>
  <c r="L17"/>
  <c r="I24" i="1" s="1"/>
  <c r="L27" i="2"/>
  <c r="I39" i="1" s="1"/>
  <c r="L30" i="2"/>
  <c r="J17"/>
  <c r="G24" i="1" s="1"/>
  <c r="K17" i="2"/>
  <c r="H24" i="1" s="1"/>
  <c r="J27" i="2"/>
  <c r="G39" i="1" s="1"/>
  <c r="J28" i="2"/>
  <c r="G40" i="1" s="1"/>
  <c r="G144" s="1"/>
  <c r="G206" s="1"/>
  <c r="K28" i="2"/>
  <c r="H40" i="1" s="1"/>
  <c r="H144" s="1"/>
  <c r="H206" s="1"/>
  <c r="J30" i="2"/>
  <c r="L28"/>
  <c r="I40" i="1" s="1"/>
  <c r="I144" s="1"/>
  <c r="I206" s="1"/>
  <c r="D497" i="2"/>
  <c r="D496" s="1"/>
  <c r="D453"/>
  <c r="D14" s="1"/>
  <c r="J346"/>
  <c r="G93" i="3"/>
  <c r="H93"/>
  <c r="I93"/>
  <c r="G95"/>
  <c r="H95"/>
  <c r="I95"/>
  <c r="G90"/>
  <c r="H90"/>
  <c r="I90"/>
  <c r="G87"/>
  <c r="H87"/>
  <c r="I87"/>
  <c r="N120" i="6"/>
  <c r="N102"/>
  <c r="I135"/>
  <c r="I134" s="1"/>
  <c r="H135"/>
  <c r="H134" s="1"/>
  <c r="G135"/>
  <c r="G134" s="1"/>
  <c r="P137" s="1"/>
  <c r="F135"/>
  <c r="F134" s="1"/>
  <c r="I116"/>
  <c r="I115" s="1"/>
  <c r="G116"/>
  <c r="G115" s="1"/>
  <c r="G51" i="4"/>
  <c r="N78" i="13"/>
  <c r="N74" s="1"/>
  <c r="N28"/>
  <c r="N125" i="8"/>
  <c r="N123" s="1"/>
  <c r="N122" s="1"/>
  <c r="N114"/>
  <c r="N46" i="7"/>
  <c r="N58"/>
  <c r="N70"/>
  <c r="N82"/>
  <c r="N108"/>
  <c r="N105"/>
  <c r="N104" s="1"/>
  <c r="N81"/>
  <c r="N79" s="1"/>
  <c r="N78" s="1"/>
  <c r="N67"/>
  <c r="N66" s="1"/>
  <c r="N15"/>
  <c r="N86" i="6"/>
  <c r="N84"/>
  <c r="N64"/>
  <c r="N473" i="2"/>
  <c r="N627"/>
  <c r="N626" s="1"/>
  <c r="N573"/>
  <c r="N572"/>
  <c r="N571" s="1"/>
  <c r="N570" s="1"/>
  <c r="N564"/>
  <c r="N563" s="1"/>
  <c r="N558"/>
  <c r="N557"/>
  <c r="N552"/>
  <c r="N551" s="1"/>
  <c r="N540"/>
  <c r="N539" s="1"/>
  <c r="N506"/>
  <c r="N505" s="1"/>
  <c r="N504"/>
  <c r="N503" s="1"/>
  <c r="N488"/>
  <c r="N487" s="1"/>
  <c r="N486"/>
  <c r="N485" s="1"/>
  <c r="N472"/>
  <c r="N468"/>
  <c r="N470"/>
  <c r="N469"/>
  <c r="N366"/>
  <c r="N293"/>
  <c r="N290"/>
  <c r="N134"/>
  <c r="N130"/>
  <c r="N119"/>
  <c r="N115"/>
  <c r="N107"/>
  <c r="N105"/>
  <c r="N96"/>
  <c r="N84"/>
  <c r="N72"/>
  <c r="N58"/>
  <c r="L136" i="1"/>
  <c r="L137"/>
  <c r="L138"/>
  <c r="L139"/>
  <c r="L140"/>
  <c r="L141"/>
  <c r="L142"/>
  <c r="L143"/>
  <c r="L144"/>
  <c r="L145"/>
  <c r="L146"/>
  <c r="L147"/>
  <c r="N75" i="6"/>
  <c r="N72" s="1"/>
  <c r="L164" i="1"/>
  <c r="N69" i="2"/>
  <c r="N68" s="1"/>
  <c r="N93"/>
  <c r="N30" i="6"/>
  <c r="N55" i="2"/>
  <c r="L152" i="1"/>
  <c r="N269" i="9"/>
  <c r="N268" s="1"/>
  <c r="N30"/>
  <c r="N26" s="1"/>
  <c r="N139" i="5"/>
  <c r="N138" s="1"/>
  <c r="N57"/>
  <c r="N56" s="1"/>
  <c r="N51"/>
  <c r="N50" s="1"/>
  <c r="N49" s="1"/>
  <c r="N41"/>
  <c r="N129"/>
  <c r="N126"/>
  <c r="N125" s="1"/>
  <c r="N119"/>
  <c r="N118" s="1"/>
  <c r="N117" s="1"/>
  <c r="N101"/>
  <c r="N39"/>
  <c r="N37" i="3"/>
  <c r="N31"/>
  <c r="C70" i="1"/>
  <c r="N261" i="9"/>
  <c r="N260" s="1"/>
  <c r="N25" i="7"/>
  <c r="N24" s="1"/>
  <c r="G39" i="8"/>
  <c r="G38" s="1"/>
  <c r="F51" i="4"/>
  <c r="I81" i="9"/>
  <c r="H81"/>
  <c r="G81"/>
  <c r="F81"/>
  <c r="I80"/>
  <c r="F369" i="2"/>
  <c r="D454"/>
  <c r="D16" s="1"/>
  <c r="F36" i="1"/>
  <c r="F44"/>
  <c r="F142" s="1"/>
  <c r="F204" s="1"/>
  <c r="E44"/>
  <c r="E142" s="1"/>
  <c r="E204" s="1"/>
  <c r="D44"/>
  <c r="D142" s="1"/>
  <c r="D204" s="1"/>
  <c r="C44"/>
  <c r="C142" s="1"/>
  <c r="C204" s="1"/>
  <c r="E36"/>
  <c r="D36"/>
  <c r="C36"/>
  <c r="F30"/>
  <c r="F130" s="1"/>
  <c r="F192" s="1"/>
  <c r="E30"/>
  <c r="E130" s="1"/>
  <c r="E192" s="1"/>
  <c r="D30"/>
  <c r="C30"/>
  <c r="F293" i="2"/>
  <c r="F298"/>
  <c r="F290"/>
  <c r="H45" i="8"/>
  <c r="H48"/>
  <c r="H51"/>
  <c r="H54"/>
  <c r="N46"/>
  <c r="N13" s="1"/>
  <c r="N12" s="1"/>
  <c r="F46"/>
  <c r="F13" s="1"/>
  <c r="N48"/>
  <c r="F154" i="2"/>
  <c r="F149"/>
  <c r="F146"/>
  <c r="D153"/>
  <c r="D148"/>
  <c r="F134"/>
  <c r="F138"/>
  <c r="F141"/>
  <c r="D142"/>
  <c r="D50" s="1"/>
  <c r="D49" s="1"/>
  <c r="D139"/>
  <c r="D46" s="1"/>
  <c r="F122"/>
  <c r="F125"/>
  <c r="D118"/>
  <c r="D117"/>
  <c r="D39" s="1"/>
  <c r="D60" i="5"/>
  <c r="D59" s="1"/>
  <c r="I60"/>
  <c r="I59" s="1"/>
  <c r="H60"/>
  <c r="H59" s="1"/>
  <c r="G60"/>
  <c r="G59" s="1"/>
  <c r="F60"/>
  <c r="F59" s="1"/>
  <c r="D57"/>
  <c r="D56" s="1"/>
  <c r="I57"/>
  <c r="H57"/>
  <c r="G57"/>
  <c r="F57"/>
  <c r="F56" s="1"/>
  <c r="E254" i="9"/>
  <c r="F254"/>
  <c r="G254"/>
  <c r="H254"/>
  <c r="E66" i="1" s="1"/>
  <c r="I254" i="9"/>
  <c r="F66" i="1" s="1"/>
  <c r="I260" i="9"/>
  <c r="I269"/>
  <c r="I268" s="1"/>
  <c r="H269"/>
  <c r="H268" s="1"/>
  <c r="G269"/>
  <c r="G268" s="1"/>
  <c r="I272"/>
  <c r="I271" s="1"/>
  <c r="H272"/>
  <c r="H271" s="1"/>
  <c r="G272"/>
  <c r="D39" i="3"/>
  <c r="D460" i="2"/>
  <c r="D24" s="1"/>
  <c r="F594"/>
  <c r="F593" s="1"/>
  <c r="F669" s="1"/>
  <c r="G594"/>
  <c r="G593" s="1"/>
  <c r="G669" s="1"/>
  <c r="D102" i="1" s="1"/>
  <c r="I63" i="7"/>
  <c r="I61"/>
  <c r="I58"/>
  <c r="I55"/>
  <c r="H63"/>
  <c r="H61"/>
  <c r="H58"/>
  <c r="H55"/>
  <c r="I75"/>
  <c r="I73"/>
  <c r="I70"/>
  <c r="I67"/>
  <c r="H75"/>
  <c r="H73"/>
  <c r="H70"/>
  <c r="H67"/>
  <c r="I113"/>
  <c r="I111"/>
  <c r="I108"/>
  <c r="I105"/>
  <c r="H113"/>
  <c r="H111"/>
  <c r="H108"/>
  <c r="H105"/>
  <c r="I87"/>
  <c r="I85"/>
  <c r="I82"/>
  <c r="I79"/>
  <c r="H87"/>
  <c r="H85"/>
  <c r="H82"/>
  <c r="H79"/>
  <c r="I46"/>
  <c r="I43"/>
  <c r="H46"/>
  <c r="H43"/>
  <c r="I51"/>
  <c r="I49"/>
  <c r="H51"/>
  <c r="H49"/>
  <c r="H25"/>
  <c r="H24" s="1"/>
  <c r="I25"/>
  <c r="I24" s="1"/>
  <c r="C67" i="1"/>
  <c r="F15" i="7"/>
  <c r="G15"/>
  <c r="G10" s="1"/>
  <c r="H15"/>
  <c r="I15"/>
  <c r="D80" i="1"/>
  <c r="D140" s="1"/>
  <c r="D202" s="1"/>
  <c r="F21" i="7"/>
  <c r="G21"/>
  <c r="G17" s="1"/>
  <c r="H21"/>
  <c r="H17" s="1"/>
  <c r="I21"/>
  <c r="I17" s="1"/>
  <c r="E27" i="1"/>
  <c r="F27"/>
  <c r="E198"/>
  <c r="F136"/>
  <c r="F198" s="1"/>
  <c r="F74"/>
  <c r="F73" s="1"/>
  <c r="C74"/>
  <c r="I10" i="7"/>
  <c r="G23" i="13"/>
  <c r="I23"/>
  <c r="F23"/>
  <c r="H23"/>
  <c r="E107" i="5"/>
  <c r="B65" i="1" s="1"/>
  <c r="D15" i="5"/>
  <c r="D14" s="1"/>
  <c r="E28"/>
  <c r="N29"/>
  <c r="N28" s="1"/>
  <c r="N31"/>
  <c r="N30" s="1"/>
  <c r="H15"/>
  <c r="H14" s="1"/>
  <c r="I15"/>
  <c r="I14" s="1"/>
  <c r="I35"/>
  <c r="H35"/>
  <c r="I33"/>
  <c r="H33"/>
  <c r="I30"/>
  <c r="H30"/>
  <c r="I28"/>
  <c r="H28"/>
  <c r="I39"/>
  <c r="I41"/>
  <c r="H46"/>
  <c r="H43" s="1"/>
  <c r="I46"/>
  <c r="I43" s="1"/>
  <c r="H50"/>
  <c r="I50"/>
  <c r="H53"/>
  <c r="H52" s="1"/>
  <c r="I53"/>
  <c r="I52" s="1"/>
  <c r="H106"/>
  <c r="I106"/>
  <c r="H108"/>
  <c r="I108"/>
  <c r="H114"/>
  <c r="I114"/>
  <c r="H111"/>
  <c r="I111"/>
  <c r="I132"/>
  <c r="H132"/>
  <c r="I126"/>
  <c r="H126"/>
  <c r="I139"/>
  <c r="I138" s="1"/>
  <c r="H139"/>
  <c r="H138" s="1"/>
  <c r="I255" i="9"/>
  <c r="I252" s="1"/>
  <c r="I251" s="1"/>
  <c r="H255"/>
  <c r="G255"/>
  <c r="H35"/>
  <c r="G35"/>
  <c r="F35"/>
  <c r="F32" s="1"/>
  <c r="E35" i="5"/>
  <c r="E32" s="1"/>
  <c r="E30"/>
  <c r="F80" i="4"/>
  <c r="G80"/>
  <c r="H80"/>
  <c r="I80"/>
  <c r="F79"/>
  <c r="G79"/>
  <c r="H79"/>
  <c r="I79"/>
  <c r="F72"/>
  <c r="G72"/>
  <c r="G71" s="1"/>
  <c r="H72"/>
  <c r="H71" s="1"/>
  <c r="I72"/>
  <c r="I71" s="1"/>
  <c r="F71"/>
  <c r="H85"/>
  <c r="H84" s="1"/>
  <c r="I85"/>
  <c r="I84" s="1"/>
  <c r="E83" i="1"/>
  <c r="E82" s="1"/>
  <c r="F83"/>
  <c r="F82" s="1"/>
  <c r="C78"/>
  <c r="C77"/>
  <c r="D77"/>
  <c r="E77"/>
  <c r="F77"/>
  <c r="C69"/>
  <c r="D69"/>
  <c r="E69"/>
  <c r="D70"/>
  <c r="E70"/>
  <c r="F70"/>
  <c r="I51" i="4"/>
  <c r="N50" i="3"/>
  <c r="H627" i="2"/>
  <c r="H626" s="1"/>
  <c r="I627"/>
  <c r="I626" s="1"/>
  <c r="I340"/>
  <c r="I346"/>
  <c r="I590"/>
  <c r="I589" s="1"/>
  <c r="H590"/>
  <c r="H589" s="1"/>
  <c r="I552"/>
  <c r="I551" s="1"/>
  <c r="H552"/>
  <c r="H551" s="1"/>
  <c r="F69" i="1"/>
  <c r="I505" i="2"/>
  <c r="I503"/>
  <c r="H505"/>
  <c r="H503"/>
  <c r="I508"/>
  <c r="I507" s="1"/>
  <c r="H508"/>
  <c r="H507" s="1"/>
  <c r="I500"/>
  <c r="I499" s="1"/>
  <c r="I498" s="1"/>
  <c r="I497"/>
  <c r="I496" s="1"/>
  <c r="I495"/>
  <c r="I494" s="1"/>
  <c r="H500"/>
  <c r="H499" s="1"/>
  <c r="H498" s="1"/>
  <c r="H497"/>
  <c r="H496" s="1"/>
  <c r="H495"/>
  <c r="H494" s="1"/>
  <c r="G500"/>
  <c r="G499" s="1"/>
  <c r="G498" s="1"/>
  <c r="G497"/>
  <c r="G496" s="1"/>
  <c r="G495"/>
  <c r="G494" s="1"/>
  <c r="I479"/>
  <c r="I475"/>
  <c r="I471"/>
  <c r="I467"/>
  <c r="H479"/>
  <c r="H475"/>
  <c r="H471"/>
  <c r="H467"/>
  <c r="G479"/>
  <c r="G475"/>
  <c r="G471"/>
  <c r="G467"/>
  <c r="F479"/>
  <c r="F475"/>
  <c r="F471"/>
  <c r="F467"/>
  <c r="I457"/>
  <c r="I21" s="1"/>
  <c r="F28" i="1" s="1"/>
  <c r="F131" s="1"/>
  <c r="F193" s="1"/>
  <c r="I456" i="2"/>
  <c r="I20" s="1"/>
  <c r="I454"/>
  <c r="I16" s="1"/>
  <c r="I453"/>
  <c r="I14" s="1"/>
  <c r="I452"/>
  <c r="H457"/>
  <c r="H21" s="1"/>
  <c r="E28" i="1" s="1"/>
  <c r="E131" s="1"/>
  <c r="E193" s="1"/>
  <c r="H456" i="2"/>
  <c r="H20" s="1"/>
  <c r="H454"/>
  <c r="H453"/>
  <c r="H14" s="1"/>
  <c r="H452"/>
  <c r="I464"/>
  <c r="I463"/>
  <c r="I32" s="1"/>
  <c r="I461"/>
  <c r="I26" s="1"/>
  <c r="I460"/>
  <c r="I24" s="1"/>
  <c r="F34" i="1" s="1"/>
  <c r="H464" i="2"/>
  <c r="H463"/>
  <c r="H32" s="1"/>
  <c r="H461"/>
  <c r="H460"/>
  <c r="H24" s="1"/>
  <c r="E34" i="1" s="1"/>
  <c r="H17" i="2"/>
  <c r="E24" i="1" s="1"/>
  <c r="I17" i="2"/>
  <c r="F24" i="1" s="1"/>
  <c r="H27" i="2"/>
  <c r="E39" i="1" s="1"/>
  <c r="I27" i="2"/>
  <c r="F39" i="1" s="1"/>
  <c r="H28" i="2"/>
  <c r="E40" i="1" s="1"/>
  <c r="E144" s="1"/>
  <c r="E206" s="1"/>
  <c r="I28" i="2"/>
  <c r="F40" i="1" s="1"/>
  <c r="F144" s="1"/>
  <c r="F206" s="1"/>
  <c r="H30" i="2"/>
  <c r="I30"/>
  <c r="D475"/>
  <c r="E460"/>
  <c r="E24" s="1"/>
  <c r="I15"/>
  <c r="F21" i="1" s="1"/>
  <c r="E78"/>
  <c r="F78"/>
  <c r="E453" i="2"/>
  <c r="E497"/>
  <c r="E505"/>
  <c r="F247" i="6"/>
  <c r="F246" s="1"/>
  <c r="F245" s="1"/>
  <c r="G247"/>
  <c r="G246" s="1"/>
  <c r="G245" s="1"/>
  <c r="H247"/>
  <c r="H246" s="1"/>
  <c r="H245" s="1"/>
  <c r="I247"/>
  <c r="I246" s="1"/>
  <c r="I245" s="1"/>
  <c r="I262"/>
  <c r="I261" s="1"/>
  <c r="H262"/>
  <c r="H261" s="1"/>
  <c r="G262"/>
  <c r="G261" s="1"/>
  <c r="F262"/>
  <c r="F261" s="1"/>
  <c r="I258"/>
  <c r="I257" s="1"/>
  <c r="H258"/>
  <c r="H257" s="1"/>
  <c r="G258"/>
  <c r="G257" s="1"/>
  <c r="F258"/>
  <c r="F257" s="1"/>
  <c r="F244"/>
  <c r="G244"/>
  <c r="H244"/>
  <c r="I244"/>
  <c r="I243"/>
  <c r="I242" s="1"/>
  <c r="I241" s="1"/>
  <c r="H242"/>
  <c r="H241" s="1"/>
  <c r="H240"/>
  <c r="I240"/>
  <c r="H91"/>
  <c r="I91"/>
  <c r="H89"/>
  <c r="I89"/>
  <c r="H86"/>
  <c r="I86"/>
  <c r="H84"/>
  <c r="I84"/>
  <c r="I80"/>
  <c r="H80"/>
  <c r="I78"/>
  <c r="H78"/>
  <c r="I75"/>
  <c r="H75"/>
  <c r="I73"/>
  <c r="H73"/>
  <c r="I61"/>
  <c r="I69"/>
  <c r="H69"/>
  <c r="G69"/>
  <c r="F69"/>
  <c r="I67"/>
  <c r="H67"/>
  <c r="G67"/>
  <c r="F67"/>
  <c r="I66"/>
  <c r="H66"/>
  <c r="G66"/>
  <c r="P66" s="1"/>
  <c r="F66"/>
  <c r="I64"/>
  <c r="H64"/>
  <c r="G64"/>
  <c r="F64"/>
  <c r="H61"/>
  <c r="G61"/>
  <c r="I36"/>
  <c r="I35" s="1"/>
  <c r="H36"/>
  <c r="H35" s="1"/>
  <c r="G36"/>
  <c r="G35" s="1"/>
  <c r="P35" s="1"/>
  <c r="F36"/>
  <c r="F35" s="1"/>
  <c r="I30"/>
  <c r="H30"/>
  <c r="G30"/>
  <c r="F30"/>
  <c r="I254"/>
  <c r="I253" s="1"/>
  <c r="H254"/>
  <c r="H253" s="1"/>
  <c r="H239" s="1"/>
  <c r="G243"/>
  <c r="M255"/>
  <c r="M254" s="1"/>
  <c r="M253" s="1"/>
  <c r="F47" i="9"/>
  <c r="G91" i="6"/>
  <c r="G86"/>
  <c r="G89"/>
  <c r="G84"/>
  <c r="D80"/>
  <c r="F80"/>
  <c r="G80"/>
  <c r="F78"/>
  <c r="G78"/>
  <c r="D75"/>
  <c r="F75"/>
  <c r="G75"/>
  <c r="F73"/>
  <c r="G73"/>
  <c r="G67" i="7"/>
  <c r="F67"/>
  <c r="F85" i="4"/>
  <c r="F84" s="1"/>
  <c r="G85"/>
  <c r="G84" s="1"/>
  <c r="D42" i="13"/>
  <c r="D41" s="1"/>
  <c r="D37"/>
  <c r="D30"/>
  <c r="D33"/>
  <c r="D32" s="1"/>
  <c r="F255" i="9"/>
  <c r="D127" i="8"/>
  <c r="D126" s="1"/>
  <c r="E114"/>
  <c r="M114" s="1"/>
  <c r="F54"/>
  <c r="F51"/>
  <c r="F48"/>
  <c r="F41"/>
  <c r="F39"/>
  <c r="F38" s="1"/>
  <c r="F34"/>
  <c r="B30" i="1"/>
  <c r="D136"/>
  <c r="D198" s="1"/>
  <c r="C136"/>
  <c r="C198" s="1"/>
  <c r="D27"/>
  <c r="C27"/>
  <c r="G113" i="7"/>
  <c r="F113"/>
  <c r="G111"/>
  <c r="F111"/>
  <c r="G108"/>
  <c r="F108"/>
  <c r="F104" s="1"/>
  <c r="G105"/>
  <c r="G87"/>
  <c r="F87"/>
  <c r="G85"/>
  <c r="F85"/>
  <c r="G82"/>
  <c r="F82"/>
  <c r="G79"/>
  <c r="F79"/>
  <c r="G75"/>
  <c r="F75"/>
  <c r="G73"/>
  <c r="F73"/>
  <c r="G70"/>
  <c r="F70"/>
  <c r="G63"/>
  <c r="F63"/>
  <c r="G61"/>
  <c r="F61"/>
  <c r="G58"/>
  <c r="F58"/>
  <c r="G55"/>
  <c r="F55"/>
  <c r="G51"/>
  <c r="F51"/>
  <c r="G49"/>
  <c r="F49"/>
  <c r="G46"/>
  <c r="F46"/>
  <c r="G43"/>
  <c r="F43"/>
  <c r="G25"/>
  <c r="G24" s="1"/>
  <c r="F25"/>
  <c r="F24" s="1"/>
  <c r="G254" i="6"/>
  <c r="G253" s="1"/>
  <c r="G239" s="1"/>
  <c r="F254"/>
  <c r="F253" s="1"/>
  <c r="N250"/>
  <c r="N249" s="1"/>
  <c r="G240"/>
  <c r="G139" i="5"/>
  <c r="G138" s="1"/>
  <c r="F139"/>
  <c r="F138" s="1"/>
  <c r="D112"/>
  <c r="G132"/>
  <c r="F132"/>
  <c r="G126"/>
  <c r="F126"/>
  <c r="G118"/>
  <c r="G117" s="1"/>
  <c r="F118"/>
  <c r="F117" s="1"/>
  <c r="F115"/>
  <c r="C83" i="1" s="1"/>
  <c r="C82" s="1"/>
  <c r="G114" i="5"/>
  <c r="F113"/>
  <c r="C80" i="1" s="1"/>
  <c r="C140" s="1"/>
  <c r="C202" s="1"/>
  <c r="F112" i="5"/>
  <c r="G111"/>
  <c r="G108"/>
  <c r="F108"/>
  <c r="F107"/>
  <c r="G106"/>
  <c r="F106"/>
  <c r="F105"/>
  <c r="M93" s="1"/>
  <c r="G53"/>
  <c r="G52" s="1"/>
  <c r="F53"/>
  <c r="F52" s="1"/>
  <c r="G50"/>
  <c r="F50"/>
  <c r="F49" s="1"/>
  <c r="G46"/>
  <c r="F46"/>
  <c r="G35"/>
  <c r="F35"/>
  <c r="G33"/>
  <c r="F33"/>
  <c r="G30"/>
  <c r="F30"/>
  <c r="G28"/>
  <c r="F28"/>
  <c r="D77" i="4"/>
  <c r="F95" i="3"/>
  <c r="F93"/>
  <c r="F90"/>
  <c r="F87"/>
  <c r="G627" i="2"/>
  <c r="G626" s="1"/>
  <c r="F627"/>
  <c r="F626" s="1"/>
  <c r="D590"/>
  <c r="D589" s="1"/>
  <c r="G590"/>
  <c r="G589" s="1"/>
  <c r="F590"/>
  <c r="F589" s="1"/>
  <c r="G586"/>
  <c r="G585" s="1"/>
  <c r="F586"/>
  <c r="F585" s="1"/>
  <c r="D575"/>
  <c r="D574" s="1"/>
  <c r="G552"/>
  <c r="G551" s="1"/>
  <c r="F552"/>
  <c r="F551" s="1"/>
  <c r="G548"/>
  <c r="G547" s="1"/>
  <c r="F548"/>
  <c r="F547" s="1"/>
  <c r="G527"/>
  <c r="F527"/>
  <c r="D78" i="1"/>
  <c r="G508" i="2"/>
  <c r="G507" s="1"/>
  <c r="F508"/>
  <c r="F507" s="1"/>
  <c r="G505"/>
  <c r="F505"/>
  <c r="G503"/>
  <c r="F503"/>
  <c r="F500"/>
  <c r="F499" s="1"/>
  <c r="F498" s="1"/>
  <c r="F497"/>
  <c r="F496" s="1"/>
  <c r="F495"/>
  <c r="F494" s="1"/>
  <c r="G464"/>
  <c r="G33" s="1"/>
  <c r="D43" i="1" s="1"/>
  <c r="F464" i="2"/>
  <c r="F33" s="1"/>
  <c r="C43" i="1" s="1"/>
  <c r="C146" s="1"/>
  <c r="C208" s="1"/>
  <c r="G463" i="2"/>
  <c r="G32" s="1"/>
  <c r="F463"/>
  <c r="F32" s="1"/>
  <c r="G461"/>
  <c r="G26" s="1"/>
  <c r="F461"/>
  <c r="G460"/>
  <c r="G24" s="1"/>
  <c r="F460"/>
  <c r="F24" s="1"/>
  <c r="G457"/>
  <c r="G21" s="1"/>
  <c r="D28" i="1" s="1"/>
  <c r="D131" s="1"/>
  <c r="D193" s="1"/>
  <c r="F457" i="2"/>
  <c r="F21" s="1"/>
  <c r="G456"/>
  <c r="G20" s="1"/>
  <c r="F456"/>
  <c r="F20" s="1"/>
  <c r="G454"/>
  <c r="G16" s="1"/>
  <c r="F454"/>
  <c r="G453"/>
  <c r="G14" s="1"/>
  <c r="F453"/>
  <c r="F14" s="1"/>
  <c r="G452"/>
  <c r="F452"/>
  <c r="D296"/>
  <c r="D293"/>
  <c r="D58"/>
  <c r="G30"/>
  <c r="F30"/>
  <c r="G28"/>
  <c r="D40" i="1" s="1"/>
  <c r="D144" s="1"/>
  <c r="D206" s="1"/>
  <c r="F28" i="2"/>
  <c r="C40" i="1" s="1"/>
  <c r="C144" s="1"/>
  <c r="C206" s="1"/>
  <c r="G27" i="2"/>
  <c r="D39" i="1" s="1"/>
  <c r="F27" i="2"/>
  <c r="C39" i="1" s="1"/>
  <c r="C143" s="1"/>
  <c r="C205" s="1"/>
  <c r="D318" i="2"/>
  <c r="D552"/>
  <c r="D551" s="1"/>
  <c r="D77"/>
  <c r="D298"/>
  <c r="D89"/>
  <c r="D461"/>
  <c r="E102" i="5"/>
  <c r="E109"/>
  <c r="E108" s="1"/>
  <c r="D109"/>
  <c r="D108" s="1"/>
  <c r="E139"/>
  <c r="E138" s="1"/>
  <c r="E129"/>
  <c r="E113"/>
  <c r="E106"/>
  <c r="E135"/>
  <c r="E115"/>
  <c r="E114" s="1"/>
  <c r="D141" i="2"/>
  <c r="E139" i="8"/>
  <c r="D120"/>
  <c r="D68" i="4"/>
  <c r="D67"/>
  <c r="E244" i="6"/>
  <c r="E262"/>
  <c r="E261" s="1"/>
  <c r="E247"/>
  <c r="E246" s="1"/>
  <c r="E245" s="1"/>
  <c r="D50" i="3"/>
  <c r="D13" s="1"/>
  <c r="D57"/>
  <c r="D20" s="1"/>
  <c r="D600" i="2"/>
  <c r="E77"/>
  <c r="P570"/>
  <c r="P484"/>
  <c r="D244" i="6"/>
  <c r="D505" i="2"/>
  <c r="D106" i="5"/>
  <c r="D123" i="8"/>
  <c r="D122" s="1"/>
  <c r="D107" s="1"/>
  <c r="D105" s="1"/>
  <c r="D114"/>
  <c r="D130" i="2"/>
  <c r="P466"/>
  <c r="B198" i="1"/>
  <c r="D323" i="2"/>
  <c r="E475"/>
  <c r="E474" s="1"/>
  <c r="E461"/>
  <c r="D328"/>
  <c r="E487"/>
  <c r="P509"/>
  <c r="E500"/>
  <c r="E508"/>
  <c r="E507" s="1"/>
  <c r="D353"/>
  <c r="D102" i="5"/>
  <c r="D49" i="7"/>
  <c r="B67" i="1"/>
  <c r="D93" i="3"/>
  <c r="B44" i="1"/>
  <c r="E112" i="5"/>
  <c r="E132"/>
  <c r="E126"/>
  <c r="E105"/>
  <c r="D60" i="3"/>
  <c r="E489" i="2"/>
  <c r="D490"/>
  <c r="D489" s="1"/>
  <c r="E87"/>
  <c r="D317"/>
  <c r="D110"/>
  <c r="D109" s="1"/>
  <c r="E96"/>
  <c r="E89"/>
  <c r="D324"/>
  <c r="D336"/>
  <c r="E463"/>
  <c r="E32" s="1"/>
  <c r="E471"/>
  <c r="E456"/>
  <c r="E20" s="1"/>
  <c r="E454"/>
  <c r="E485"/>
  <c r="D247" i="6"/>
  <c r="D246" s="1"/>
  <c r="D245" s="1"/>
  <c r="D262"/>
  <c r="D261" s="1"/>
  <c r="D139" i="8"/>
  <c r="D115" i="5"/>
  <c r="D114" s="1"/>
  <c r="D39"/>
  <c r="D107"/>
  <c r="D358" i="2"/>
  <c r="D357" s="1"/>
  <c r="D485"/>
  <c r="D500"/>
  <c r="D499" s="1"/>
  <c r="D498" s="1"/>
  <c r="D62" i="4"/>
  <c r="H51"/>
  <c r="D28" i="2"/>
  <c r="D87"/>
  <c r="D355"/>
  <c r="D544"/>
  <c r="D543" s="1"/>
  <c r="D670" s="1"/>
  <c r="O15" i="1"/>
  <c r="P523" i="2"/>
  <c r="D30" i="6"/>
  <c r="D84"/>
  <c r="D89"/>
  <c r="J103" i="1" l="1"/>
  <c r="I416" i="2"/>
  <c r="E81" i="1"/>
  <c r="D39" i="8"/>
  <c r="I27" i="6"/>
  <c r="F182"/>
  <c r="F181" s="1"/>
  <c r="G78" i="7"/>
  <c r="D143" i="1"/>
  <c r="D205" s="1"/>
  <c r="F143"/>
  <c r="F205" s="1"/>
  <c r="G129"/>
  <c r="G190" s="1"/>
  <c r="J14" i="5"/>
  <c r="H11" i="3"/>
  <c r="N80" i="2"/>
  <c r="E129" i="1"/>
  <c r="E190" s="1"/>
  <c r="H129"/>
  <c r="H190" s="1"/>
  <c r="I129"/>
  <c r="I190" s="1"/>
  <c r="K14" i="5"/>
  <c r="F129" i="1"/>
  <c r="F190" s="1"/>
  <c r="G143"/>
  <c r="G205" s="1"/>
  <c r="I143"/>
  <c r="I205" s="1"/>
  <c r="L14" i="5"/>
  <c r="K9" i="9"/>
  <c r="E143" i="1"/>
  <c r="E205" s="1"/>
  <c r="G11" i="3"/>
  <c r="I11"/>
  <c r="G15" i="2"/>
  <c r="D21" i="1" s="1"/>
  <c r="D126" s="1"/>
  <c r="D187" s="1"/>
  <c r="K25" i="2"/>
  <c r="H37" i="1" s="1"/>
  <c r="L252" i="9"/>
  <c r="L251" s="1"/>
  <c r="H296" i="6"/>
  <c r="G43" i="5"/>
  <c r="I41" i="13"/>
  <c r="G187" i="2"/>
  <c r="I72" i="6"/>
  <c r="F153"/>
  <c r="H144"/>
  <c r="H299" s="1"/>
  <c r="H249" i="9"/>
  <c r="H248" s="1"/>
  <c r="N97"/>
  <c r="D116" i="8"/>
  <c r="D115" s="1"/>
  <c r="F45"/>
  <c r="K252" i="9"/>
  <c r="K251" s="1"/>
  <c r="B165" i="1"/>
  <c r="L249" i="9"/>
  <c r="I60" i="1" s="1"/>
  <c r="F66" i="7"/>
  <c r="F72"/>
  <c r="H66"/>
  <c r="I66"/>
  <c r="J44" i="8"/>
  <c r="J9" s="1"/>
  <c r="H36" i="13"/>
  <c r="G77" i="6"/>
  <c r="P77" s="1"/>
  <c r="I88"/>
  <c r="I13" i="2"/>
  <c r="J41" i="13"/>
  <c r="G66" i="7"/>
  <c r="G104"/>
  <c r="G110"/>
  <c r="F239" i="6"/>
  <c r="I239"/>
  <c r="I238" s="1"/>
  <c r="F175" i="2"/>
  <c r="F41" i="13"/>
  <c r="I109" i="8"/>
  <c r="I108" s="1"/>
  <c r="I515" i="2"/>
  <c r="I514" s="1"/>
  <c r="H88" i="6"/>
  <c r="K102" i="13"/>
  <c r="K101" s="1"/>
  <c r="H65" i="1"/>
  <c r="G238" i="6"/>
  <c r="H72"/>
  <c r="G72" i="7"/>
  <c r="G84"/>
  <c r="F84"/>
  <c r="H38" i="5"/>
  <c r="E27"/>
  <c r="E11" s="1"/>
  <c r="B68" i="1"/>
  <c r="I100" i="5"/>
  <c r="F100"/>
  <c r="C68" i="1"/>
  <c r="C123" s="1"/>
  <c r="C185" s="1"/>
  <c r="E104" i="5"/>
  <c r="D100"/>
  <c r="H100"/>
  <c r="F43"/>
  <c r="N107"/>
  <c r="H110"/>
  <c r="I32"/>
  <c r="F80" i="9"/>
  <c r="J109" i="8"/>
  <c r="J108" s="1"/>
  <c r="F32" i="13"/>
  <c r="L109" i="8"/>
  <c r="L108" s="1"/>
  <c r="I106" i="6"/>
  <c r="L197"/>
  <c r="H205"/>
  <c r="G426" i="2"/>
  <c r="G344"/>
  <c r="G343" s="1"/>
  <c r="G462"/>
  <c r="K43" i="7"/>
  <c r="K13"/>
  <c r="G402" i="2"/>
  <c r="F42" i="7"/>
  <c r="F54"/>
  <c r="D25" i="5"/>
  <c r="D23" s="1"/>
  <c r="D20" s="1"/>
  <c r="L106" i="6"/>
  <c r="F60" i="7"/>
  <c r="K205" i="6"/>
  <c r="D424" i="2"/>
  <c r="N424"/>
  <c r="D27" i="6"/>
  <c r="D46" i="5"/>
  <c r="D43" s="1"/>
  <c r="F15" i="2"/>
  <c r="C21" i="1" s="1"/>
  <c r="C126" s="1"/>
  <c r="C187" s="1"/>
  <c r="D34"/>
  <c r="I249" i="9"/>
  <c r="G68" i="3"/>
  <c r="J80" i="9"/>
  <c r="D37" i="2"/>
  <c r="H422"/>
  <c r="H341" s="1"/>
  <c r="H13" s="1"/>
  <c r="H41" i="13"/>
  <c r="H32"/>
  <c r="K268" i="6"/>
  <c r="Q106"/>
  <c r="H143" i="5"/>
  <c r="D143"/>
  <c r="D145" s="1"/>
  <c r="D146" s="1"/>
  <c r="I143"/>
  <c r="D19"/>
  <c r="D17" s="1"/>
  <c r="D13" s="1"/>
  <c r="I110"/>
  <c r="G110"/>
  <c r="G63"/>
  <c r="J63"/>
  <c r="L103"/>
  <c r="G32"/>
  <c r="I27"/>
  <c r="H32"/>
  <c r="F27"/>
  <c r="F114"/>
  <c r="H27"/>
  <c r="D38"/>
  <c r="D11" s="1"/>
  <c r="D10" s="1"/>
  <c r="G38"/>
  <c r="G157" i="2"/>
  <c r="D165" i="1"/>
  <c r="K50" i="8"/>
  <c r="K144" s="1"/>
  <c r="G86" i="3"/>
  <c r="D37" i="1"/>
  <c r="D138" s="1"/>
  <c r="D200" s="1"/>
  <c r="Q25" i="2"/>
  <c r="G378"/>
  <c r="G368"/>
  <c r="G372"/>
  <c r="I92" i="3"/>
  <c r="C165" i="1"/>
  <c r="I63" i="5"/>
  <c r="D152" i="2"/>
  <c r="D45"/>
  <c r="I57" i="13"/>
  <c r="F57"/>
  <c r="P13" i="3"/>
  <c r="J86"/>
  <c r="I86"/>
  <c r="G92"/>
  <c r="P92" s="1"/>
  <c r="F92"/>
  <c r="I62"/>
  <c r="M98"/>
  <c r="M9" s="1"/>
  <c r="L340" i="2"/>
  <c r="L339" s="1"/>
  <c r="L13"/>
  <c r="I18" i="1" s="1"/>
  <c r="F111" i="5"/>
  <c r="I77" i="6"/>
  <c r="H83"/>
  <c r="H49" i="5"/>
  <c r="E103"/>
  <c r="G27"/>
  <c r="F32"/>
  <c r="G54" i="7"/>
  <c r="G83" i="6"/>
  <c r="H77"/>
  <c r="I83"/>
  <c r="I49" i="5"/>
  <c r="J13" i="2"/>
  <c r="L63" i="5"/>
  <c r="J38"/>
  <c r="K13" i="2"/>
  <c r="H18" i="1" s="1"/>
  <c r="H33" i="8"/>
  <c r="I131" i="9"/>
  <c r="H92" i="3"/>
  <c r="K103" i="5"/>
  <c r="L8" i="9"/>
  <c r="J8"/>
  <c r="F48" i="7"/>
  <c r="G56" i="5"/>
  <c r="I56"/>
  <c r="K8" i="9"/>
  <c r="K7" s="1"/>
  <c r="I8"/>
  <c r="F407" i="2"/>
  <c r="G407"/>
  <c r="F163"/>
  <c r="H431"/>
  <c r="H662" s="1"/>
  <c r="F502"/>
  <c r="G199"/>
  <c r="N611"/>
  <c r="N610" s="1"/>
  <c r="K339"/>
  <c r="F455"/>
  <c r="G502"/>
  <c r="N372"/>
  <c r="F451"/>
  <c r="F450" s="1"/>
  <c r="N603"/>
  <c r="N602" s="1"/>
  <c r="N402"/>
  <c r="H402"/>
  <c r="G49" i="5"/>
  <c r="E125"/>
  <c r="F462" i="2"/>
  <c r="G60" i="7"/>
  <c r="I48"/>
  <c r="I42"/>
  <c r="H84"/>
  <c r="I78"/>
  <c r="I84"/>
  <c r="H104"/>
  <c r="I104"/>
  <c r="I110"/>
  <c r="H72"/>
  <c r="H54"/>
  <c r="I54"/>
  <c r="I60"/>
  <c r="H56" i="5"/>
  <c r="N471" i="2"/>
  <c r="G148" i="6"/>
  <c r="L205"/>
  <c r="J205"/>
  <c r="H152"/>
  <c r="G41" i="13"/>
  <c r="I47"/>
  <c r="I14" s="1"/>
  <c r="I12" s="1"/>
  <c r="G320" i="2"/>
  <c r="L80" i="9"/>
  <c r="G109" i="8"/>
  <c r="G108" s="1"/>
  <c r="I26" i="3"/>
  <c r="F86"/>
  <c r="L86"/>
  <c r="L92"/>
  <c r="L98"/>
  <c r="L9" s="1"/>
  <c r="M86"/>
  <c r="F72" i="6"/>
  <c r="G100" i="5"/>
  <c r="N102"/>
  <c r="N100" s="1"/>
  <c r="H416" i="2"/>
  <c r="G193"/>
  <c r="L25"/>
  <c r="I37" i="1" s="1"/>
  <c r="I138" s="1"/>
  <c r="I200" s="1"/>
  <c r="L15" i="2"/>
  <c r="I21" i="1" s="1"/>
  <c r="I126" s="1"/>
  <c r="I187" s="1"/>
  <c r="H25" i="2"/>
  <c r="E37" i="1" s="1"/>
  <c r="E138" s="1"/>
  <c r="E200" s="1"/>
  <c r="H15" i="2"/>
  <c r="E21" i="1" s="1"/>
  <c r="E126" s="1"/>
  <c r="E187" s="1"/>
  <c r="F73" i="5"/>
  <c r="I116" i="8"/>
  <c r="I115" s="1"/>
  <c r="F81" i="1"/>
  <c r="F141" s="1"/>
  <c r="F203" s="1"/>
  <c r="G116" i="8"/>
  <c r="G115" s="1"/>
  <c r="D81" i="1"/>
  <c r="D141" s="1"/>
  <c r="D203" s="1"/>
  <c r="M110" i="6"/>
  <c r="D459" i="2"/>
  <c r="E131" i="5"/>
  <c r="D138" i="2"/>
  <c r="F110" i="7"/>
  <c r="F50" i="8"/>
  <c r="F144" s="1"/>
  <c r="N106" i="5"/>
  <c r="N104" s="1"/>
  <c r="N103" s="1"/>
  <c r="K38"/>
  <c r="I139" i="6"/>
  <c r="D195"/>
  <c r="D297" s="1"/>
  <c r="H194"/>
  <c r="H193" s="1"/>
  <c r="H192" s="1"/>
  <c r="J57" i="13"/>
  <c r="J119" s="1"/>
  <c r="J121" s="1"/>
  <c r="J122" s="1"/>
  <c r="G65" i="1" s="1"/>
  <c r="G33" i="8"/>
  <c r="G10" s="1"/>
  <c r="G23" i="1"/>
  <c r="K23" s="1"/>
  <c r="J11" i="13"/>
  <c r="L116" i="8"/>
  <c r="L115" s="1"/>
  <c r="I81" i="1"/>
  <c r="I141" s="1"/>
  <c r="I203" s="1"/>
  <c r="G13" i="5"/>
  <c r="F104"/>
  <c r="F66"/>
  <c r="N240" i="6"/>
  <c r="H252" i="9"/>
  <c r="H251" s="1"/>
  <c r="I38" i="5"/>
  <c r="K249" i="9"/>
  <c r="H60" i="1" s="1"/>
  <c r="K63" i="5"/>
  <c r="G249" i="9"/>
  <c r="G248" s="1"/>
  <c r="F109" i="8"/>
  <c r="F108" s="1"/>
  <c r="H109"/>
  <c r="H108" s="1"/>
  <c r="F44" i="9"/>
  <c r="I13" i="5"/>
  <c r="H44" i="9"/>
  <c r="E111" i="5"/>
  <c r="F459" i="2"/>
  <c r="G42" i="7"/>
  <c r="G182" s="1"/>
  <c r="G183" s="1"/>
  <c r="G44" i="9"/>
  <c r="K11" i="13"/>
  <c r="I53"/>
  <c r="I18" s="1"/>
  <c r="F104" i="3"/>
  <c r="H104"/>
  <c r="H284" s="1"/>
  <c r="J104"/>
  <c r="J284" s="1"/>
  <c r="J42" i="7"/>
  <c r="E165" i="1"/>
  <c r="H32" i="9"/>
  <c r="G32"/>
  <c r="H48" i="7"/>
  <c r="G48"/>
  <c r="H42"/>
  <c r="G163" i="2"/>
  <c r="L165" i="1"/>
  <c r="M111" i="6"/>
  <c r="M114"/>
  <c r="M133"/>
  <c r="J103" i="5"/>
  <c r="K42" i="7"/>
  <c r="E100" i="5"/>
  <c r="M102"/>
  <c r="M100" s="1"/>
  <c r="I104"/>
  <c r="F68" i="1"/>
  <c r="F123" s="1"/>
  <c r="F185" s="1"/>
  <c r="M107" i="5"/>
  <c r="L38"/>
  <c r="K71" i="1"/>
  <c r="D56" i="13"/>
  <c r="N56"/>
  <c r="M56"/>
  <c r="F145" i="6"/>
  <c r="M177"/>
  <c r="M175" s="1"/>
  <c r="M174" s="1"/>
  <c r="M170" s="1"/>
  <c r="F247" i="2"/>
  <c r="F47" i="13"/>
  <c r="F46" s="1"/>
  <c r="M49"/>
  <c r="H61" i="1"/>
  <c r="M45" i="7"/>
  <c r="M9" s="1"/>
  <c r="M7" s="1"/>
  <c r="N11" i="8"/>
  <c r="M100" i="6"/>
  <c r="J106"/>
  <c r="J105" s="1"/>
  <c r="M108"/>
  <c r="J116"/>
  <c r="J115" s="1"/>
  <c r="M128"/>
  <c r="N49" i="13"/>
  <c r="G104" i="5"/>
  <c r="D68" i="1"/>
  <c r="D123" s="1"/>
  <c r="D185" s="1"/>
  <c r="H104" i="5"/>
  <c r="E68" i="1"/>
  <c r="E123" s="1"/>
  <c r="E185" s="1"/>
  <c r="M106" i="5"/>
  <c r="D38" i="2"/>
  <c r="L455"/>
  <c r="N13" i="13"/>
  <c r="G53"/>
  <c r="N55"/>
  <c r="N50"/>
  <c r="M50"/>
  <c r="L104" i="3"/>
  <c r="L284" s="1"/>
  <c r="G105" i="8"/>
  <c r="N107"/>
  <c r="N105" s="1"/>
  <c r="N113"/>
  <c r="M113"/>
  <c r="M109" s="1"/>
  <c r="M108" s="1"/>
  <c r="M203" i="6"/>
  <c r="N200"/>
  <c r="M200"/>
  <c r="F53" i="13"/>
  <c r="F18" s="1"/>
  <c r="D55"/>
  <c r="M55"/>
  <c r="N98" i="6"/>
  <c r="M98"/>
  <c r="K106"/>
  <c r="K287" s="1"/>
  <c r="N113"/>
  <c r="M113"/>
  <c r="M240"/>
  <c r="G72"/>
  <c r="D198"/>
  <c r="F60"/>
  <c r="L23"/>
  <c r="L21" s="1"/>
  <c r="K143"/>
  <c r="K142" s="1"/>
  <c r="K197"/>
  <c r="H197"/>
  <c r="M227"/>
  <c r="M226" s="1"/>
  <c r="N289" i="2"/>
  <c r="H13" i="5"/>
  <c r="N495" i="2"/>
  <c r="N494" s="1"/>
  <c r="N452"/>
  <c r="N456"/>
  <c r="I459"/>
  <c r="H455"/>
  <c r="H51" i="3"/>
  <c r="N17"/>
  <c r="J92"/>
  <c r="I104"/>
  <c r="I284" s="1"/>
  <c r="K86"/>
  <c r="G455" i="2"/>
  <c r="M15" i="6"/>
  <c r="P15" s="1"/>
  <c r="D52" i="3"/>
  <c r="D17" s="1"/>
  <c r="G46"/>
  <c r="N104" i="13"/>
  <c r="M104"/>
  <c r="M52" i="3"/>
  <c r="M51" s="1"/>
  <c r="M198" i="6"/>
  <c r="M140"/>
  <c r="M139" s="1"/>
  <c r="C102" i="1"/>
  <c r="F671" i="2"/>
  <c r="D101" i="1"/>
  <c r="G671" i="2"/>
  <c r="F102" i="1"/>
  <c r="F101" s="1"/>
  <c r="I671" i="2"/>
  <c r="H50" i="8"/>
  <c r="H144" s="1"/>
  <c r="I146"/>
  <c r="F22"/>
  <c r="F12"/>
  <c r="L146"/>
  <c r="J146"/>
  <c r="J147" s="1"/>
  <c r="D42"/>
  <c r="G31"/>
  <c r="G28" s="1"/>
  <c r="G21" s="1"/>
  <c r="F16"/>
  <c r="F28"/>
  <c r="L268" i="6"/>
  <c r="H474" i="2"/>
  <c r="J462"/>
  <c r="G146" i="8"/>
  <c r="D45" i="7"/>
  <c r="K7"/>
  <c r="N45"/>
  <c r="H426" i="2"/>
  <c r="E459"/>
  <c r="G451"/>
  <c r="N457"/>
  <c r="F474"/>
  <c r="K455"/>
  <c r="K462"/>
  <c r="J459"/>
  <c r="G36" i="13"/>
  <c r="I32"/>
  <c r="D176" i="2"/>
  <c r="K70" i="1"/>
  <c r="G98" i="13"/>
  <c r="N99"/>
  <c r="N98" s="1"/>
  <c r="M99"/>
  <c r="M98" s="1"/>
  <c r="E125" i="1"/>
  <c r="E191" s="1"/>
  <c r="G141"/>
  <c r="G203" s="1"/>
  <c r="K30"/>
  <c r="K130" s="1"/>
  <c r="K20"/>
  <c r="K72"/>
  <c r="J8" i="8"/>
  <c r="K8"/>
  <c r="I8"/>
  <c r="K69" i="1"/>
  <c r="M244" i="6"/>
  <c r="F13" i="5"/>
  <c r="L145"/>
  <c r="L146" s="1"/>
  <c r="J145"/>
  <c r="K145"/>
  <c r="K146" s="1"/>
  <c r="J13"/>
  <c r="M15"/>
  <c r="M14" s="1"/>
  <c r="N27"/>
  <c r="N19"/>
  <c r="N17" s="1"/>
  <c r="N15"/>
  <c r="N14" s="1"/>
  <c r="M19"/>
  <c r="M17" s="1"/>
  <c r="M13" i="13"/>
  <c r="L122"/>
  <c r="F27"/>
  <c r="G252" i="9"/>
  <c r="G251" s="1"/>
  <c r="N255"/>
  <c r="C66" i="1"/>
  <c r="M254" i="9"/>
  <c r="N253"/>
  <c r="F252"/>
  <c r="F251" s="1"/>
  <c r="M255"/>
  <c r="D66" i="1"/>
  <c r="L66" s="1"/>
  <c r="N254" i="9"/>
  <c r="M253"/>
  <c r="K27" i="1"/>
  <c r="F44" i="8"/>
  <c r="F9" s="1"/>
  <c r="M107"/>
  <c r="D37"/>
  <c r="D20" s="1"/>
  <c r="M37"/>
  <c r="M20" s="1"/>
  <c r="M16" s="1"/>
  <c r="D49"/>
  <c r="D18" s="1"/>
  <c r="B72" i="1"/>
  <c r="N72" s="1"/>
  <c r="E116" i="8"/>
  <c r="E115" s="1"/>
  <c r="F36"/>
  <c r="F22" i="1"/>
  <c r="F127" s="1"/>
  <c r="F188" s="1"/>
  <c r="M46" i="8"/>
  <c r="M13" s="1"/>
  <c r="M12" s="1"/>
  <c r="C141" i="1"/>
  <c r="C203" s="1"/>
  <c r="E141"/>
  <c r="E203" s="1"/>
  <c r="F125"/>
  <c r="F191" s="1"/>
  <c r="G41" i="8"/>
  <c r="G125" i="1"/>
  <c r="G191" s="1"/>
  <c r="M34" i="8"/>
  <c r="D47"/>
  <c r="D14" s="1"/>
  <c r="K109"/>
  <c r="K108" s="1"/>
  <c r="N109"/>
  <c r="N108" s="1"/>
  <c r="M106"/>
  <c r="F16" i="6"/>
  <c r="M141"/>
  <c r="M145"/>
  <c r="F201"/>
  <c r="F14"/>
  <c r="L69" i="1"/>
  <c r="D83"/>
  <c r="D82" s="1"/>
  <c r="E74"/>
  <c r="E73" s="1"/>
  <c r="M47" i="3"/>
  <c r="M46" s="1"/>
  <c r="M17"/>
  <c r="N114" i="2"/>
  <c r="D137"/>
  <c r="I502"/>
  <c r="I9" s="1"/>
  <c r="E14"/>
  <c r="M14" s="1"/>
  <c r="M453"/>
  <c r="M40"/>
  <c r="M424"/>
  <c r="M456"/>
  <c r="M454"/>
  <c r="G459"/>
  <c r="N497"/>
  <c r="N496" s="1"/>
  <c r="M497"/>
  <c r="M496" s="1"/>
  <c r="I339"/>
  <c r="M342"/>
  <c r="M429"/>
  <c r="F17"/>
  <c r="M39"/>
  <c r="M38"/>
  <c r="L71" i="1"/>
  <c r="L72"/>
  <c r="F38" i="5"/>
  <c r="D56" i="3"/>
  <c r="D19"/>
  <c r="G313" i="2"/>
  <c r="H502"/>
  <c r="N38"/>
  <c r="G17"/>
  <c r="D24" i="1" s="1"/>
  <c r="N39" i="2"/>
  <c r="L70" i="1"/>
  <c r="G169" i="2"/>
  <c r="N342"/>
  <c r="J15"/>
  <c r="N42"/>
  <c r="L29"/>
  <c r="D433"/>
  <c r="D350" s="1"/>
  <c r="D349" s="1"/>
  <c r="G19"/>
  <c r="N427"/>
  <c r="D171" i="6"/>
  <c r="J139"/>
  <c r="G139"/>
  <c r="K148"/>
  <c r="G231"/>
  <c r="N110"/>
  <c r="N111"/>
  <c r="N114"/>
  <c r="N133"/>
  <c r="D123"/>
  <c r="D215"/>
  <c r="K186"/>
  <c r="G242"/>
  <c r="G241" s="1"/>
  <c r="N243"/>
  <c r="D204"/>
  <c r="N204"/>
  <c r="G96"/>
  <c r="N100"/>
  <c r="N203"/>
  <c r="D203"/>
  <c r="D104"/>
  <c r="N108"/>
  <c r="D109"/>
  <c r="N109"/>
  <c r="N145"/>
  <c r="N141"/>
  <c r="G16"/>
  <c r="N16" s="1"/>
  <c r="H14"/>
  <c r="N27" i="13"/>
  <c r="I17" i="6"/>
  <c r="F25" i="1" s="1"/>
  <c r="K17" i="6"/>
  <c r="H25" i="1" s="1"/>
  <c r="N17" i="6"/>
  <c r="N140"/>
  <c r="N139" s="1"/>
  <c r="G102"/>
  <c r="G17" s="1"/>
  <c r="D25" i="1" s="1"/>
  <c r="D103" i="6"/>
  <c r="H102"/>
  <c r="H95" s="1"/>
  <c r="J102"/>
  <c r="D110"/>
  <c r="G106"/>
  <c r="D111"/>
  <c r="D113"/>
  <c r="F121"/>
  <c r="F17" s="1"/>
  <c r="C25" i="1" s="1"/>
  <c r="D122" i="6"/>
  <c r="D132"/>
  <c r="H121"/>
  <c r="J121"/>
  <c r="L121"/>
  <c r="G125"/>
  <c r="N125" s="1"/>
  <c r="F231"/>
  <c r="D98"/>
  <c r="I96"/>
  <c r="I95" s="1"/>
  <c r="J96"/>
  <c r="J14" s="1"/>
  <c r="H106"/>
  <c r="D108"/>
  <c r="D114"/>
  <c r="D133"/>
  <c r="D128"/>
  <c r="F125"/>
  <c r="F124" s="1"/>
  <c r="N15"/>
  <c r="N216"/>
  <c r="N214" s="1"/>
  <c r="N38" i="5"/>
  <c r="N47" i="3"/>
  <c r="N46" s="1"/>
  <c r="N52"/>
  <c r="N51" s="1"/>
  <c r="G26"/>
  <c r="N27"/>
  <c r="H55"/>
  <c r="D125" i="1"/>
  <c r="D191" s="1"/>
  <c r="L20"/>
  <c r="D130"/>
  <c r="D192" s="1"/>
  <c r="L30"/>
  <c r="L130" s="1"/>
  <c r="F36" i="13"/>
  <c r="G27"/>
  <c r="G32"/>
  <c r="H27"/>
  <c r="F129" i="2"/>
  <c r="D141" i="6"/>
  <c r="K116" i="7"/>
  <c r="D40" i="13"/>
  <c r="D50"/>
  <c r="D49"/>
  <c r="H57"/>
  <c r="L11"/>
  <c r="E147" i="8"/>
  <c r="L44"/>
  <c r="L9" s="1"/>
  <c r="D109"/>
  <c r="D108" s="1"/>
  <c r="J36" i="1"/>
  <c r="N34" i="8"/>
  <c r="J30" i="1"/>
  <c r="J130" s="1"/>
  <c r="J192" s="1"/>
  <c r="J44"/>
  <c r="J142" s="1"/>
  <c r="J204" s="1"/>
  <c r="H44" i="8"/>
  <c r="H9" s="1"/>
  <c r="D46"/>
  <c r="D13" s="1"/>
  <c r="D35"/>
  <c r="D15" s="1"/>
  <c r="L27" i="1"/>
  <c r="B66"/>
  <c r="E109" i="8"/>
  <c r="E108" s="1"/>
  <c r="K105"/>
  <c r="J27" i="1"/>
  <c r="L105" i="8"/>
  <c r="I101" i="1"/>
  <c r="I61"/>
  <c r="G61"/>
  <c r="I116" i="7"/>
  <c r="F122"/>
  <c r="H122"/>
  <c r="J122"/>
  <c r="H110"/>
  <c r="I72"/>
  <c r="N254" i="6"/>
  <c r="N253" s="1"/>
  <c r="D255"/>
  <c r="F226"/>
  <c r="D217"/>
  <c r="G226"/>
  <c r="F175"/>
  <c r="F174" s="1"/>
  <c r="F170" s="1"/>
  <c r="D100"/>
  <c r="D216"/>
  <c r="N218"/>
  <c r="D219"/>
  <c r="D218" s="1"/>
  <c r="C34" i="1"/>
  <c r="D222" i="6"/>
  <c r="D22" s="1"/>
  <c r="F223"/>
  <c r="D224"/>
  <c r="D223" s="1"/>
  <c r="K13" i="5"/>
  <c r="J146"/>
  <c r="K49"/>
  <c r="L49"/>
  <c r="J49"/>
  <c r="H145"/>
  <c r="H146" s="1"/>
  <c r="I145"/>
  <c r="I146" s="1"/>
  <c r="L13"/>
  <c r="H63"/>
  <c r="E10"/>
  <c r="D74" i="1"/>
  <c r="D73" s="1"/>
  <c r="N72" i="4"/>
  <c r="N71" s="1"/>
  <c r="C73" i="1"/>
  <c r="N71"/>
  <c r="J71"/>
  <c r="D64" i="3"/>
  <c r="D63" s="1"/>
  <c r="F71"/>
  <c r="D72"/>
  <c r="D23" s="1"/>
  <c r="D42"/>
  <c r="D47"/>
  <c r="H86"/>
  <c r="K92"/>
  <c r="G55"/>
  <c r="N54" i="2"/>
  <c r="F493"/>
  <c r="F416"/>
  <c r="N467"/>
  <c r="G211"/>
  <c r="N157"/>
  <c r="E484"/>
  <c r="E86"/>
  <c r="G175"/>
  <c r="D508"/>
  <c r="D507" s="1"/>
  <c r="E16"/>
  <c r="B50" i="1" s="1"/>
  <c r="E496" i="2"/>
  <c r="E19"/>
  <c r="F346"/>
  <c r="E499"/>
  <c r="E498" s="1"/>
  <c r="E31"/>
  <c r="E26"/>
  <c r="E17"/>
  <c r="D587"/>
  <c r="N20" i="1"/>
  <c r="C130"/>
  <c r="C192" s="1"/>
  <c r="N30"/>
  <c r="J20"/>
  <c r="N27"/>
  <c r="H136"/>
  <c r="H198" s="1"/>
  <c r="J35"/>
  <c r="J136" s="1"/>
  <c r="J198" s="1"/>
  <c r="F143" i="6"/>
  <c r="F299"/>
  <c r="D140"/>
  <c r="E110" i="5"/>
  <c r="D105"/>
  <c r="D113"/>
  <c r="D111" s="1"/>
  <c r="D110" s="1"/>
  <c r="E145"/>
  <c r="E146" s="1"/>
  <c r="J67" i="1"/>
  <c r="H101"/>
  <c r="N99" i="3"/>
  <c r="N98" s="1"/>
  <c r="N87"/>
  <c r="N86" s="1"/>
  <c r="I105" i="6"/>
  <c r="F17" i="7"/>
  <c r="F10"/>
  <c r="H116"/>
  <c r="J116"/>
  <c r="F78"/>
  <c r="H78"/>
  <c r="H60"/>
  <c r="G122"/>
  <c r="I122"/>
  <c r="K122"/>
  <c r="D122"/>
  <c r="D46"/>
  <c r="D27"/>
  <c r="N55"/>
  <c r="N54" s="1"/>
  <c r="K48"/>
  <c r="F116"/>
  <c r="D117"/>
  <c r="D116" s="1"/>
  <c r="H10"/>
  <c r="J48"/>
  <c r="H459" i="2"/>
  <c r="F378"/>
  <c r="N453"/>
  <c r="F145"/>
  <c r="N92"/>
  <c r="J455"/>
  <c r="F38" i="1"/>
  <c r="F139" s="1"/>
  <c r="F201" s="1"/>
  <c r="D38"/>
  <c r="I268" i="6"/>
  <c r="F148"/>
  <c r="F23"/>
  <c r="D116"/>
  <c r="D115" s="1"/>
  <c r="G221"/>
  <c r="G220" s="1"/>
  <c r="D599" i="2"/>
  <c r="D598" s="1"/>
  <c r="D76" i="9"/>
  <c r="I250"/>
  <c r="G112"/>
  <c r="F112"/>
  <c r="H141" i="1"/>
  <c r="H203" s="1"/>
  <c r="D16" i="6"/>
  <c r="E255" i="9"/>
  <c r="E252" s="1"/>
  <c r="E251" s="1"/>
  <c r="N71"/>
  <c r="D47"/>
  <c r="D44" s="1"/>
  <c r="F248"/>
  <c r="D68"/>
  <c r="D67" s="1"/>
  <c r="D123"/>
  <c r="D118" s="1"/>
  <c r="D100"/>
  <c r="D97" s="1"/>
  <c r="F76"/>
  <c r="L131"/>
  <c r="J131"/>
  <c r="L250"/>
  <c r="J250"/>
  <c r="J257"/>
  <c r="J256" s="1"/>
  <c r="L257"/>
  <c r="L256" s="1"/>
  <c r="F149"/>
  <c r="F42"/>
  <c r="F38" s="1"/>
  <c r="N42"/>
  <c r="D134"/>
  <c r="D131" s="1"/>
  <c r="D65"/>
  <c r="D42"/>
  <c r="D38" s="1"/>
  <c r="D162"/>
  <c r="F62"/>
  <c r="G67"/>
  <c r="D261"/>
  <c r="D260" s="1"/>
  <c r="D249" s="1"/>
  <c r="D248" s="1"/>
  <c r="E249"/>
  <c r="N131"/>
  <c r="H118"/>
  <c r="F140"/>
  <c r="H71"/>
  <c r="G62"/>
  <c r="G42"/>
  <c r="N153"/>
  <c r="H158"/>
  <c r="N62"/>
  <c r="I71"/>
  <c r="G71"/>
  <c r="J149"/>
  <c r="I102"/>
  <c r="H149"/>
  <c r="L149"/>
  <c r="H102"/>
  <c r="G80"/>
  <c r="F67"/>
  <c r="H67"/>
  <c r="G149"/>
  <c r="I149"/>
  <c r="K149"/>
  <c r="D255"/>
  <c r="D252" s="1"/>
  <c r="D251" s="1"/>
  <c r="D153"/>
  <c r="G106"/>
  <c r="F131"/>
  <c r="F106"/>
  <c r="F167"/>
  <c r="H167"/>
  <c r="I162"/>
  <c r="G162"/>
  <c r="F153"/>
  <c r="G153"/>
  <c r="I167"/>
  <c r="G167"/>
  <c r="F162"/>
  <c r="H162"/>
  <c r="N162"/>
  <c r="F158"/>
  <c r="G158"/>
  <c r="H153"/>
  <c r="G513" i="2"/>
  <c r="D61" i="1" s="1"/>
  <c r="F466" i="2"/>
  <c r="G466"/>
  <c r="G289"/>
  <c r="F229"/>
  <c r="D202"/>
  <c r="D199" s="1"/>
  <c r="N556"/>
  <c r="N555" s="1"/>
  <c r="L502"/>
  <c r="L9" s="1"/>
  <c r="L8" s="1"/>
  <c r="G474"/>
  <c r="N513"/>
  <c r="N364"/>
  <c r="N363" s="1"/>
  <c r="F341"/>
  <c r="F13" s="1"/>
  <c r="N454"/>
  <c r="N313"/>
  <c r="G341"/>
  <c r="H513"/>
  <c r="E61" i="1" s="1"/>
  <c r="I513" i="2"/>
  <c r="F61" i="1" s="1"/>
  <c r="F513" i="2"/>
  <c r="C61" i="1" s="1"/>
  <c r="G346" i="2"/>
  <c r="H346"/>
  <c r="I451"/>
  <c r="H19" i="1"/>
  <c r="H124" s="1"/>
  <c r="H186" s="1"/>
  <c r="F19"/>
  <c r="F124" s="1"/>
  <c r="F186" s="1"/>
  <c r="G19"/>
  <c r="G124" s="1"/>
  <c r="G186" s="1"/>
  <c r="B74"/>
  <c r="B70"/>
  <c r="N70" s="1"/>
  <c r="D60" i="13"/>
  <c r="D57" s="1"/>
  <c r="D119" s="1"/>
  <c r="D121" s="1"/>
  <c r="D23"/>
  <c r="D19" s="1"/>
  <c r="D28"/>
  <c r="D27" s="1"/>
  <c r="G57"/>
  <c r="H53"/>
  <c r="G47"/>
  <c r="G46" s="1"/>
  <c r="I46"/>
  <c r="F98"/>
  <c r="I16"/>
  <c r="F52"/>
  <c r="N39"/>
  <c r="D39"/>
  <c r="D36" s="1"/>
  <c r="H47"/>
  <c r="H14" s="1"/>
  <c r="N37"/>
  <c r="P43"/>
  <c r="G213" i="6"/>
  <c r="D227"/>
  <c r="D226" s="1"/>
  <c r="J178"/>
  <c r="J148"/>
  <c r="J23"/>
  <c r="G209"/>
  <c r="G154"/>
  <c r="D211"/>
  <c r="D154" s="1"/>
  <c r="I296"/>
  <c r="I298" s="1"/>
  <c r="I209"/>
  <c r="I208" s="1"/>
  <c r="I205" s="1"/>
  <c r="G146"/>
  <c r="N146" s="1"/>
  <c r="G202"/>
  <c r="I144"/>
  <c r="I299" s="1"/>
  <c r="I202"/>
  <c r="I201" s="1"/>
  <c r="I197" s="1"/>
  <c r="D183"/>
  <c r="E240"/>
  <c r="E288"/>
  <c r="N244"/>
  <c r="F21"/>
  <c r="H23"/>
  <c r="D210"/>
  <c r="D176"/>
  <c r="D144" s="1"/>
  <c r="G297"/>
  <c r="G298" s="1"/>
  <c r="G152"/>
  <c r="G194"/>
  <c r="G193" s="1"/>
  <c r="I152"/>
  <c r="I194"/>
  <c r="I193" s="1"/>
  <c r="I192" s="1"/>
  <c r="D191"/>
  <c r="M191" s="1"/>
  <c r="N191"/>
  <c r="H190"/>
  <c r="H189" s="1"/>
  <c r="H186" s="1"/>
  <c r="G144"/>
  <c r="F139"/>
  <c r="F214"/>
  <c r="F213" s="1"/>
  <c r="H60"/>
  <c r="G60"/>
  <c r="I60"/>
  <c r="N27"/>
  <c r="F186"/>
  <c r="G186"/>
  <c r="F178"/>
  <c r="D179"/>
  <c r="D135"/>
  <c r="D134" s="1"/>
  <c r="D276" s="1"/>
  <c r="N198"/>
  <c r="F298"/>
  <c r="N226"/>
  <c r="D232"/>
  <c r="D231" s="1"/>
  <c r="D524" i="2"/>
  <c r="H466"/>
  <c r="I512"/>
  <c r="F521"/>
  <c r="F520" s="1"/>
  <c r="I521"/>
  <c r="I520" s="1"/>
  <c r="H80" i="1"/>
  <c r="H140" s="1"/>
  <c r="H202" s="1"/>
  <c r="K521" i="2"/>
  <c r="K520" s="1"/>
  <c r="K672" s="1"/>
  <c r="H516"/>
  <c r="B78" i="1"/>
  <c r="J78" s="1"/>
  <c r="H512" i="2"/>
  <c r="E60" i="1" s="1"/>
  <c r="N104" i="2"/>
  <c r="G521"/>
  <c r="G520" s="1"/>
  <c r="H521"/>
  <c r="H520" s="1"/>
  <c r="I80" i="1"/>
  <c r="I140" s="1"/>
  <c r="I202" s="1"/>
  <c r="L521" i="2"/>
  <c r="L520" s="1"/>
  <c r="L672" s="1"/>
  <c r="G80" i="1"/>
  <c r="G140" s="1"/>
  <c r="G202" s="1"/>
  <c r="J521" i="2"/>
  <c r="J520" s="1"/>
  <c r="J672" s="1"/>
  <c r="G516"/>
  <c r="F206"/>
  <c r="F205" s="1"/>
  <c r="F516"/>
  <c r="B142" i="1"/>
  <c r="B204" s="1"/>
  <c r="G398" i="2"/>
  <c r="I466"/>
  <c r="I474"/>
  <c r="H174" i="6"/>
  <c r="H170" s="1"/>
  <c r="I148"/>
  <c r="H139"/>
  <c r="I186"/>
  <c r="D182"/>
  <c r="G178"/>
  <c r="K170"/>
  <c r="I170"/>
  <c r="G170"/>
  <c r="J298"/>
  <c r="N61"/>
  <c r="N60" s="1"/>
  <c r="D60"/>
  <c r="D66"/>
  <c r="L143"/>
  <c r="L19" s="1"/>
  <c r="I31" i="1" s="1"/>
  <c r="K298" i="6"/>
  <c r="L186"/>
  <c r="J186"/>
  <c r="L178"/>
  <c r="J143"/>
  <c r="L139"/>
  <c r="H298"/>
  <c r="H143"/>
  <c r="H178"/>
  <c r="D149"/>
  <c r="E299"/>
  <c r="K139"/>
  <c r="H151"/>
  <c r="H25" s="1"/>
  <c r="H24" s="1"/>
  <c r="N187"/>
  <c r="D187"/>
  <c r="M187" s="1"/>
  <c r="K181"/>
  <c r="K178" s="1"/>
  <c r="K151"/>
  <c r="K25" s="1"/>
  <c r="H46" i="1" s="1"/>
  <c r="I181" i="6"/>
  <c r="I178" s="1"/>
  <c r="N170"/>
  <c r="L151"/>
  <c r="L25" s="1"/>
  <c r="I46" i="1" s="1"/>
  <c r="F151" i="6"/>
  <c r="F25" s="1"/>
  <c r="L170"/>
  <c r="J170"/>
  <c r="H140" i="9"/>
  <c r="N140"/>
  <c r="D141"/>
  <c r="D140" s="1"/>
  <c r="G140"/>
  <c r="F95" i="6"/>
  <c r="D90" i="3"/>
  <c r="P90" s="1"/>
  <c r="F46"/>
  <c r="G104"/>
  <c r="G284" s="1"/>
  <c r="H62"/>
  <c r="H68"/>
  <c r="H38"/>
  <c r="N63"/>
  <c r="N62" s="1"/>
  <c r="F63"/>
  <c r="G41"/>
  <c r="I41"/>
  <c r="G51"/>
  <c r="F80"/>
  <c r="F284" s="1"/>
  <c r="F58"/>
  <c r="D74"/>
  <c r="D83"/>
  <c r="D80" s="1"/>
  <c r="J38"/>
  <c r="J283" s="1"/>
  <c r="F27"/>
  <c r="M27" s="1"/>
  <c r="F74"/>
  <c r="G27" i="6"/>
  <c r="K27"/>
  <c r="G192"/>
  <c r="J151"/>
  <c r="J25" s="1"/>
  <c r="G46" i="1" s="1"/>
  <c r="N74" i="3"/>
  <c r="N106" i="9"/>
  <c r="D110"/>
  <c r="N129" i="2"/>
  <c r="N83" i="6"/>
  <c r="F77"/>
  <c r="J27"/>
  <c r="D250"/>
  <c r="D249" s="1"/>
  <c r="D240" s="1"/>
  <c r="F243"/>
  <c r="F27"/>
  <c r="H27"/>
  <c r="I288"/>
  <c r="I124"/>
  <c r="K124"/>
  <c r="K288"/>
  <c r="H288"/>
  <c r="H124"/>
  <c r="J124"/>
  <c r="J288"/>
  <c r="L124"/>
  <c r="L288"/>
  <c r="H238"/>
  <c r="H98" i="3"/>
  <c r="H9" s="1"/>
  <c r="J98"/>
  <c r="J9" s="1"/>
  <c r="H46"/>
  <c r="K98"/>
  <c r="K9" s="1"/>
  <c r="G62"/>
  <c r="D105"/>
  <c r="G33"/>
  <c r="G16" s="1"/>
  <c r="G15" s="1"/>
  <c r="I33"/>
  <c r="I16" s="1"/>
  <c r="I15" s="1"/>
  <c r="K104"/>
  <c r="K284" s="1"/>
  <c r="H33"/>
  <c r="H16" s="1"/>
  <c r="H15" s="1"/>
  <c r="D87"/>
  <c r="D102"/>
  <c r="F32"/>
  <c r="D99"/>
  <c r="D107"/>
  <c r="G98"/>
  <c r="G9" s="1"/>
  <c r="I98"/>
  <c r="I9" s="1"/>
  <c r="F165" i="1"/>
  <c r="I125"/>
  <c r="I191" s="1"/>
  <c r="L287" i="6"/>
  <c r="L105"/>
  <c r="L95"/>
  <c r="F105"/>
  <c r="I45" i="1"/>
  <c r="I145" s="1"/>
  <c r="I207" s="1"/>
  <c r="H45"/>
  <c r="H145" s="1"/>
  <c r="H207" s="1"/>
  <c r="F45"/>
  <c r="F145" s="1"/>
  <c r="F207" s="1"/>
  <c r="B141"/>
  <c r="B203" s="1"/>
  <c r="B130"/>
  <c r="B192" s="1"/>
  <c r="C125"/>
  <c r="C191" s="1"/>
  <c r="J165"/>
  <c r="D64" i="2"/>
  <c r="E64"/>
  <c r="E62"/>
  <c r="J458"/>
  <c r="L462"/>
  <c r="K502"/>
  <c r="K9" s="1"/>
  <c r="K8" s="1"/>
  <c r="N327"/>
  <c r="D381"/>
  <c r="D378" s="1"/>
  <c r="N384"/>
  <c r="N193"/>
  <c r="D352"/>
  <c r="D310"/>
  <c r="D307" s="1"/>
  <c r="D464"/>
  <c r="D33" s="1"/>
  <c r="E464"/>
  <c r="E33" s="1"/>
  <c r="H33"/>
  <c r="E43" i="1" s="1"/>
  <c r="E146" s="1"/>
  <c r="E208" s="1"/>
  <c r="H462" i="2"/>
  <c r="H458" s="1"/>
  <c r="I33"/>
  <c r="F43" i="1" s="1"/>
  <c r="F146" s="1"/>
  <c r="F208" s="1"/>
  <c r="I462" i="2"/>
  <c r="I458" s="1"/>
  <c r="N502"/>
  <c r="L19"/>
  <c r="I29" i="1" s="1"/>
  <c r="I128" s="1"/>
  <c r="I189" s="1"/>
  <c r="L496" i="2"/>
  <c r="J19"/>
  <c r="J496"/>
  <c r="J493" s="1"/>
  <c r="D556"/>
  <c r="D555" s="1"/>
  <c r="H407"/>
  <c r="F181"/>
  <c r="G181"/>
  <c r="D479"/>
  <c r="D474" s="1"/>
  <c r="H451"/>
  <c r="I455"/>
  <c r="F368"/>
  <c r="L148" i="1"/>
  <c r="K30" i="2"/>
  <c r="K29" s="1"/>
  <c r="K27"/>
  <c r="H39" i="1" s="1"/>
  <c r="K19" i="2"/>
  <c r="H29" i="1" s="1"/>
  <c r="H128" s="1"/>
  <c r="H189" s="1"/>
  <c r="K496" i="2"/>
  <c r="K493" s="1"/>
  <c r="L494"/>
  <c r="K26"/>
  <c r="K459"/>
  <c r="L24"/>
  <c r="I34" i="1" s="1"/>
  <c r="L459" i="2"/>
  <c r="L14"/>
  <c r="I19" i="1" s="1"/>
  <c r="L451" i="2"/>
  <c r="D334"/>
  <c r="D333" s="1"/>
  <c r="D403"/>
  <c r="I407"/>
  <c r="G411"/>
  <c r="F411"/>
  <c r="H411"/>
  <c r="G416"/>
  <c r="F169"/>
  <c r="D170"/>
  <c r="D72"/>
  <c r="J451"/>
  <c r="J450" s="1"/>
  <c r="F313"/>
  <c r="F193"/>
  <c r="N586"/>
  <c r="N585" s="1"/>
  <c r="J502"/>
  <c r="N484"/>
  <c r="F363"/>
  <c r="F372"/>
  <c r="G235"/>
  <c r="D161"/>
  <c r="F157"/>
  <c r="F199"/>
  <c r="N181"/>
  <c r="N393"/>
  <c r="D211"/>
  <c r="F211"/>
  <c r="F217"/>
  <c r="F223"/>
  <c r="G241"/>
  <c r="F235"/>
  <c r="D154"/>
  <c r="E503"/>
  <c r="E502" s="1"/>
  <c r="E495"/>
  <c r="D166"/>
  <c r="D163" s="1"/>
  <c r="D178"/>
  <c r="F121"/>
  <c r="D390"/>
  <c r="D389" s="1"/>
  <c r="N590"/>
  <c r="N589" s="1"/>
  <c r="H320"/>
  <c r="D182"/>
  <c r="D181" s="1"/>
  <c r="D235"/>
  <c r="E58"/>
  <c r="D69"/>
  <c r="E69"/>
  <c r="D99"/>
  <c r="E99"/>
  <c r="D122"/>
  <c r="D149"/>
  <c r="D146"/>
  <c r="F151"/>
  <c r="F137"/>
  <c r="F295"/>
  <c r="D571"/>
  <c r="D570" s="1"/>
  <c r="G493"/>
  <c r="N146"/>
  <c r="N145" s="1"/>
  <c r="F384"/>
  <c r="F393"/>
  <c r="F398"/>
  <c r="F402"/>
  <c r="F187"/>
  <c r="G223"/>
  <c r="G229"/>
  <c r="P502"/>
  <c r="D125"/>
  <c r="D463"/>
  <c r="D462" s="1"/>
  <c r="D107"/>
  <c r="D86"/>
  <c r="D30"/>
  <c r="I28" i="1"/>
  <c r="I131" s="1"/>
  <c r="I193" s="1"/>
  <c r="F512" i="2"/>
  <c r="C60" i="1" s="1"/>
  <c r="H493" i="2"/>
  <c r="D399"/>
  <c r="D398" s="1"/>
  <c r="D190"/>
  <c r="D187" s="1"/>
  <c r="D197"/>
  <c r="D193" s="1"/>
  <c r="D295"/>
  <c r="G512"/>
  <c r="D60" i="1" s="1"/>
  <c r="F289" i="2"/>
  <c r="D115"/>
  <c r="M41"/>
  <c r="N217"/>
  <c r="D223"/>
  <c r="D230"/>
  <c r="D229" s="1"/>
  <c r="N241"/>
  <c r="N205"/>
  <c r="G205"/>
  <c r="G217"/>
  <c r="D242"/>
  <c r="D241" s="1"/>
  <c r="F307"/>
  <c r="F126" i="1"/>
  <c r="F187" s="1"/>
  <c r="B40"/>
  <c r="D487" i="2"/>
  <c r="D484" s="1"/>
  <c r="D456"/>
  <c r="D20" s="1"/>
  <c r="G23"/>
  <c r="D146" i="1"/>
  <c r="D208" s="1"/>
  <c r="D96" i="2"/>
  <c r="C28" i="1"/>
  <c r="N21" i="2"/>
  <c r="D290"/>
  <c r="D289" s="1"/>
  <c r="D366"/>
  <c r="D369"/>
  <c r="D368" s="1"/>
  <c r="D627"/>
  <c r="D626" s="1"/>
  <c r="I493"/>
  <c r="E457"/>
  <c r="M457" s="1"/>
  <c r="D105"/>
  <c r="D528"/>
  <c r="D527" s="1"/>
  <c r="D417"/>
  <c r="D416" s="1"/>
  <c r="H26"/>
  <c r="H23" s="1"/>
  <c r="D387"/>
  <c r="D405"/>
  <c r="D158"/>
  <c r="F80" i="1"/>
  <c r="F140" s="1"/>
  <c r="F202" s="1"/>
  <c r="D247" i="2"/>
  <c r="E80" i="1"/>
  <c r="E140" s="1"/>
  <c r="E202" s="1"/>
  <c r="D206" i="2"/>
  <c r="D205" s="1"/>
  <c r="H594"/>
  <c r="H593" s="1"/>
  <c r="H669" s="1"/>
  <c r="H313"/>
  <c r="D302"/>
  <c r="N229"/>
  <c r="F241"/>
  <c r="I19"/>
  <c r="D217"/>
  <c r="G247"/>
  <c r="I12"/>
  <c r="H19"/>
  <c r="H18" s="1"/>
  <c r="G45" i="1"/>
  <c r="G145" s="1"/>
  <c r="G207" s="1"/>
  <c r="F138"/>
  <c r="F200" s="1"/>
  <c r="C138"/>
  <c r="C200" s="1"/>
  <c r="I23" i="2"/>
  <c r="K451"/>
  <c r="K450" s="1"/>
  <c r="H16"/>
  <c r="D305"/>
  <c r="F301"/>
  <c r="L16"/>
  <c r="J16"/>
  <c r="J26"/>
  <c r="F26"/>
  <c r="N301"/>
  <c r="I320"/>
  <c r="D314"/>
  <c r="D313" s="1"/>
  <c r="F16"/>
  <c r="D321"/>
  <c r="D320" s="1"/>
  <c r="I313"/>
  <c r="I10" s="1"/>
  <c r="H138" i="1"/>
  <c r="H200" s="1"/>
  <c r="G138"/>
  <c r="G200" s="1"/>
  <c r="H126"/>
  <c r="H187" s="1"/>
  <c r="D90" i="4"/>
  <c r="D89" s="1"/>
  <c r="N55"/>
  <c r="N54" s="1"/>
  <c r="F51" i="3"/>
  <c r="N118" i="9"/>
  <c r="G118"/>
  <c r="F118"/>
  <c r="H131"/>
  <c r="G131"/>
  <c r="L127"/>
  <c r="K127"/>
  <c r="J127"/>
  <c r="I127"/>
  <c r="H127"/>
  <c r="G127"/>
  <c r="F127"/>
  <c r="I136"/>
  <c r="I279" s="1"/>
  <c r="H136"/>
  <c r="G136"/>
  <c r="F136"/>
  <c r="L136"/>
  <c r="K136"/>
  <c r="J136"/>
  <c r="K80"/>
  <c r="G102"/>
  <c r="H80"/>
  <c r="K95" i="6"/>
  <c r="F287"/>
  <c r="K21"/>
  <c r="I21"/>
  <c r="G21"/>
  <c r="D91"/>
  <c r="D88" s="1"/>
  <c r="G88"/>
  <c r="P88" s="1"/>
  <c r="F137" i="1"/>
  <c r="B34"/>
  <c r="G421" i="2"/>
  <c r="J340"/>
  <c r="J339" s="1"/>
  <c r="F421"/>
  <c r="E137" i="1"/>
  <c r="F98" i="3"/>
  <c r="H18" i="13" l="1"/>
  <c r="H16" s="1"/>
  <c r="G52"/>
  <c r="G18"/>
  <c r="D122"/>
  <c r="E19" i="1"/>
  <c r="H12" i="13"/>
  <c r="K13" i="6"/>
  <c r="I287"/>
  <c r="D152"/>
  <c r="C22" i="1"/>
  <c r="I672" i="2"/>
  <c r="N239" i="6"/>
  <c r="N238" s="1"/>
  <c r="E18" i="1"/>
  <c r="G18"/>
  <c r="H143"/>
  <c r="H205" s="1"/>
  <c r="E46"/>
  <c r="E147" s="1"/>
  <c r="E209" s="1"/>
  <c r="N17" i="2"/>
  <c r="L278" i="9"/>
  <c r="I38" i="1"/>
  <c r="I139" s="1"/>
  <c r="I201" s="1"/>
  <c r="G143" i="5"/>
  <c r="G145" s="1"/>
  <c r="G146" s="1"/>
  <c r="D458" i="2"/>
  <c r="F60" i="1"/>
  <c r="F59" s="1"/>
  <c r="M249" i="9"/>
  <c r="F119" i="13"/>
  <c r="F121" s="1"/>
  <c r="I9" i="9"/>
  <c r="L248"/>
  <c r="N249"/>
  <c r="H421" i="2"/>
  <c r="D175"/>
  <c r="K105" i="6"/>
  <c r="D71" i="3"/>
  <c r="D68" s="1"/>
  <c r="H119" i="13"/>
  <c r="H121" s="1"/>
  <c r="H122" s="1"/>
  <c r="H102" s="1"/>
  <c r="H101" s="1"/>
  <c r="M422" i="2"/>
  <c r="M421" s="1"/>
  <c r="F110" i="5"/>
  <c r="F8" i="9"/>
  <c r="K458" i="2"/>
  <c r="G458"/>
  <c r="D279" i="9"/>
  <c r="D280" s="1"/>
  <c r="F279"/>
  <c r="G279"/>
  <c r="L279"/>
  <c r="J279"/>
  <c r="L9"/>
  <c r="L7" s="1"/>
  <c r="D9" i="7"/>
  <c r="D7" s="1"/>
  <c r="D13"/>
  <c r="D11" s="1"/>
  <c r="H279" i="9"/>
  <c r="N43" i="7"/>
  <c r="N42" s="1"/>
  <c r="N9"/>
  <c r="N7" s="1"/>
  <c r="K279" i="9"/>
  <c r="J9"/>
  <c r="J7" s="1"/>
  <c r="H9"/>
  <c r="L102" i="13"/>
  <c r="L101" s="1"/>
  <c r="I65" i="1"/>
  <c r="I122" s="1"/>
  <c r="I184" s="1"/>
  <c r="E248" i="9"/>
  <c r="B60" i="1"/>
  <c r="F143" i="5"/>
  <c r="F145" s="1"/>
  <c r="F146" s="1"/>
  <c r="M89"/>
  <c r="N90"/>
  <c r="M90"/>
  <c r="M88" s="1"/>
  <c r="D104"/>
  <c r="D103" s="1"/>
  <c r="N89"/>
  <c r="H103"/>
  <c r="F103"/>
  <c r="G103"/>
  <c r="I103"/>
  <c r="H511" i="2"/>
  <c r="D32"/>
  <c r="J8" i="3"/>
  <c r="J81" i="1"/>
  <c r="J141" s="1"/>
  <c r="J203" s="1"/>
  <c r="H283" i="3"/>
  <c r="P55"/>
  <c r="J290" i="6"/>
  <c r="J301" s="1"/>
  <c r="K8" i="3"/>
  <c r="L8"/>
  <c r="K283"/>
  <c r="L283"/>
  <c r="F12"/>
  <c r="F11" s="1"/>
  <c r="P71"/>
  <c r="N13" i="5"/>
  <c r="G10" i="2"/>
  <c r="F10"/>
  <c r="I119" i="6"/>
  <c r="I11" s="1"/>
  <c r="F14" i="1" s="1"/>
  <c r="G278" i="9"/>
  <c r="K278"/>
  <c r="H10" i="2"/>
  <c r="I450"/>
  <c r="G124" i="6"/>
  <c r="I52" i="13"/>
  <c r="H268" i="6"/>
  <c r="D422" i="2"/>
  <c r="D421" s="1"/>
  <c r="G16" i="13"/>
  <c r="L23" i="1"/>
  <c r="N422" i="2"/>
  <c r="N421" s="1"/>
  <c r="F290" i="6"/>
  <c r="F301" s="1"/>
  <c r="J268"/>
  <c r="G10" i="3"/>
  <c r="J72" i="1"/>
  <c r="J125" s="1"/>
  <c r="M125" s="1"/>
  <c r="P25" i="5"/>
  <c r="G11"/>
  <c r="G10" s="1"/>
  <c r="J11"/>
  <c r="F11"/>
  <c r="F10" s="1"/>
  <c r="I11"/>
  <c r="I10" s="1"/>
  <c r="L11"/>
  <c r="K11"/>
  <c r="K10" s="1"/>
  <c r="H11"/>
  <c r="H10" s="1"/>
  <c r="N9" i="8"/>
  <c r="K146"/>
  <c r="K147" s="1"/>
  <c r="D54"/>
  <c r="F68" i="3"/>
  <c r="G268" i="6"/>
  <c r="P220"/>
  <c r="K290"/>
  <c r="K301" s="1"/>
  <c r="G287"/>
  <c r="D189"/>
  <c r="M189" s="1"/>
  <c r="M186" s="1"/>
  <c r="J278" i="9"/>
  <c r="D432" i="2"/>
  <c r="D59" i="1"/>
  <c r="C59"/>
  <c r="D151" i="2"/>
  <c r="G288" i="6"/>
  <c r="D175"/>
  <c r="I119" i="13"/>
  <c r="I121" s="1"/>
  <c r="I122" s="1"/>
  <c r="I102" s="1"/>
  <c r="I101" s="1"/>
  <c r="K248" i="9"/>
  <c r="D275" i="6"/>
  <c r="D277" s="1"/>
  <c r="D431" i="2"/>
  <c r="D662" s="1"/>
  <c r="N12" i="3"/>
  <c r="N11" s="1"/>
  <c r="H10"/>
  <c r="D41"/>
  <c r="D38" s="1"/>
  <c r="D22"/>
  <c r="I10"/>
  <c r="F10"/>
  <c r="G290" i="6"/>
  <c r="G301" s="1"/>
  <c r="N9" i="3"/>
  <c r="F9"/>
  <c r="I98" i="1"/>
  <c r="I92" s="1"/>
  <c r="D98" i="3"/>
  <c r="D9" s="1"/>
  <c r="H290" i="6"/>
  <c r="H301" s="1"/>
  <c r="L290"/>
  <c r="L301" s="1"/>
  <c r="I290"/>
  <c r="I301" s="1"/>
  <c r="D86" i="3"/>
  <c r="H10" i="8"/>
  <c r="N10" s="1"/>
  <c r="M144" i="6"/>
  <c r="M105" i="8"/>
  <c r="N341" i="2"/>
  <c r="N340" s="1"/>
  <c r="G13"/>
  <c r="N23" i="1"/>
  <c r="G76"/>
  <c r="G75" s="1"/>
  <c r="G86" s="1"/>
  <c r="J23"/>
  <c r="D8" i="9"/>
  <c r="H8"/>
  <c r="G450" i="2"/>
  <c r="E51" i="1"/>
  <c r="N455" i="2"/>
  <c r="D157"/>
  <c r="F458"/>
  <c r="L450"/>
  <c r="N466"/>
  <c r="M15"/>
  <c r="H450"/>
  <c r="N493"/>
  <c r="I18"/>
  <c r="I11" s="1"/>
  <c r="F146" i="8"/>
  <c r="G32" i="3"/>
  <c r="J19" i="6"/>
  <c r="D106"/>
  <c r="K19"/>
  <c r="H19"/>
  <c r="E31" i="1" s="1"/>
  <c r="H287" i="6"/>
  <c r="H105"/>
  <c r="F94"/>
  <c r="N252" i="9"/>
  <c r="N251" s="1"/>
  <c r="P49" i="8"/>
  <c r="F672" i="2"/>
  <c r="M252" i="9"/>
  <c r="M251" s="1"/>
  <c r="N213" i="6"/>
  <c r="M11" i="8"/>
  <c r="D221" i="6"/>
  <c r="D220" s="1"/>
  <c r="H32" i="3"/>
  <c r="H146" i="8"/>
  <c r="H147" s="1"/>
  <c r="J10" i="5"/>
  <c r="H68" i="1"/>
  <c r="H64" s="1"/>
  <c r="H63" s="1"/>
  <c r="H85" s="1"/>
  <c r="M13" i="7"/>
  <c r="M11" s="1"/>
  <c r="M10" s="1"/>
  <c r="F278" i="9"/>
  <c r="F280" s="1"/>
  <c r="H278"/>
  <c r="I278"/>
  <c r="I280" s="1"/>
  <c r="I281" s="1"/>
  <c r="N250"/>
  <c r="D43" i="7"/>
  <c r="D42" s="1"/>
  <c r="D185"/>
  <c r="G8" i="8"/>
  <c r="L10" i="5"/>
  <c r="M104"/>
  <c r="M103" s="1"/>
  <c r="M125" i="6"/>
  <c r="M124" s="1"/>
  <c r="M119" s="1"/>
  <c r="M118" s="1"/>
  <c r="H45" i="3"/>
  <c r="I94" i="6"/>
  <c r="D102"/>
  <c r="D202"/>
  <c r="N189"/>
  <c r="N186" s="1"/>
  <c r="K119"/>
  <c r="F288"/>
  <c r="J95"/>
  <c r="J94" s="1"/>
  <c r="I151"/>
  <c r="I25" s="1"/>
  <c r="F46" i="1" s="1"/>
  <c r="D190" i="6"/>
  <c r="M190" s="1"/>
  <c r="D22" i="1"/>
  <c r="D127" s="1"/>
  <c r="D188" s="1"/>
  <c r="J287" i="6"/>
  <c r="M106"/>
  <c r="M105" s="1"/>
  <c r="M202"/>
  <c r="G14"/>
  <c r="G13" s="1"/>
  <c r="M96"/>
  <c r="M95" s="1"/>
  <c r="L24" i="1"/>
  <c r="L129" s="1"/>
  <c r="G21"/>
  <c r="L21" s="1"/>
  <c r="L126" s="1"/>
  <c r="M516" i="2"/>
  <c r="M515" s="1"/>
  <c r="M514" s="1"/>
  <c r="G672"/>
  <c r="M45" i="3"/>
  <c r="N45"/>
  <c r="D46"/>
  <c r="M243" i="6"/>
  <c r="M242" s="1"/>
  <c r="M241" s="1"/>
  <c r="M16" i="3"/>
  <c r="M15" s="1"/>
  <c r="M33"/>
  <c r="M32" s="1"/>
  <c r="N53" i="13"/>
  <c r="N52" s="1"/>
  <c r="N47"/>
  <c r="N46" s="1"/>
  <c r="G45" i="3"/>
  <c r="F197" i="6"/>
  <c r="F142"/>
  <c r="G95"/>
  <c r="D96"/>
  <c r="E102" i="1"/>
  <c r="E101" s="1"/>
  <c r="H671" i="2"/>
  <c r="H672" s="1"/>
  <c r="D139" i="6"/>
  <c r="F11" i="8"/>
  <c r="D51"/>
  <c r="D31"/>
  <c r="P31" s="1"/>
  <c r="D41"/>
  <c r="D38"/>
  <c r="F21"/>
  <c r="F31" i="2"/>
  <c r="C45" i="1" s="1"/>
  <c r="C145" s="1"/>
  <c r="C207" s="1"/>
  <c r="M427" i="2"/>
  <c r="M426" s="1"/>
  <c r="M420" s="1"/>
  <c r="K11" i="7"/>
  <c r="K10" s="1"/>
  <c r="N13"/>
  <c r="N11" s="1"/>
  <c r="N10" s="1"/>
  <c r="M43"/>
  <c r="M42" s="1"/>
  <c r="B19" i="1"/>
  <c r="B124" s="1"/>
  <c r="B186" s="1"/>
  <c r="N14" i="2"/>
  <c r="I59" i="1"/>
  <c r="I76"/>
  <c r="I75" s="1"/>
  <c r="I86" s="1"/>
  <c r="I100" s="1"/>
  <c r="D33"/>
  <c r="F515" i="2"/>
  <c r="F514" s="1"/>
  <c r="D15" i="6"/>
  <c r="P17" s="1"/>
  <c r="I7" i="9"/>
  <c r="H76" i="1"/>
  <c r="H75" s="1"/>
  <c r="H86" s="1"/>
  <c r="H100" s="1"/>
  <c r="B125"/>
  <c r="B191" s="1"/>
  <c r="K66"/>
  <c r="K125"/>
  <c r="L125"/>
  <c r="K61"/>
  <c r="D45" i="8"/>
  <c r="L8"/>
  <c r="D48"/>
  <c r="F238" i="6"/>
  <c r="M239"/>
  <c r="M238" s="1"/>
  <c r="M13" i="5"/>
  <c r="F14" i="13"/>
  <c r="F12" s="1"/>
  <c r="M47"/>
  <c r="M46" s="1"/>
  <c r="M53"/>
  <c r="M52" s="1"/>
  <c r="I248" i="9"/>
  <c r="M250"/>
  <c r="M10"/>
  <c r="M45" i="8"/>
  <c r="F33"/>
  <c r="M48"/>
  <c r="D36"/>
  <c r="M44" i="1"/>
  <c r="G59"/>
  <c r="I147" i="8"/>
  <c r="M36"/>
  <c r="M33" s="1"/>
  <c r="M16" i="6"/>
  <c r="P16" s="1"/>
  <c r="M297"/>
  <c r="F19"/>
  <c r="M146"/>
  <c r="M26" i="3"/>
  <c r="L493" i="2"/>
  <c r="M341"/>
  <c r="M340" s="1"/>
  <c r="E494"/>
  <c r="E493" s="1"/>
  <c r="M495"/>
  <c r="M494" s="1"/>
  <c r="M493" s="1"/>
  <c r="M16"/>
  <c r="M455"/>
  <c r="M36"/>
  <c r="M35" s="1"/>
  <c r="C24" i="1"/>
  <c r="C129" s="1"/>
  <c r="C190" s="1"/>
  <c r="M17" i="2"/>
  <c r="N20"/>
  <c r="N15"/>
  <c r="G18"/>
  <c r="N19"/>
  <c r="K18"/>
  <c r="L23"/>
  <c r="L22" s="1"/>
  <c r="D301"/>
  <c r="L458"/>
  <c r="N344"/>
  <c r="N343" s="1"/>
  <c r="G515"/>
  <c r="G514" s="1"/>
  <c r="N516"/>
  <c r="N515" s="1"/>
  <c r="N514" s="1"/>
  <c r="G201" i="6"/>
  <c r="G197" s="1"/>
  <c r="N202"/>
  <c r="N106"/>
  <c r="N105" s="1"/>
  <c r="N96"/>
  <c r="N95" s="1"/>
  <c r="G299"/>
  <c r="N144"/>
  <c r="I14"/>
  <c r="F18" i="1" s="1"/>
  <c r="J120" i="6"/>
  <c r="J119" s="1"/>
  <c r="J17"/>
  <c r="G25" i="1" s="1"/>
  <c r="L120" i="6"/>
  <c r="L119" s="1"/>
  <c r="L17"/>
  <c r="I25" i="1" s="1"/>
  <c r="H120" i="6"/>
  <c r="H119" s="1"/>
  <c r="H17"/>
  <c r="E25" i="1" s="1"/>
  <c r="G105" i="6"/>
  <c r="N51" i="4"/>
  <c r="D51" i="3"/>
  <c r="N16"/>
  <c r="N15" s="1"/>
  <c r="N33"/>
  <c r="N32" s="1"/>
  <c r="N512" i="2"/>
  <c r="N511" s="1"/>
  <c r="L61" i="1"/>
  <c r="H59"/>
  <c r="N124" i="6"/>
  <c r="N119" s="1"/>
  <c r="O27" i="1"/>
  <c r="L147" i="8"/>
  <c r="O30" i="1"/>
  <c r="G147" i="8"/>
  <c r="F16" i="13"/>
  <c r="G14"/>
  <c r="G12" s="1"/>
  <c r="D47"/>
  <c r="D14" s="1"/>
  <c r="D12" s="1"/>
  <c r="D53"/>
  <c r="D18" s="1"/>
  <c r="P30" i="8"/>
  <c r="P24"/>
  <c r="D34"/>
  <c r="D33" s="1"/>
  <c r="D10" s="1"/>
  <c r="N45"/>
  <c r="N44" s="1"/>
  <c r="D22"/>
  <c r="N36"/>
  <c r="N33" s="1"/>
  <c r="J66" i="1"/>
  <c r="N66"/>
  <c r="D12" i="8"/>
  <c r="F120" i="6"/>
  <c r="F119" s="1"/>
  <c r="D121"/>
  <c r="F220"/>
  <c r="F268" s="1"/>
  <c r="J34" i="1"/>
  <c r="D125" i="6"/>
  <c r="D124" s="1"/>
  <c r="D280" s="1"/>
  <c r="O71" i="1"/>
  <c r="G101"/>
  <c r="J74"/>
  <c r="N74"/>
  <c r="I32" i="3"/>
  <c r="D33"/>
  <c r="D16" s="1"/>
  <c r="D15" s="1"/>
  <c r="E29" i="1"/>
  <c r="E128" s="1"/>
  <c r="F26" i="3"/>
  <c r="D27"/>
  <c r="D12" s="1"/>
  <c r="D11" s="1"/>
  <c r="F62"/>
  <c r="M344" i="2"/>
  <c r="M343" s="1"/>
  <c r="D427"/>
  <c r="D344" s="1"/>
  <c r="D343" s="1"/>
  <c r="E21"/>
  <c r="B144" i="1"/>
  <c r="B206" s="1"/>
  <c r="J40"/>
  <c r="J144" s="1"/>
  <c r="J206" s="1"/>
  <c r="E30" i="2"/>
  <c r="E29" s="1"/>
  <c r="E18"/>
  <c r="N67" i="1"/>
  <c r="O67" s="1"/>
  <c r="E27" i="2"/>
  <c r="B39" i="1" s="1"/>
  <c r="J39" s="1"/>
  <c r="J70"/>
  <c r="O70" s="1"/>
  <c r="D174" i="6"/>
  <c r="D104" i="3"/>
  <c r="D284" s="1"/>
  <c r="D145" i="2"/>
  <c r="B83" i="1"/>
  <c r="J83" s="1"/>
  <c r="D30" i="7"/>
  <c r="D29" s="1"/>
  <c r="D15"/>
  <c r="D21"/>
  <c r="D17" s="1"/>
  <c r="D51"/>
  <c r="D48" s="1"/>
  <c r="D25"/>
  <c r="D24" s="1"/>
  <c r="N36" i="2"/>
  <c r="K12"/>
  <c r="I8"/>
  <c r="D26"/>
  <c r="D402"/>
  <c r="D25"/>
  <c r="I29"/>
  <c r="I22" s="1"/>
  <c r="I663" s="1"/>
  <c r="L18"/>
  <c r="E72"/>
  <c r="E68" s="1"/>
  <c r="D119"/>
  <c r="D114" s="1"/>
  <c r="E61"/>
  <c r="D62"/>
  <c r="D61" s="1"/>
  <c r="N451"/>
  <c r="H38" i="1"/>
  <c r="H139" s="1"/>
  <c r="H201" s="1"/>
  <c r="B22"/>
  <c r="C38"/>
  <c r="C33" s="1"/>
  <c r="P37" i="6"/>
  <c r="D36"/>
  <c r="D35" s="1"/>
  <c r="H150"/>
  <c r="D193"/>
  <c r="D192" s="1"/>
  <c r="D214"/>
  <c r="D213" s="1"/>
  <c r="G143"/>
  <c r="G19" s="1"/>
  <c r="D31" i="1" s="1"/>
  <c r="H21" i="6"/>
  <c r="H20" s="1"/>
  <c r="E38" i="1"/>
  <c r="J21" i="6"/>
  <c r="G38" i="1"/>
  <c r="G139" s="1"/>
  <c r="G201" s="1"/>
  <c r="H22"/>
  <c r="H127" s="1"/>
  <c r="H188" s="1"/>
  <c r="G511" i="2"/>
  <c r="D548"/>
  <c r="D547" s="1"/>
  <c r="G22" i="1"/>
  <c r="G127" s="1"/>
  <c r="G188" s="1"/>
  <c r="I22"/>
  <c r="I127" s="1"/>
  <c r="I188" s="1"/>
  <c r="E22"/>
  <c r="E127" s="1"/>
  <c r="E188" s="1"/>
  <c r="D15" i="9"/>
  <c r="D10" s="1"/>
  <c r="D72"/>
  <c r="D71" s="1"/>
  <c r="D209" i="6"/>
  <c r="L94"/>
  <c r="N248" i="9"/>
  <c r="D63"/>
  <c r="D62" s="1"/>
  <c r="J248"/>
  <c r="G38"/>
  <c r="G9" s="1"/>
  <c r="N38"/>
  <c r="F71"/>
  <c r="F9" s="1"/>
  <c r="E281"/>
  <c r="E258" s="1"/>
  <c r="D22"/>
  <c r="D18" s="1"/>
  <c r="G97"/>
  <c r="G8" s="1"/>
  <c r="N15"/>
  <c r="N10" s="1"/>
  <c r="E75" i="2"/>
  <c r="E74" s="1"/>
  <c r="E9"/>
  <c r="M36" i="1"/>
  <c r="H31" i="2"/>
  <c r="G31"/>
  <c r="J9"/>
  <c r="J8" s="1"/>
  <c r="O20" i="1"/>
  <c r="E76"/>
  <c r="E75" s="1"/>
  <c r="E86" s="1"/>
  <c r="K23" i="2"/>
  <c r="K22" s="1"/>
  <c r="K663" s="1"/>
  <c r="F76" i="1"/>
  <c r="F75" s="1"/>
  <c r="F86" s="1"/>
  <c r="F100" s="1"/>
  <c r="I511" i="2"/>
  <c r="H52" i="13"/>
  <c r="N190" i="6"/>
  <c r="I143"/>
  <c r="I19" s="1"/>
  <c r="F31" i="1" s="1"/>
  <c r="D299" i="6"/>
  <c r="B73" i="1"/>
  <c r="N73" s="1"/>
  <c r="G119" i="13"/>
  <c r="G121" s="1"/>
  <c r="G122" s="1"/>
  <c r="D65" i="1" s="1"/>
  <c r="N36" i="13"/>
  <c r="H46"/>
  <c r="G45"/>
  <c r="F45"/>
  <c r="I11"/>
  <c r="I45"/>
  <c r="I137" i="1"/>
  <c r="I199" s="1"/>
  <c r="D86" i="6"/>
  <c r="D83" s="1"/>
  <c r="D73"/>
  <c r="D72" s="1"/>
  <c r="E238"/>
  <c r="N297"/>
  <c r="D194"/>
  <c r="D296"/>
  <c r="M296" s="1"/>
  <c r="G208"/>
  <c r="G151"/>
  <c r="C101" i="1"/>
  <c r="D408" i="2"/>
  <c r="D407" s="1"/>
  <c r="D518"/>
  <c r="P518" s="1"/>
  <c r="H515"/>
  <c r="H514" s="1"/>
  <c r="B43" i="1"/>
  <c r="D170" i="6"/>
  <c r="L150"/>
  <c r="H142"/>
  <c r="H138" s="1"/>
  <c r="J142"/>
  <c r="L142"/>
  <c r="E268"/>
  <c r="I150"/>
  <c r="K150"/>
  <c r="F150"/>
  <c r="D181"/>
  <c r="D178" s="1"/>
  <c r="D146" s="1"/>
  <c r="K138"/>
  <c r="F25" i="3"/>
  <c r="N26"/>
  <c r="J102" i="13"/>
  <c r="J101" s="1"/>
  <c r="G64" i="1"/>
  <c r="G63" s="1"/>
  <c r="G85" s="1"/>
  <c r="G106" s="1"/>
  <c r="F29"/>
  <c r="F128" s="1"/>
  <c r="F55" i="3"/>
  <c r="D66"/>
  <c r="D62" s="1"/>
  <c r="I38"/>
  <c r="I283" s="1"/>
  <c r="G38"/>
  <c r="G283" s="1"/>
  <c r="J24" i="6"/>
  <c r="J150"/>
  <c r="I51" i="1"/>
  <c r="L24" i="6"/>
  <c r="L20" s="1"/>
  <c r="E59" i="1"/>
  <c r="D134" i="2"/>
  <c r="D129" s="1"/>
  <c r="P136"/>
  <c r="D106" i="9"/>
  <c r="N242" i="6"/>
  <c r="N241" s="1"/>
  <c r="F242"/>
  <c r="F241" s="1"/>
  <c r="D95" i="3"/>
  <c r="D92" s="1"/>
  <c r="D58"/>
  <c r="D55" s="1"/>
  <c r="P493" i="2"/>
  <c r="B45" i="1"/>
  <c r="D93" i="2"/>
  <c r="D92" s="1"/>
  <c r="E93"/>
  <c r="E92" s="1"/>
  <c r="G29" i="1"/>
  <c r="G128" s="1"/>
  <c r="G189" s="1"/>
  <c r="J18" i="2"/>
  <c r="D586"/>
  <c r="D585" s="1"/>
  <c r="D512" s="1"/>
  <c r="E81"/>
  <c r="E462"/>
  <c r="D173"/>
  <c r="D169" s="1"/>
  <c r="D414"/>
  <c r="D376"/>
  <c r="E452"/>
  <c r="E467"/>
  <c r="B24" i="1"/>
  <c r="D364" i="2"/>
  <c r="D363" s="1"/>
  <c r="E55"/>
  <c r="P450"/>
  <c r="D495"/>
  <c r="D494" s="1"/>
  <c r="D493" s="1"/>
  <c r="D503"/>
  <c r="D502" s="1"/>
  <c r="F33" i="1"/>
  <c r="F511" i="2"/>
  <c r="D385"/>
  <c r="D384" s="1"/>
  <c r="E101"/>
  <c r="E98" s="1"/>
  <c r="D104"/>
  <c r="D68"/>
  <c r="D121"/>
  <c r="D412"/>
  <c r="D394"/>
  <c r="D393" s="1"/>
  <c r="N41"/>
  <c r="M20"/>
  <c r="D84"/>
  <c r="E84"/>
  <c r="E455"/>
  <c r="F426"/>
  <c r="N426"/>
  <c r="N420" s="1"/>
  <c r="D457"/>
  <c r="D21" s="1"/>
  <c r="D471"/>
  <c r="B29" i="1"/>
  <c r="C131"/>
  <c r="C193" s="1"/>
  <c r="L28"/>
  <c r="L131" s="1"/>
  <c r="L12" i="2"/>
  <c r="J29"/>
  <c r="G51" i="1"/>
  <c r="F23" i="2"/>
  <c r="J23"/>
  <c r="N16"/>
  <c r="B77" i="1"/>
  <c r="D80" i="4"/>
  <c r="D65"/>
  <c r="D79"/>
  <c r="B69" i="1"/>
  <c r="N69" s="1"/>
  <c r="F45" i="3"/>
  <c r="E287" i="6"/>
  <c r="C137" i="1"/>
  <c r="G137"/>
  <c r="D137"/>
  <c r="H137"/>
  <c r="F340" i="2"/>
  <c r="H340"/>
  <c r="H339" s="1"/>
  <c r="G340"/>
  <c r="J12"/>
  <c r="G420"/>
  <c r="I124" i="1"/>
  <c r="E199"/>
  <c r="F199"/>
  <c r="F98" l="1"/>
  <c r="D98"/>
  <c r="G98"/>
  <c r="E98"/>
  <c r="J7" i="3"/>
  <c r="H420" i="2"/>
  <c r="L7" i="3"/>
  <c r="N450" i="2"/>
  <c r="I33" i="1"/>
  <c r="N18" i="13"/>
  <c r="N16" s="1"/>
  <c r="K7" i="3"/>
  <c r="K18" i="6"/>
  <c r="K12" s="1"/>
  <c r="H31" i="1"/>
  <c r="H132" s="1"/>
  <c r="H194" s="1"/>
  <c r="D18"/>
  <c r="K280" i="9"/>
  <c r="K281" s="1"/>
  <c r="J280"/>
  <c r="J281" s="1"/>
  <c r="J18" i="6"/>
  <c r="G31" i="1"/>
  <c r="M248" i="9"/>
  <c r="H147" i="6"/>
  <c r="K94"/>
  <c r="E65" i="1"/>
  <c r="E64" s="1"/>
  <c r="E63" s="1"/>
  <c r="E85" s="1"/>
  <c r="E106" s="1"/>
  <c r="M18" i="13"/>
  <c r="M16" s="1"/>
  <c r="D50" i="8"/>
  <c r="D144" s="1"/>
  <c r="D146" s="1"/>
  <c r="D29" i="1"/>
  <c r="L29" s="1"/>
  <c r="D14" i="6"/>
  <c r="D9" i="9"/>
  <c r="I291" i="6"/>
  <c r="I302" s="1"/>
  <c r="I64" i="1"/>
  <c r="I63" s="1"/>
  <c r="I85" s="1"/>
  <c r="I106" s="1"/>
  <c r="F65"/>
  <c r="F64" s="1"/>
  <c r="F63" s="1"/>
  <c r="J102"/>
  <c r="N88" i="5"/>
  <c r="O72" i="1"/>
  <c r="H7" i="9"/>
  <c r="D186" i="6"/>
  <c r="G119"/>
  <c r="G11" s="1"/>
  <c r="D14" i="1" s="1"/>
  <c r="M81"/>
  <c r="F283" i="3"/>
  <c r="F285" s="1"/>
  <c r="F286" s="1"/>
  <c r="D283"/>
  <c r="F8"/>
  <c r="F7" s="1"/>
  <c r="K10" i="6"/>
  <c r="H13" i="1" s="1"/>
  <c r="F19" i="2"/>
  <c r="M19" s="1"/>
  <c r="N14" i="13"/>
  <c r="N12" s="1"/>
  <c r="D19" i="1"/>
  <c r="L19" s="1"/>
  <c r="L68"/>
  <c r="L123" s="1"/>
  <c r="K60"/>
  <c r="K59" s="1"/>
  <c r="L60"/>
  <c r="L59" s="1"/>
  <c r="D52" i="13"/>
  <c r="P38" i="3"/>
  <c r="G142" i="6"/>
  <c r="H122" i="1"/>
  <c r="H184" s="1"/>
  <c r="H17"/>
  <c r="N14" i="6"/>
  <c r="N13" s="1"/>
  <c r="D44" i="8"/>
  <c r="D9" s="1"/>
  <c r="D8" s="1"/>
  <c r="L663" i="2"/>
  <c r="L664" s="1"/>
  <c r="L665" s="1"/>
  <c r="G25" i="3"/>
  <c r="G8" s="1"/>
  <c r="H25"/>
  <c r="H8" s="1"/>
  <c r="L285"/>
  <c r="L286" s="1"/>
  <c r="D32"/>
  <c r="H8" i="8"/>
  <c r="M452" i="2"/>
  <c r="M451" s="1"/>
  <c r="M450" s="1"/>
  <c r="E13"/>
  <c r="E12" s="1"/>
  <c r="E11" s="1"/>
  <c r="G100" i="1"/>
  <c r="E52"/>
  <c r="J68"/>
  <c r="N9" i="9"/>
  <c r="P7"/>
  <c r="N10" i="2"/>
  <c r="D129" i="1"/>
  <c r="D190" s="1"/>
  <c r="F147" i="8"/>
  <c r="N8" i="9"/>
  <c r="H94" i="6"/>
  <c r="F10"/>
  <c r="F291"/>
  <c r="F302" s="1"/>
  <c r="K21" i="1"/>
  <c r="K126" s="1"/>
  <c r="D281" i="9"/>
  <c r="R10" i="7"/>
  <c r="F7" i="9"/>
  <c r="D186" i="7"/>
  <c r="L280" i="9"/>
  <c r="L281" s="1"/>
  <c r="H98" i="1"/>
  <c r="H92" s="1"/>
  <c r="L10" i="6"/>
  <c r="I13" i="1" s="1"/>
  <c r="J11" i="6"/>
  <c r="G14" i="1" s="1"/>
  <c r="F11" i="6"/>
  <c r="H11"/>
  <c r="L11"/>
  <c r="K291"/>
  <c r="K302" s="1"/>
  <c r="J10"/>
  <c r="G13" i="1" s="1"/>
  <c r="K11" i="6"/>
  <c r="I10"/>
  <c r="I9" s="1"/>
  <c r="J20"/>
  <c r="F138"/>
  <c r="J13"/>
  <c r="J12" s="1"/>
  <c r="J24" i="1"/>
  <c r="G126"/>
  <c r="G187" s="1"/>
  <c r="B143"/>
  <c r="B205" s="1"/>
  <c r="D45" i="3"/>
  <c r="D290" i="6"/>
  <c r="M290" s="1"/>
  <c r="M25" i="3"/>
  <c r="M8" s="1"/>
  <c r="D64" i="4"/>
  <c r="M103" i="1"/>
  <c r="I25" i="3"/>
  <c r="I8" s="1"/>
  <c r="F29" i="2"/>
  <c r="F22" s="1"/>
  <c r="F663" s="1"/>
  <c r="M13"/>
  <c r="M12" s="1"/>
  <c r="L22" i="1"/>
  <c r="L127" s="1"/>
  <c r="N45" i="13"/>
  <c r="D128" i="1"/>
  <c r="D189" s="1"/>
  <c r="M12" i="3"/>
  <c r="M11" s="1"/>
  <c r="M10" s="1"/>
  <c r="M201" i="6"/>
  <c r="M197" s="1"/>
  <c r="M11" s="1"/>
  <c r="G138"/>
  <c r="F18"/>
  <c r="M19"/>
  <c r="P19" s="1"/>
  <c r="M143"/>
  <c r="M142" s="1"/>
  <c r="M138" s="1"/>
  <c r="M14"/>
  <c r="P14" s="1"/>
  <c r="N201"/>
  <c r="N197" s="1"/>
  <c r="N11" s="1"/>
  <c r="D201"/>
  <c r="D197" s="1"/>
  <c r="P23" i="8"/>
  <c r="P14"/>
  <c r="M94" i="6"/>
  <c r="F10" i="8"/>
  <c r="M10" s="1"/>
  <c r="H106" i="1"/>
  <c r="K68"/>
  <c r="K123" s="1"/>
  <c r="H123"/>
  <c r="H185" s="1"/>
  <c r="I13" i="6"/>
  <c r="G339" i="2"/>
  <c r="K11"/>
  <c r="D16" i="13"/>
  <c r="D11" s="1"/>
  <c r="P25"/>
  <c r="M10" i="2"/>
  <c r="K24" i="1"/>
  <c r="K129" s="1"/>
  <c r="M339" i="2"/>
  <c r="M8" i="9"/>
  <c r="K22" i="1"/>
  <c r="K127" s="1"/>
  <c r="M9" i="8"/>
  <c r="M11" i="5"/>
  <c r="M10" s="1"/>
  <c r="N11"/>
  <c r="N10" s="1"/>
  <c r="G102" i="13"/>
  <c r="G101" s="1"/>
  <c r="M45"/>
  <c r="M14"/>
  <c r="M12" s="1"/>
  <c r="C19" i="1"/>
  <c r="C124" s="1"/>
  <c r="C186" s="1"/>
  <c r="M44" i="8"/>
  <c r="J191" i="1"/>
  <c r="N299" i="6"/>
  <c r="M299"/>
  <c r="N35" i="2"/>
  <c r="B28" i="1"/>
  <c r="K28" s="1"/>
  <c r="K131" s="1"/>
  <c r="M21" i="2"/>
  <c r="C18" i="1"/>
  <c r="C31"/>
  <c r="C132" s="1"/>
  <c r="C194" s="1"/>
  <c r="O66"/>
  <c r="P514" i="2"/>
  <c r="N13"/>
  <c r="N12" s="1"/>
  <c r="D151" i="6"/>
  <c r="D25" s="1"/>
  <c r="G25"/>
  <c r="D46" i="1" s="1"/>
  <c r="N94" i="6"/>
  <c r="L13"/>
  <c r="I17" i="1"/>
  <c r="N143" i="6"/>
  <c r="N142" s="1"/>
  <c r="N138" s="1"/>
  <c r="H13"/>
  <c r="G94"/>
  <c r="P33" i="3"/>
  <c r="N339" i="2"/>
  <c r="L11"/>
  <c r="N10" i="3"/>
  <c r="F11" i="13"/>
  <c r="G11"/>
  <c r="D28" i="8"/>
  <c r="D21" s="1"/>
  <c r="P21"/>
  <c r="P15"/>
  <c r="P25"/>
  <c r="P29"/>
  <c r="P16"/>
  <c r="D16"/>
  <c r="D11" s="1"/>
  <c r="D26" i="3"/>
  <c r="F90" i="1"/>
  <c r="B146"/>
  <c r="B208" s="1"/>
  <c r="J43"/>
  <c r="J146" s="1"/>
  <c r="J208" s="1"/>
  <c r="N68"/>
  <c r="E23" i="2"/>
  <c r="E22" s="1"/>
  <c r="E663" s="1"/>
  <c r="B137" i="1"/>
  <c r="B199" s="1"/>
  <c r="J77"/>
  <c r="M77" s="1"/>
  <c r="J69"/>
  <c r="M78" s="1"/>
  <c r="B128"/>
  <c r="B189" s="1"/>
  <c r="J21"/>
  <c r="N21"/>
  <c r="B127"/>
  <c r="B188" s="1"/>
  <c r="J22"/>
  <c r="N24"/>
  <c r="J138" i="6"/>
  <c r="N22" i="1"/>
  <c r="D143" i="6"/>
  <c r="D19" s="1"/>
  <c r="E119" i="13"/>
  <c r="E121" s="1"/>
  <c r="E122" s="1"/>
  <c r="D10" i="7"/>
  <c r="D288" i="6"/>
  <c r="J82" i="1"/>
  <c r="B82"/>
  <c r="G132"/>
  <c r="G194" s="1"/>
  <c r="J11" i="2"/>
  <c r="H33" i="1"/>
  <c r="J22" i="2"/>
  <c r="D516"/>
  <c r="B38" i="1"/>
  <c r="J38" s="1"/>
  <c r="G18" i="6"/>
  <c r="G12" s="1"/>
  <c r="D521" i="2"/>
  <c r="D520" s="1"/>
  <c r="E100" i="1"/>
  <c r="F339" i="2"/>
  <c r="H280" i="9"/>
  <c r="H281" s="1"/>
  <c r="G280"/>
  <c r="G281" s="1"/>
  <c r="G258" s="1"/>
  <c r="G257" s="1"/>
  <c r="G256" s="1"/>
  <c r="J291" i="6"/>
  <c r="J302" s="1"/>
  <c r="L291"/>
  <c r="L302" s="1"/>
  <c r="F281" i="9"/>
  <c r="F258" s="1"/>
  <c r="E257"/>
  <c r="E256" s="1"/>
  <c r="D75" i="2"/>
  <c r="D74" s="1"/>
  <c r="P39"/>
  <c r="D455"/>
  <c r="D31"/>
  <c r="G29"/>
  <c r="G22" s="1"/>
  <c r="D45" i="1"/>
  <c r="D145" s="1"/>
  <c r="D207" s="1"/>
  <c r="G9" i="2"/>
  <c r="H9"/>
  <c r="H8" s="1"/>
  <c r="F420"/>
  <c r="D341"/>
  <c r="D411"/>
  <c r="B61" i="1"/>
  <c r="N61" s="1"/>
  <c r="E45"/>
  <c r="H29" i="2"/>
  <c r="H22" s="1"/>
  <c r="E54"/>
  <c r="D55"/>
  <c r="D54" s="1"/>
  <c r="D540"/>
  <c r="D539" s="1"/>
  <c r="P53" i="13"/>
  <c r="I142" i="6"/>
  <c r="J73" i="1"/>
  <c r="O73" s="1"/>
  <c r="O74"/>
  <c r="I9" i="13"/>
  <c r="I8" s="1"/>
  <c r="F9"/>
  <c r="G9"/>
  <c r="H45"/>
  <c r="D46"/>
  <c r="P47"/>
  <c r="H11"/>
  <c r="D208" i="6"/>
  <c r="D205" s="1"/>
  <c r="G205"/>
  <c r="G150"/>
  <c r="D298"/>
  <c r="N296"/>
  <c r="D254"/>
  <c r="D253" s="1"/>
  <c r="D243"/>
  <c r="D242" s="1"/>
  <c r="D241" s="1"/>
  <c r="F13"/>
  <c r="E466" i="2"/>
  <c r="E458"/>
  <c r="L147" i="6"/>
  <c r="L18"/>
  <c r="H18"/>
  <c r="L138"/>
  <c r="D78"/>
  <c r="D77" s="1"/>
  <c r="G33" i="1"/>
  <c r="F147" i="6"/>
  <c r="K147"/>
  <c r="I24"/>
  <c r="I20" s="1"/>
  <c r="F51" i="1"/>
  <c r="D148" i="6"/>
  <c r="D23"/>
  <c r="D21" s="1"/>
  <c r="C51" i="1"/>
  <c r="C46"/>
  <c r="F24" i="6"/>
  <c r="F20" s="1"/>
  <c r="K24"/>
  <c r="K20" s="1"/>
  <c r="H51" i="1"/>
  <c r="I147" i="6"/>
  <c r="N25" i="3"/>
  <c r="N8" s="1"/>
  <c r="K664" i="2"/>
  <c r="K665" s="1"/>
  <c r="I664"/>
  <c r="I665" s="1"/>
  <c r="D10" i="3"/>
  <c r="K285"/>
  <c r="K286" s="1"/>
  <c r="H285"/>
  <c r="H286" s="1"/>
  <c r="E92" i="1"/>
  <c r="J285" i="3"/>
  <c r="J286" s="1"/>
  <c r="G92" i="1"/>
  <c r="I147"/>
  <c r="I41"/>
  <c r="I52"/>
  <c r="J147" i="6"/>
  <c r="P23" i="3"/>
  <c r="J143" i="1"/>
  <c r="J205" s="1"/>
  <c r="H291" i="6"/>
  <c r="H302" s="1"/>
  <c r="N60" i="1"/>
  <c r="D467" i="2"/>
  <c r="D466" s="1"/>
  <c r="D452"/>
  <c r="D451" s="1"/>
  <c r="D594"/>
  <c r="D593" s="1"/>
  <c r="B145" i="1"/>
  <c r="B207" s="1"/>
  <c r="E451" i="2"/>
  <c r="B80" i="1"/>
  <c r="D15" i="2"/>
  <c r="D81"/>
  <c r="D80" s="1"/>
  <c r="B129" i="1"/>
  <c r="B190" s="1"/>
  <c r="D17" i="2"/>
  <c r="D101"/>
  <c r="D98" s="1"/>
  <c r="P42"/>
  <c r="D564"/>
  <c r="D563" s="1"/>
  <c r="J37" i="1"/>
  <c r="E139"/>
  <c r="E33"/>
  <c r="D331" i="2"/>
  <c r="D327" s="1"/>
  <c r="E80"/>
  <c r="D426"/>
  <c r="D420" s="1"/>
  <c r="D9" s="1"/>
  <c r="P433"/>
  <c r="D373"/>
  <c r="D372" s="1"/>
  <c r="F18"/>
  <c r="B51" i="1"/>
  <c r="B46"/>
  <c r="G147"/>
  <c r="G209" s="1"/>
  <c r="G41"/>
  <c r="G52"/>
  <c r="C127"/>
  <c r="C188" s="1"/>
  <c r="P26" i="2"/>
  <c r="D61" i="4"/>
  <c r="D72"/>
  <c r="D71" s="1"/>
  <c r="B123" i="1"/>
  <c r="B185" s="1"/>
  <c r="B126"/>
  <c r="B187" s="1"/>
  <c r="D120" i="6"/>
  <c r="D119" s="1"/>
  <c r="D17"/>
  <c r="E291"/>
  <c r="E302" s="1"/>
  <c r="D105"/>
  <c r="B31" i="1"/>
  <c r="C199"/>
  <c r="D199"/>
  <c r="H199"/>
  <c r="G199"/>
  <c r="G12" i="2"/>
  <c r="G11" s="1"/>
  <c r="H12"/>
  <c r="H11" s="1"/>
  <c r="F12"/>
  <c r="I186" i="1"/>
  <c r="E189"/>
  <c r="F189"/>
  <c r="M11" i="13" l="1"/>
  <c r="N11"/>
  <c r="H14" i="1"/>
  <c r="I14"/>
  <c r="H269" i="6"/>
  <c r="F13" i="1"/>
  <c r="E14"/>
  <c r="E90" s="1"/>
  <c r="J46"/>
  <c r="F122"/>
  <c r="F184" s="1"/>
  <c r="G17"/>
  <c r="G122"/>
  <c r="G133" s="1"/>
  <c r="F85"/>
  <c r="F106" s="1"/>
  <c r="L65"/>
  <c r="M37"/>
  <c r="P194" i="6"/>
  <c r="D90" i="1"/>
  <c r="H10" i="6"/>
  <c r="H9" s="1"/>
  <c r="D450" i="2"/>
  <c r="D239" i="6"/>
  <c r="D10" i="2"/>
  <c r="E10"/>
  <c r="G7" i="3"/>
  <c r="D13" i="2"/>
  <c r="I7" i="3"/>
  <c r="M38" i="1"/>
  <c r="G663" i="2"/>
  <c r="C29" i="1"/>
  <c r="K29" s="1"/>
  <c r="M18" i="2"/>
  <c r="M11" s="1"/>
  <c r="D147" i="8"/>
  <c r="D45" i="13"/>
  <c r="D9" s="1"/>
  <c r="D8" s="1"/>
  <c r="N28" i="1"/>
  <c r="L12" i="6"/>
  <c r="H663" i="2"/>
  <c r="J663"/>
  <c r="K9" i="6"/>
  <c r="H7" i="3"/>
  <c r="C98" i="1"/>
  <c r="C92" s="1"/>
  <c r="D25" i="3"/>
  <c r="D8" s="1"/>
  <c r="D7" s="1"/>
  <c r="H133" i="1"/>
  <c r="P11" i="6"/>
  <c r="B131" i="1"/>
  <c r="B193" s="1"/>
  <c r="M7" i="3"/>
  <c r="N7"/>
  <c r="P7" s="1"/>
  <c r="G89" i="1"/>
  <c r="M9" i="9"/>
  <c r="M7" s="1"/>
  <c r="F9" i="6"/>
  <c r="H26" i="1"/>
  <c r="H16" s="1"/>
  <c r="H48" s="1"/>
  <c r="G7" i="9"/>
  <c r="F8" i="8"/>
  <c r="P8" s="1"/>
  <c r="M10" i="6"/>
  <c r="M9" s="1"/>
  <c r="D11"/>
  <c r="G10"/>
  <c r="D13" i="1" s="1"/>
  <c r="N10" i="6"/>
  <c r="N9" s="1"/>
  <c r="D301"/>
  <c r="M301" s="1"/>
  <c r="D26" i="1"/>
  <c r="G8" i="13"/>
  <c r="L18" i="1"/>
  <c r="M13" i="6"/>
  <c r="M18"/>
  <c r="F17" i="1"/>
  <c r="F12" i="6"/>
  <c r="M102" i="1"/>
  <c r="M101" s="1"/>
  <c r="D669" i="2"/>
  <c r="D671" s="1"/>
  <c r="D672" s="1"/>
  <c r="L269" i="6"/>
  <c r="J269"/>
  <c r="I269"/>
  <c r="F99" i="1" s="1"/>
  <c r="K269" i="6"/>
  <c r="R11" i="7"/>
  <c r="N288" i="6"/>
  <c r="M288"/>
  <c r="H195" i="1"/>
  <c r="D142" i="6"/>
  <c r="D138" s="1"/>
  <c r="H12"/>
  <c r="J28" i="1"/>
  <c r="J131" s="1"/>
  <c r="J193" s="1"/>
  <c r="K19"/>
  <c r="K124" s="1"/>
  <c r="J33"/>
  <c r="K18"/>
  <c r="C14"/>
  <c r="C90" s="1"/>
  <c r="N8" i="8"/>
  <c r="N298" i="6"/>
  <c r="M298"/>
  <c r="L124" i="1"/>
  <c r="N9" i="2"/>
  <c r="N8" s="1"/>
  <c r="D268" i="6"/>
  <c r="M98" i="1" s="1"/>
  <c r="G291" i="6"/>
  <c r="G302" s="1"/>
  <c r="N19"/>
  <c r="N18" s="1"/>
  <c r="N12" s="1"/>
  <c r="D132" i="1"/>
  <c r="D194" s="1"/>
  <c r="D64"/>
  <c r="D63" s="1"/>
  <c r="D85" s="1"/>
  <c r="N18" i="2"/>
  <c r="N11" s="1"/>
  <c r="G26" i="1"/>
  <c r="J19"/>
  <c r="M34" s="1"/>
  <c r="D124"/>
  <c r="D186" s="1"/>
  <c r="N19"/>
  <c r="N25"/>
  <c r="J25"/>
  <c r="B76"/>
  <c r="B75" s="1"/>
  <c r="B86" s="1"/>
  <c r="J80"/>
  <c r="J140" s="1"/>
  <c r="J202" s="1"/>
  <c r="J45"/>
  <c r="B139"/>
  <c r="B201" s="1"/>
  <c r="F269" i="6"/>
  <c r="F270" s="1"/>
  <c r="F271" s="1"/>
  <c r="P350" i="2"/>
  <c r="D346"/>
  <c r="G210" i="1"/>
  <c r="I89"/>
  <c r="L9" i="6"/>
  <c r="F257" i="9"/>
  <c r="C76" i="1"/>
  <c r="C75" s="1"/>
  <c r="C86" s="1"/>
  <c r="C139"/>
  <c r="C201" s="1"/>
  <c r="M79"/>
  <c r="D7" i="9"/>
  <c r="D76" i="1"/>
  <c r="D75" s="1"/>
  <c r="D86" s="1"/>
  <c r="D100" s="1"/>
  <c r="D139"/>
  <c r="D201" s="1"/>
  <c r="D27" i="2"/>
  <c r="D23" s="1"/>
  <c r="D44"/>
  <c r="E145" i="1"/>
  <c r="E207" s="1"/>
  <c r="E41"/>
  <c r="E32" s="1"/>
  <c r="E49" s="1"/>
  <c r="F9" i="2"/>
  <c r="F8" s="1"/>
  <c r="D513"/>
  <c r="J61" i="1" s="1"/>
  <c r="O61" s="1"/>
  <c r="B59"/>
  <c r="N59" s="1"/>
  <c r="I18" i="6"/>
  <c r="I12" s="1"/>
  <c r="J31" i="1"/>
  <c r="I138" i="6"/>
  <c r="H9" i="13"/>
  <c r="F8"/>
  <c r="E124" i="1"/>
  <c r="E186" s="1"/>
  <c r="F11" i="2"/>
  <c r="D287" i="6"/>
  <c r="G24"/>
  <c r="G20" s="1"/>
  <c r="D51" i="1"/>
  <c r="J51" s="1"/>
  <c r="G147" i="6"/>
  <c r="B13" i="1"/>
  <c r="I132"/>
  <c r="I26"/>
  <c r="I16" s="1"/>
  <c r="I48" s="1"/>
  <c r="I121" s="1"/>
  <c r="E132"/>
  <c r="E194" s="1"/>
  <c r="E26"/>
  <c r="P25" i="6"/>
  <c r="H147" i="1"/>
  <c r="H52"/>
  <c r="H41"/>
  <c r="C147"/>
  <c r="C41"/>
  <c r="C32" s="1"/>
  <c r="C52"/>
  <c r="F52"/>
  <c r="F147"/>
  <c r="F41"/>
  <c r="F32" s="1"/>
  <c r="F49" s="1"/>
  <c r="F91" s="1"/>
  <c r="H270" i="6"/>
  <c r="H271" s="1"/>
  <c r="E285" i="3"/>
  <c r="E286" s="1"/>
  <c r="B98" i="1"/>
  <c r="D285" i="3"/>
  <c r="I285"/>
  <c r="I286" s="1"/>
  <c r="G285"/>
  <c r="G286" s="1"/>
  <c r="N290" i="6"/>
  <c r="D150"/>
  <c r="D147" s="1"/>
  <c r="P20" s="1"/>
  <c r="D24"/>
  <c r="D20" s="1"/>
  <c r="I32" i="1"/>
  <c r="E269" i="6"/>
  <c r="I209" i="1"/>
  <c r="I210" s="1"/>
  <c r="I148"/>
  <c r="D21" i="3"/>
  <c r="D18" s="1"/>
  <c r="J9" i="6"/>
  <c r="D95"/>
  <c r="D94" s="1"/>
  <c r="D283"/>
  <c r="D13"/>
  <c r="G148" i="1"/>
  <c r="D515" i="2"/>
  <c r="D514" s="1"/>
  <c r="O21" i="1"/>
  <c r="B140"/>
  <c r="B202" s="1"/>
  <c r="E450" i="2"/>
  <c r="P38"/>
  <c r="P25"/>
  <c r="D36"/>
  <c r="O24" i="1"/>
  <c r="J129"/>
  <c r="J190" s="1"/>
  <c r="M39"/>
  <c r="E201"/>
  <c r="B138"/>
  <c r="B200" s="1"/>
  <c r="B33"/>
  <c r="D29" i="2"/>
  <c r="D41"/>
  <c r="D340"/>
  <c r="D19"/>
  <c r="P29" s="1"/>
  <c r="B18" i="1"/>
  <c r="B52"/>
  <c r="B147"/>
  <c r="B41"/>
  <c r="J139"/>
  <c r="J201" s="1"/>
  <c r="G32"/>
  <c r="J127"/>
  <c r="J188" s="1"/>
  <c r="O22"/>
  <c r="J137"/>
  <c r="N103"/>
  <c r="B101"/>
  <c r="D51" i="4"/>
  <c r="O69" i="1"/>
  <c r="J126"/>
  <c r="O68"/>
  <c r="J123"/>
  <c r="J185" s="1"/>
  <c r="H89"/>
  <c r="B132"/>
  <c r="B26"/>
  <c r="D18" i="6"/>
  <c r="D279"/>
  <c r="D281" s="1"/>
  <c r="C17" i="1"/>
  <c r="D122"/>
  <c r="D17"/>
  <c r="G8" i="2"/>
  <c r="E17" i="1"/>
  <c r="E122"/>
  <c r="H12" l="1"/>
  <c r="H107" s="1"/>
  <c r="H90"/>
  <c r="H88" s="1"/>
  <c r="H134" s="1"/>
  <c r="H664" i="2"/>
  <c r="H665" s="1"/>
  <c r="E99" i="1"/>
  <c r="E93" s="1"/>
  <c r="J664" i="2"/>
  <c r="J665" s="1"/>
  <c r="G99" i="1"/>
  <c r="D8" i="2"/>
  <c r="J14" i="1"/>
  <c r="J116" s="1"/>
  <c r="G664" i="2"/>
  <c r="G665" s="1"/>
  <c r="E13" i="1"/>
  <c r="C26"/>
  <c r="I90"/>
  <c r="I88" s="1"/>
  <c r="J98"/>
  <c r="J92" s="1"/>
  <c r="G184"/>
  <c r="G195" s="1"/>
  <c r="D238" i="6"/>
  <c r="J60" i="1"/>
  <c r="J59" s="1"/>
  <c r="O59" s="1"/>
  <c r="D116"/>
  <c r="L14"/>
  <c r="D112"/>
  <c r="D286" i="3"/>
  <c r="N29" i="1"/>
  <c r="C128"/>
  <c r="C189" s="1"/>
  <c r="J29"/>
  <c r="J26" s="1"/>
  <c r="P147" i="6"/>
  <c r="O28" i="1"/>
  <c r="J187"/>
  <c r="D106"/>
  <c r="M46"/>
  <c r="M43"/>
  <c r="N301" i="6"/>
  <c r="G9"/>
  <c r="P10"/>
  <c r="N102" i="1"/>
  <c r="N101" s="1"/>
  <c r="D10" i="6"/>
  <c r="J13" i="1" s="1"/>
  <c r="B99"/>
  <c r="D16"/>
  <c r="D48" s="1"/>
  <c r="M12" i="6"/>
  <c r="P9" s="1"/>
  <c r="L31" i="1"/>
  <c r="L132" s="1"/>
  <c r="N9" i="13"/>
  <c r="N8" s="1"/>
  <c r="P18" i="6"/>
  <c r="G269"/>
  <c r="D99" i="1" s="1"/>
  <c r="H121"/>
  <c r="H183" s="1"/>
  <c r="N287" i="6"/>
  <c r="M287"/>
  <c r="J76" i="1"/>
  <c r="J75" s="1"/>
  <c r="C112"/>
  <c r="C116"/>
  <c r="K14"/>
  <c r="K31"/>
  <c r="K132" s="1"/>
  <c r="M9" i="13"/>
  <c r="M8" s="1"/>
  <c r="C13" i="1"/>
  <c r="M9" i="2"/>
  <c r="M8" s="1"/>
  <c r="J145" i="1"/>
  <c r="J207" s="1"/>
  <c r="K128"/>
  <c r="K17"/>
  <c r="B100"/>
  <c r="J86"/>
  <c r="L85"/>
  <c r="M85" s="1"/>
  <c r="G16"/>
  <c r="G48" s="1"/>
  <c r="G121" s="1"/>
  <c r="D285" i="6"/>
  <c r="E210" i="1"/>
  <c r="N7" i="9"/>
  <c r="D43" i="2"/>
  <c r="I12" i="1"/>
  <c r="E664" i="2"/>
  <c r="E665" s="1"/>
  <c r="C100" i="1"/>
  <c r="N18"/>
  <c r="J18"/>
  <c r="J17" s="1"/>
  <c r="B64"/>
  <c r="B63" s="1"/>
  <c r="B85" s="1"/>
  <c r="B106" s="1"/>
  <c r="N31"/>
  <c r="O31" s="1"/>
  <c r="D12" i="2"/>
  <c r="D22"/>
  <c r="E148" i="1"/>
  <c r="B92"/>
  <c r="D269" i="6"/>
  <c r="D270" s="1"/>
  <c r="D271" s="1"/>
  <c r="C49" i="1"/>
  <c r="C91" s="1"/>
  <c r="F256" i="9"/>
  <c r="B14" i="1"/>
  <c r="D511" i="2"/>
  <c r="P27"/>
  <c r="F135" i="1"/>
  <c r="F212" s="1"/>
  <c r="F132"/>
  <c r="F26"/>
  <c r="F16" s="1"/>
  <c r="F48" s="1"/>
  <c r="J124"/>
  <c r="J186" s="1"/>
  <c r="O19"/>
  <c r="H8" i="13"/>
  <c r="D147" i="1"/>
  <c r="D41"/>
  <c r="D32" s="1"/>
  <c r="D49" s="1"/>
  <c r="D52"/>
  <c r="D35" i="2"/>
  <c r="I99" i="1"/>
  <c r="L270" i="6"/>
  <c r="L271" s="1"/>
  <c r="I194" i="1"/>
  <c r="I133"/>
  <c r="D12" i="6"/>
  <c r="H32" i="1"/>
  <c r="H49" s="1"/>
  <c r="H209"/>
  <c r="H210" s="1"/>
  <c r="H148"/>
  <c r="F209"/>
  <c r="F210" s="1"/>
  <c r="F148"/>
  <c r="F149" s="1"/>
  <c r="I270" i="6"/>
  <c r="I271" s="1"/>
  <c r="F93" i="1"/>
  <c r="K270" i="6"/>
  <c r="K271" s="1"/>
  <c r="H99" i="1"/>
  <c r="C209"/>
  <c r="C210" s="1"/>
  <c r="C148"/>
  <c r="J101"/>
  <c r="F664" i="2"/>
  <c r="F665" s="1"/>
  <c r="C99" i="1"/>
  <c r="J270" i="6"/>
  <c r="J271" s="1"/>
  <c r="D92" i="1"/>
  <c r="F92"/>
  <c r="C16"/>
  <c r="I49"/>
  <c r="P31" i="2"/>
  <c r="D18"/>
  <c r="G90" i="1"/>
  <c r="G88" s="1"/>
  <c r="G134" s="1"/>
  <c r="G12"/>
  <c r="F89"/>
  <c r="F88" s="1"/>
  <c r="F12"/>
  <c r="B32"/>
  <c r="B49" s="1"/>
  <c r="E135"/>
  <c r="E91"/>
  <c r="J138"/>
  <c r="J200" s="1"/>
  <c r="E8" i="2"/>
  <c r="B17" i="1"/>
  <c r="B16" s="1"/>
  <c r="B48" s="1"/>
  <c r="B122"/>
  <c r="B184" s="1"/>
  <c r="D339" i="2"/>
  <c r="L128" i="1"/>
  <c r="G49"/>
  <c r="J41"/>
  <c r="J32" s="1"/>
  <c r="J49" s="1"/>
  <c r="J147"/>
  <c r="J209" s="1"/>
  <c r="B209"/>
  <c r="B210" s="1"/>
  <c r="B148"/>
  <c r="O25"/>
  <c r="J199"/>
  <c r="D291" i="6"/>
  <c r="J132" i="1"/>
  <c r="J194" s="1"/>
  <c r="B194"/>
  <c r="E16"/>
  <c r="L17"/>
  <c r="E184"/>
  <c r="E195" s="1"/>
  <c r="E133"/>
  <c r="D184"/>
  <c r="D133"/>
  <c r="I196"/>
  <c r="I183"/>
  <c r="E94" l="1"/>
  <c r="L97"/>
  <c r="M91"/>
  <c r="J99"/>
  <c r="J93" s="1"/>
  <c r="O60"/>
  <c r="O29"/>
  <c r="J128"/>
  <c r="J189" s="1"/>
  <c r="M45"/>
  <c r="E97"/>
  <c r="E96" s="1"/>
  <c r="I107"/>
  <c r="D115"/>
  <c r="D114" s="1"/>
  <c r="D89"/>
  <c r="D88" s="1"/>
  <c r="D111"/>
  <c r="D663" i="2"/>
  <c r="D12" i="1"/>
  <c r="I134"/>
  <c r="L13"/>
  <c r="L89" s="1"/>
  <c r="P18" i="3"/>
  <c r="N98" i="1"/>
  <c r="J90"/>
  <c r="J197"/>
  <c r="B91"/>
  <c r="B149" s="1"/>
  <c r="B135"/>
  <c r="B197" s="1"/>
  <c r="F94"/>
  <c r="D195"/>
  <c r="D121"/>
  <c r="D196" s="1"/>
  <c r="D117"/>
  <c r="C89"/>
  <c r="C88" s="1"/>
  <c r="K13"/>
  <c r="M13" s="1"/>
  <c r="H196"/>
  <c r="K26"/>
  <c r="K16" s="1"/>
  <c r="C12"/>
  <c r="M14"/>
  <c r="K90"/>
  <c r="B93"/>
  <c r="J135"/>
  <c r="C115"/>
  <c r="C114" s="1"/>
  <c r="C111"/>
  <c r="N291" i="6"/>
  <c r="M291"/>
  <c r="N13" i="1"/>
  <c r="I195"/>
  <c r="K194"/>
  <c r="J100"/>
  <c r="C119"/>
  <c r="O18"/>
  <c r="C149"/>
  <c r="C135"/>
  <c r="C197" s="1"/>
  <c r="B121"/>
  <c r="N17"/>
  <c r="O17" s="1"/>
  <c r="C48"/>
  <c r="N16"/>
  <c r="N14"/>
  <c r="O14" s="1"/>
  <c r="N26"/>
  <c r="O26" s="1"/>
  <c r="D11" i="2"/>
  <c r="F121" i="1"/>
  <c r="F196" s="1"/>
  <c r="F213"/>
  <c r="F197"/>
  <c r="L26"/>
  <c r="L16" s="1"/>
  <c r="F97"/>
  <c r="F96" s="1"/>
  <c r="F194"/>
  <c r="F195" s="1"/>
  <c r="F133"/>
  <c r="F134" s="1"/>
  <c r="E12"/>
  <c r="E89"/>
  <c r="E88" s="1"/>
  <c r="D119"/>
  <c r="D135"/>
  <c r="D91"/>
  <c r="G270" i="6"/>
  <c r="G271" s="1"/>
  <c r="D209" i="1"/>
  <c r="D148"/>
  <c r="J148"/>
  <c r="I97"/>
  <c r="I96" s="1"/>
  <c r="I93"/>
  <c r="H135"/>
  <c r="H91"/>
  <c r="H149" s="1"/>
  <c r="H97"/>
  <c r="H93"/>
  <c r="C93"/>
  <c r="C94" s="1"/>
  <c r="C97"/>
  <c r="E270" i="6"/>
  <c r="E271" s="1"/>
  <c r="G97" i="1"/>
  <c r="G96" s="1"/>
  <c r="G93"/>
  <c r="I135"/>
  <c r="I91"/>
  <c r="B195"/>
  <c r="G107"/>
  <c r="L90"/>
  <c r="F107"/>
  <c r="B133"/>
  <c r="E212"/>
  <c r="E213" s="1"/>
  <c r="E197"/>
  <c r="E149"/>
  <c r="B90"/>
  <c r="G135"/>
  <c r="G91"/>
  <c r="J210"/>
  <c r="B89"/>
  <c r="B12"/>
  <c r="D302" i="6"/>
  <c r="L194" i="1"/>
  <c r="Q194"/>
  <c r="D9" i="6"/>
  <c r="J16" i="1"/>
  <c r="J48" s="1"/>
  <c r="G196"/>
  <c r="G183"/>
  <c r="E48"/>
  <c r="L48" s="1"/>
  <c r="D664" i="2" l="1"/>
  <c r="D665" s="1"/>
  <c r="M99" i="1"/>
  <c r="M97" s="1"/>
  <c r="N96" s="1"/>
  <c r="D134"/>
  <c r="E104"/>
  <c r="D107"/>
  <c r="D118"/>
  <c r="M48"/>
  <c r="N48" s="1"/>
  <c r="J97"/>
  <c r="J212"/>
  <c r="J213" s="1"/>
  <c r="D149"/>
  <c r="H94"/>
  <c r="B94"/>
  <c r="D210"/>
  <c r="D183"/>
  <c r="E134"/>
  <c r="C107"/>
  <c r="J119"/>
  <c r="J91"/>
  <c r="M92" s="1"/>
  <c r="K12"/>
  <c r="K89"/>
  <c r="K88" s="1"/>
  <c r="K48"/>
  <c r="N302" i="6"/>
  <c r="M302"/>
  <c r="L12" i="1"/>
  <c r="F183"/>
  <c r="C212"/>
  <c r="C213" s="1"/>
  <c r="N12"/>
  <c r="B107"/>
  <c r="F104"/>
  <c r="E107"/>
  <c r="D93"/>
  <c r="D94" s="1"/>
  <c r="D97"/>
  <c r="D197"/>
  <c r="D212"/>
  <c r="L88"/>
  <c r="H96"/>
  <c r="H104"/>
  <c r="H197"/>
  <c r="H212"/>
  <c r="H213" s="1"/>
  <c r="C96"/>
  <c r="C104"/>
  <c r="B97"/>
  <c r="B96" s="1"/>
  <c r="O16"/>
  <c r="I212"/>
  <c r="I213" s="1"/>
  <c r="I197"/>
  <c r="I104"/>
  <c r="I149"/>
  <c r="I94"/>
  <c r="B88"/>
  <c r="B134" s="1"/>
  <c r="B212"/>
  <c r="B213" s="1"/>
  <c r="G104"/>
  <c r="G94"/>
  <c r="G149"/>
  <c r="G197"/>
  <c r="G212"/>
  <c r="G213" s="1"/>
  <c r="J115"/>
  <c r="J114" s="1"/>
  <c r="J89"/>
  <c r="J88" s="1"/>
  <c r="J12"/>
  <c r="J107" s="1"/>
  <c r="O13"/>
  <c r="B196"/>
  <c r="B183"/>
  <c r="E121"/>
  <c r="J94" l="1"/>
  <c r="J104"/>
  <c r="J96"/>
  <c r="D213"/>
  <c r="J149"/>
  <c r="D96"/>
  <c r="D104"/>
  <c r="N99"/>
  <c r="N97" s="1"/>
  <c r="B104"/>
  <c r="O12"/>
  <c r="M50"/>
  <c r="N50" s="1"/>
  <c r="E196"/>
  <c r="E183"/>
  <c r="D55" i="4"/>
  <c r="D54" s="1"/>
  <c r="F122" i="13" l="1"/>
  <c r="M103" l="1"/>
  <c r="M102" s="1"/>
  <c r="M101" s="1"/>
  <c r="C65" i="1"/>
  <c r="K65" s="1"/>
  <c r="M93"/>
  <c r="L96"/>
  <c r="P21" i="13"/>
  <c r="F102"/>
  <c r="F101" s="1"/>
  <c r="N102"/>
  <c r="N101" s="1"/>
  <c r="D102"/>
  <c r="D101" s="1"/>
  <c r="K64" i="1" l="1"/>
  <c r="K63" s="1"/>
  <c r="K122"/>
  <c r="K133" s="1"/>
  <c r="J65"/>
  <c r="N65"/>
  <c r="C122"/>
  <c r="C64"/>
  <c r="N64" s="1"/>
  <c r="O65" l="1"/>
  <c r="J122"/>
  <c r="J64"/>
  <c r="C63"/>
  <c r="N63" s="1"/>
  <c r="C184"/>
  <c r="C195" s="1"/>
  <c r="C133"/>
  <c r="C134" s="1"/>
  <c r="L64"/>
  <c r="L63" s="1"/>
  <c r="M59" s="1"/>
  <c r="L122"/>
  <c r="L133" s="1"/>
  <c r="C85" l="1"/>
  <c r="J63"/>
  <c r="O64"/>
  <c r="J133"/>
  <c r="J134" s="1"/>
  <c r="J184"/>
  <c r="J195" l="1"/>
  <c r="K85"/>
  <c r="K121" s="1"/>
  <c r="C106"/>
  <c r="J85"/>
  <c r="O63"/>
  <c r="C117"/>
  <c r="C118" s="1"/>
  <c r="L121"/>
  <c r="C121"/>
  <c r="J106" l="1"/>
  <c r="N85"/>
  <c r="J121"/>
  <c r="J183" s="1"/>
  <c r="J117"/>
  <c r="J118" s="1"/>
  <c r="C196"/>
  <c r="C183"/>
  <c r="J196" l="1"/>
  <c r="M8" i="8"/>
</calcChain>
</file>

<file path=xl/comments1.xml><?xml version="1.0" encoding="utf-8"?>
<comments xmlns="http://schemas.openxmlformats.org/spreadsheetml/2006/main">
  <authors>
    <author>Magdalena Zielińska</author>
  </authors>
  <commentList>
    <comment ref="F645" authorId="0">
      <text>
        <r>
          <rPr>
            <b/>
            <sz val="9"/>
            <color indexed="81"/>
            <rFont val="Tahoma"/>
            <family val="2"/>
            <charset val="238"/>
          </rPr>
          <t>Magdalena Zielińska:</t>
        </r>
        <r>
          <rPr>
            <sz val="9"/>
            <color indexed="81"/>
            <rFont val="Tahoma"/>
            <family val="2"/>
            <charset val="238"/>
          </rPr>
          <t xml:space="preserve">
PF wprowadzone do budżetu uchwałami Zarządu WZ</t>
        </r>
      </text>
    </comment>
  </commentList>
</comments>
</file>

<file path=xl/sharedStrings.xml><?xml version="1.0" encoding="utf-8"?>
<sst xmlns="http://schemas.openxmlformats.org/spreadsheetml/2006/main" count="3856" uniqueCount="576">
  <si>
    <t>ZESTAWIENIE DOCHODÓW I WYDATKÓW  PLANOWANYCH  NA  PRZEDSIĘWZIĘCIA FINANSOWANE
 ZE ŚRODKÓW WŁASNYCH ORAZ PRZY WSPÓŁUDZIALE ŚRODKÓW, O KTÓRYCH MOWA W ART. 5 UST. 1 PKT 2 I 3 UFP, WG  ŹRÓDEŁ FINANSOWANIA</t>
  </si>
  <si>
    <t>1. ZBIORCZE ZESTAWIENIE DOCHODÓW I WYDATKÓW PRZEDSIĘWZIĘĆ FINANSOWANYCH  PRZY WSPÓŁUDZIALE ŚRODKÓW, O KTÓRYCH MOWA W ART. 5 UST. 1 PKT 2 I 3 UFP  WG ŹRÓDEŁ FINANSOWANIA</t>
  </si>
  <si>
    <t>Zrealizowane nakłady/uzyskane dochody</t>
  </si>
  <si>
    <t>Razem 
w latach planu</t>
  </si>
  <si>
    <t>Wyszczególnienie</t>
  </si>
  <si>
    <t>2017 r.</t>
  </si>
  <si>
    <t>2018 r.</t>
  </si>
  <si>
    <t>Wydatki budżetu ogółem, z tego:</t>
  </si>
  <si>
    <t xml:space="preserve"> - wydatki  bieżące </t>
  </si>
  <si>
    <t xml:space="preserve"> - wydatki majątkowe</t>
  </si>
  <si>
    <t>Wydatki ogółem, z tego:</t>
  </si>
  <si>
    <t>środki z budżetu krajowego, z tego:</t>
  </si>
  <si>
    <t>środki z budżetu województwa</t>
  </si>
  <si>
    <t>dotacje celowe z budżetu państwa</t>
  </si>
  <si>
    <t xml:space="preserve">dotacje z budżetu państwa na zadania zlecone </t>
  </si>
  <si>
    <t>dotacje celowe od innych jst</t>
  </si>
  <si>
    <t xml:space="preserve">środki z funduszy </t>
  </si>
  <si>
    <t>dotacje z budżetu państwa - kontrakt wojewódzki</t>
  </si>
  <si>
    <t>środki z budżetu UE, z tego:</t>
  </si>
  <si>
    <t xml:space="preserve">środki z innych źródeł </t>
  </si>
  <si>
    <t>środki z Unii Europejskiej</t>
  </si>
  <si>
    <t>dotacje celowe / płatności z UE</t>
  </si>
  <si>
    <t>Dochody ogółem, z tego:</t>
  </si>
  <si>
    <t>X</t>
  </si>
  <si>
    <t xml:space="preserve">środki z budżetu krajowego, z tego: </t>
  </si>
  <si>
    <t xml:space="preserve">środki na wkład własny krajowy </t>
  </si>
  <si>
    <t>środki na dofinansowanie własnych inwestycji pozyskane z innych źródeł</t>
  </si>
  <si>
    <t>Wydatki z budżetu województwa ogółem</t>
  </si>
  <si>
    <t>Dochody budżetu województwa ogółem</t>
  </si>
  <si>
    <t>2. ZBIORCZE  ZESTAWIENIE DOCHODÓW I WYDATKÓW  POZOSTAŁYCH  PRZEDSIĘWZIĘĆ  WG  ŹRÓDEŁ FINANSOWANIA</t>
  </si>
  <si>
    <t xml:space="preserve"> - wydatki majątkowe </t>
  </si>
  <si>
    <t>środki z budżetu województwa *</t>
  </si>
  <si>
    <t>środki własne jos (poza budżetem)</t>
  </si>
  <si>
    <t>dotacja z budżetu województwa (m.in. dla jos)</t>
  </si>
  <si>
    <t>dotacje celowe z budżetu państwa (poza budżetem)</t>
  </si>
  <si>
    <t>dotacje celowe / płatności z UE (poza budżetem)</t>
  </si>
  <si>
    <t>RAZEM WYDATKI BUDŻETU WOJEWÓDZTWA</t>
  </si>
  <si>
    <t xml:space="preserve"> - WYDATKI BIEŻĄCE </t>
  </si>
  <si>
    <t xml:space="preserve"> - WYDATKI MAJĄTKOWE</t>
  </si>
  <si>
    <t>RAZEM DOCHODY BUDŻETU WOJEWÓDZTWA</t>
  </si>
  <si>
    <t xml:space="preserve"> - DOCHODY BIEŻĄCE</t>
  </si>
  <si>
    <t xml:space="preserve"> - DOCHODY MAJĄTKOWE</t>
  </si>
  <si>
    <t>sprawdzenie</t>
  </si>
  <si>
    <t>Część I - UE</t>
  </si>
  <si>
    <t>DOCHODY BUDŻETU WOJEWÓDZTWA -RAZEM</t>
  </si>
  <si>
    <t>Część II - POZOSTAŁE</t>
  </si>
  <si>
    <t>Razem</t>
  </si>
  <si>
    <t>sprawdzenie   wydatki</t>
  </si>
  <si>
    <t>sprawdzenie    DOCHODY</t>
  </si>
  <si>
    <t xml:space="preserve">środki z budżetu województwa </t>
  </si>
  <si>
    <t>dotacje celowe dla jos</t>
  </si>
  <si>
    <t>dotacje z budżetu państwa na zadania zlecone - wkład własny</t>
  </si>
  <si>
    <t>środki z funduszy celowych</t>
  </si>
  <si>
    <t>dotacje z budżetu państwa na zadania zlecone -wkład unijny</t>
  </si>
  <si>
    <t>środki na wkład własny krajowy</t>
  </si>
  <si>
    <t>dotacje z budżetu państwa na zadania zlecone (WK)</t>
  </si>
  <si>
    <t>dotacje z budżetu państwa na zadania zlecone (WE)</t>
  </si>
  <si>
    <t>dotacje z budżetu państwa na zadania zlecone  (WK)</t>
  </si>
  <si>
    <t>dotacje z budżetu państwa na zadania zlecone  (WE)</t>
  </si>
  <si>
    <t xml:space="preserve">ZMIANY WYDATKI </t>
  </si>
  <si>
    <t xml:space="preserve">ZMIANY DOCHODY </t>
  </si>
  <si>
    <t>x</t>
  </si>
  <si>
    <t>środki z funduszy</t>
  </si>
  <si>
    <t>1.</t>
  </si>
  <si>
    <t>2.</t>
  </si>
  <si>
    <t>3.</t>
  </si>
  <si>
    <t>4.</t>
  </si>
  <si>
    <t>5.</t>
  </si>
  <si>
    <t xml:space="preserve"> </t>
  </si>
  <si>
    <t>Koncepcja obejścia m Gryfice w ciągu drogi woj. Nr 105 (zachodnie obejscie Gryfic  
w powiązaniu  z drogą  nr 110, drogami gminnymi i powiatowymi)</t>
  </si>
  <si>
    <r>
      <t xml:space="preserve">Tabela Nr 6A  </t>
    </r>
    <r>
      <rPr>
        <i/>
        <sz val="12"/>
        <rFont val="Arial CE"/>
        <charset val="238"/>
      </rPr>
      <t>do Załącznika Nr 3</t>
    </r>
  </si>
  <si>
    <t>Klasyfikacja budżetowa</t>
  </si>
  <si>
    <t>Planowana wartość kosztorysowa zadania / planowane dochody uzyskane na realizację zadania</t>
  </si>
  <si>
    <t xml:space="preserve">Jednostka organizacyjna odpowiedzialna
za realizację </t>
  </si>
  <si>
    <t>Lp</t>
  </si>
  <si>
    <t>Nazwa zadania 
(Lokalizacja)</t>
  </si>
  <si>
    <t>Wydatki z budżetu ogółem, z tego:</t>
  </si>
  <si>
    <t xml:space="preserve"> - wydatki bieżące</t>
  </si>
  <si>
    <t xml:space="preserve">dotacje celowe z budżetu państwa </t>
  </si>
  <si>
    <t>środki z innych źródeł</t>
  </si>
  <si>
    <t>środki na dofinansowanie inwestycji pozyskane z innych źródeł</t>
  </si>
  <si>
    <t>majątkowe</t>
  </si>
  <si>
    <t>KONTRAKT</t>
  </si>
  <si>
    <t xml:space="preserve">ZZDW w Koszalinie
</t>
  </si>
  <si>
    <t>rozdz. 60013</t>
  </si>
  <si>
    <t>rozdz. 75861</t>
  </si>
  <si>
    <t>ZZDW w Koszalinie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</si>
  <si>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</si>
  <si>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</si>
  <si>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</si>
  <si>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</si>
  <si>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</si>
  <si>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</si>
  <si>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</si>
  <si>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</si>
  <si>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</si>
  <si>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</si>
  <si>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</si>
  <si>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rozdz. 60001</t>
  </si>
  <si>
    <t>18.</t>
  </si>
  <si>
    <t>środki z budżetu UE, w tego:</t>
  </si>
  <si>
    <t>ZZDWw Koszalinie</t>
  </si>
  <si>
    <t>WIiT</t>
  </si>
  <si>
    <t>PROJEKTY  REALIZOWANE  W  RAMACH PO INFRASTRUKTURA I ŚRODOWISKO</t>
  </si>
  <si>
    <t>20.</t>
  </si>
  <si>
    <t xml:space="preserve">WIiT </t>
  </si>
  <si>
    <t>środki z funduszy celowych - Fundusz Kolejowy</t>
  </si>
  <si>
    <t xml:space="preserve">dotacje celowe z budzetu państwa </t>
  </si>
  <si>
    <t>pozostałe środki</t>
  </si>
  <si>
    <t>bieżące</t>
  </si>
  <si>
    <t>WWT</t>
  </si>
  <si>
    <t>rozdz. 60095</t>
  </si>
  <si>
    <t>rodz. 60095</t>
  </si>
  <si>
    <t>II. POZOSTAŁE  PRZEDSIĘWZIĘCIA W ZAKRESIE TRANSPORTU I ŁĄCZNOŚCI</t>
  </si>
  <si>
    <t>dotacja celowa od innych jst</t>
  </si>
  <si>
    <t>6.</t>
  </si>
  <si>
    <t>I. PRZEDSIĘWZIĘCIA FINANSOWANE PRZY WSPÓŁUDZIALE ŚRODKÓW, O KTÓRYCH MOWA W ART. 5 UST. 1 PKT 2 I 3 UFP  W ZAKRESIE POLITYKI  SPOŁECZNEJ  I  ROZWOJU  PRZEDSIĘBIORCZOŚCI</t>
  </si>
  <si>
    <t>Planowana wartość kosztorysowa zadania / dochody uzyskane na realizację zadania</t>
  </si>
  <si>
    <t>3</t>
  </si>
  <si>
    <t>4</t>
  </si>
  <si>
    <t>rozdz. 
85332</t>
  </si>
  <si>
    <t>dotacja z budżetu województwa dla jos</t>
  </si>
  <si>
    <t>dotacje celowe od innych jst (pomoc finansowa i porozumienia)</t>
  </si>
  <si>
    <t>rozdz. 85111</t>
  </si>
  <si>
    <t>środki własne jos</t>
  </si>
  <si>
    <t>dotacja z budżetu wojewodztwa dla jos</t>
  </si>
  <si>
    <t>rozdz. 75704</t>
  </si>
  <si>
    <t>środki  z budżetu województwa</t>
  </si>
  <si>
    <r>
      <t xml:space="preserve">Tabela Nr 6D </t>
    </r>
    <r>
      <rPr>
        <i/>
        <sz val="12"/>
        <rFont val="Arial CE"/>
        <charset val="238"/>
      </rPr>
      <t xml:space="preserve"> do Załącznika Nr 3</t>
    </r>
  </si>
  <si>
    <t>I. PRZEDSIĘWZIĘCIA  FINANSOWANE PRZY WSPÓŁUDZIALE ŚRODKÓW, O KTÓRYCH MOWA W ART. 5 UST. 1 PKT 2 I 3 UFP W ZAKRESIE OŚWIATY I EDUKACYJNEJ OPIEKI WYCHOWAWCZEJ</t>
  </si>
  <si>
    <t>Planowana wartość kosztorysowa zadania /  dochody uzyskane na realizację zadania</t>
  </si>
  <si>
    <t xml:space="preserve">
Sekretariat ds.Młodzieży Województwa Zachodnio - pomorskiego 
pod nadzorem WWT</t>
  </si>
  <si>
    <t>rozdz. 80195</t>
  </si>
  <si>
    <t>Centrum Edukacji Nauczycieli w Koszalinie - nadzór WEiS</t>
  </si>
  <si>
    <t>rozdz. 80146</t>
  </si>
  <si>
    <t>II. POZOSTAŁE PRZEDSIĘWZIĘCIA  INWESTYCYJNE W ZAKRESIE OŚWIATY I EDUKACYJNEJ OPIEKI WYCHOWAWCZEJ</t>
  </si>
  <si>
    <t>dotacja z budżetu państwa (poza budżetem)</t>
  </si>
  <si>
    <t xml:space="preserve">dotacja z budżetu województwa </t>
  </si>
  <si>
    <t>środki budżetu województwa  (np.zwrot podatku VAT)</t>
  </si>
  <si>
    <t>Modernizacja Policealnej Szkoły Medycznej w Szczecinie - Wojewódzkiego Zespołu Szkół Policealnych w Szczecinie (2009-2016) Etap I i II</t>
  </si>
  <si>
    <t>Policealna Szkoła Medyczna 
w Szczecinie / Wojewódzki Zespół Szkół Policealnych w Szczecinie - nadzór WEiS</t>
  </si>
  <si>
    <t>rozdz. 
80130
85410</t>
  </si>
  <si>
    <t>Opracowanie projektu i modernizacja obiektu 
przy ul. J. Sowińskiego 68 w Szczecinie w zakresie montażu klimatyzacji (2011-2012)</t>
  </si>
  <si>
    <t>Zachodniopomorskie Centrum Doskonalenia Nauczycieli - nadzór WEiS</t>
  </si>
  <si>
    <t>rozdz.       80146</t>
  </si>
  <si>
    <t>rozdz.
80395</t>
  </si>
  <si>
    <t>środki budżetu województwa  (zwrot podatku VAT)</t>
  </si>
  <si>
    <t xml:space="preserve">I. PRZEDSIĘWZIĘCIA FINANSOWANE PRZY WSPÓŁUDZIALE ŚRODKÓW, O KTÓRYCH MOWA W ART. 5 UST. 1 PKT 2 I 3 UFP W ZAKRESIE ADMINISTRACJI I  TELEKOMUNIKACJI </t>
  </si>
  <si>
    <t>rozdz. 75018</t>
  </si>
  <si>
    <t>z tego:</t>
  </si>
  <si>
    <t xml:space="preserve"> - WZS</t>
  </si>
  <si>
    <t xml:space="preserve"> - WW RPO</t>
  </si>
  <si>
    <t xml:space="preserve"> - WOiRZL</t>
  </si>
  <si>
    <t xml:space="preserve"> - GM</t>
  </si>
  <si>
    <t xml:space="preserve">II. POZOSTAŁE  PRZEDSIĘWZIĘCIA  W ZAKRESIE ADMINISTRACJI I  TELEKOMUNIKACJI </t>
  </si>
  <si>
    <t>rozdz. 70005</t>
  </si>
  <si>
    <t xml:space="preserve">II. POZOSTAŁE PRZEDSIĘWZIĘCIA INWESTYCYJNE W ZAKRESIE KULTURY I OCHRONY DZIEDZICTWA NARODOWEGO </t>
  </si>
  <si>
    <t xml:space="preserve">dotacje z budżetu województwa dla jos </t>
  </si>
  <si>
    <t>Muzeum Narodowe w Szczecinie - nadzór WKNiDN</t>
  </si>
  <si>
    <t>rozdz. 92118</t>
  </si>
  <si>
    <t>Opera na Zamku 
w Szczecinie - nadzór WKNiDN</t>
  </si>
  <si>
    <t>rozdz. 92106</t>
  </si>
  <si>
    <t>Zamek Książąt Pomorskich 
w Szczecinie - nadzór WKNiDN</t>
  </si>
  <si>
    <t>rozdz.
92109</t>
  </si>
  <si>
    <t>Zachodniopomorski Zarząd Melioracji i Urządzeń Wodnych pod nadzorem Wydziału Rolnictwa i Rybactwa</t>
  </si>
  <si>
    <t>rozdz. 01008</t>
  </si>
  <si>
    <t>rozdz. 01041</t>
  </si>
  <si>
    <t xml:space="preserve">II. POZOSTAŁE  PRZEDSIĘWZIĘCIA W ZAKRESIE ROLNICTWA I OCHRONY ŚRODOWISKA </t>
  </si>
  <si>
    <t>I. PRZEDSIĘWZIĘCIA FINANSOWANE PRZY WSPÓŁUDZIALE ŚRODKÓW, O KTÓRYCH MOWA W ART. 5 UST. 1 PKT 2 I 3 UFP W ZAKRESIE KULTURY FIZYCZNEJ  I TURYSTYKI</t>
  </si>
  <si>
    <t>rozdz. 63003</t>
  </si>
  <si>
    <t xml:space="preserve">bieżące </t>
  </si>
  <si>
    <t xml:space="preserve">II. POZOSTAŁE  PRZEDSIĘWZIĘCIA  W ZAKRESIE KULTURY FIZYCZNEJ I TURYSTYKI </t>
  </si>
  <si>
    <t>WEiS</t>
  </si>
  <si>
    <t>rozdz. 92605      92695</t>
  </si>
  <si>
    <t>dotacja z budżetu województwa</t>
  </si>
  <si>
    <t>Akademia Sztuki             w Szczecinie pod nadzorem Wydziału Edukacji  i Sportu</t>
  </si>
  <si>
    <t>I. PRZEDSIĘWZIĘCIA FINANSOWANE PRZY WSPÓŁUDZIALE ŚRODKÓW, O KTÓRYCH MOWA W ART. 5 UST. 1 PKT 2 I 3 UFP W ZAKRESIE ROZWOJU REGIONALNEGO I PLANOWANIA PRZESTRZENNEGO</t>
  </si>
  <si>
    <t>Modernizacja budynku internatu przy pl. Orła Białego 2 
w Szczecinie Akademii Sztuki w Szczecinie  (2013-2015)</t>
  </si>
  <si>
    <t>rozdz. 75095</t>
  </si>
  <si>
    <t>2019 r.</t>
  </si>
  <si>
    <t xml:space="preserve">2020 r. </t>
  </si>
  <si>
    <t>2020 r.</t>
  </si>
  <si>
    <t>Akademia Sztuki   
w Szczecinie 
pod nadzorem Wydziału Edukacji  
i Sportu</t>
  </si>
  <si>
    <t xml:space="preserve">Dofinansowanie kolejowych przewozów pasażerskich (2013-2020) </t>
  </si>
  <si>
    <t>Objęcie nowych udziałów w Spółce Port Lotniczy Szczecin-Goleniów (2008-2020)</t>
  </si>
  <si>
    <t>środki  budżetu województwa (w tym zwrot podatku VAT)</t>
  </si>
  <si>
    <t>środki budżetu województwa</t>
  </si>
  <si>
    <t>środki własne budżetu województwa</t>
  </si>
  <si>
    <t>rozdz. 92502</t>
  </si>
  <si>
    <t>Parki Krajobrazowe Województwa Zachodniopomorskiego nadzór WTiG</t>
  </si>
  <si>
    <t>Środki z budżetu krajowego, z tego:</t>
  </si>
  <si>
    <t>rozdz. 75863</t>
  </si>
  <si>
    <t>22.</t>
  </si>
  <si>
    <t>WTiG</t>
  </si>
  <si>
    <t>A</t>
  </si>
  <si>
    <t>B</t>
  </si>
  <si>
    <t xml:space="preserve">II. POZOSTAŁE PRZEDSIĘWZIĘCIA W ZAKRESIE OCHRONY ZDROWIA </t>
  </si>
  <si>
    <t>I. PRZEDSIĘWZIĘCIA FINANSOWANE PRZY WSPÓŁUDZIALE ŚRODKÓW, O KTÓRYCH MOWA W ART. 5 UST. 1 PKT 2 I 3 UFP W ZAKRESIE TRANSPORTU I ŁĄCZNOŚCI</t>
  </si>
  <si>
    <t xml:space="preserve">I. PRZEDSIĘWZIĘCIA INWESTYCYJNE FINANSOWANE PRZY WSPÓŁUDZIALE ŚRODKÓW, O KTÓRYCH MOWA W ART. 5 UST. 1 PKT 2 I 3 UFP W ZAKRESIE ROLNICTWA I OCHRONY ŚRODOWISKA </t>
  </si>
  <si>
    <t>WZS/ WIiT</t>
  </si>
  <si>
    <t>rodz.  75863</t>
  </si>
  <si>
    <t xml:space="preserve">PROJEKTY REALIZOWANE W RAMACH POZOSTAŁYCH FUNDUSZY UE </t>
  </si>
  <si>
    <t>Lider Zachodniopomorski w ramach Programu "Młodzież w działaniu", Akcja 5.1. - Spotkania młodzieży i osób odpowiedzialnych za politykę młodzieżową (2013-2014)</t>
  </si>
  <si>
    <r>
      <t>Akademia Zmienia Szczecin - Modernizacja Pałacu pod Globusem</t>
    </r>
    <r>
      <rPr>
        <sz val="9"/>
        <rFont val="Arial CE"/>
        <charset val="238"/>
      </rPr>
      <t xml:space="preserve"> w ramach RPO WZ, Osi VI: Rozwój Funkcji Metropolitarnych</t>
    </r>
    <r>
      <rPr>
        <b/>
        <sz val="9"/>
        <rFont val="Arial CE"/>
        <family val="2"/>
        <charset val="238"/>
      </rPr>
      <t xml:space="preserve"> (2013-2014)</t>
    </r>
  </si>
  <si>
    <t xml:space="preserve">dotacje celowe  z budżetu państwa </t>
  </si>
  <si>
    <t>środki z Unii Europejskiej (refundacja)</t>
  </si>
  <si>
    <t>spr źródeł</t>
  </si>
  <si>
    <t>spr doch suma dziedzin</t>
  </si>
  <si>
    <t>poręczenia dla ZOZ-ów</t>
  </si>
  <si>
    <t>czekam na pismo do uzunięcia</t>
  </si>
  <si>
    <t>PROJEKTY  REALIZOWANE  W  RAMACH RPO WZ 2007-2013 oraz RPO WZ 2014 - 2020</t>
  </si>
  <si>
    <t>rozdz. 75864</t>
  </si>
  <si>
    <t xml:space="preserve"> - Gmina i Miasto Koszalin</t>
  </si>
  <si>
    <t xml:space="preserve"> - WFOŚiGW</t>
  </si>
  <si>
    <t>spr</t>
  </si>
  <si>
    <r>
      <t>Dochody PT 2014-2020 w latach 2021-2023 (</t>
    </r>
    <r>
      <rPr>
        <b/>
        <sz val="10"/>
        <rFont val="Arial"/>
        <family val="2"/>
        <charset val="238"/>
      </rPr>
      <t>płatności)</t>
    </r>
  </si>
  <si>
    <t>Razem wydatki w latach 2014-2020</t>
  </si>
  <si>
    <t>Wydatki (WW) PT 2014-2020 - lata 2021-2023</t>
  </si>
  <si>
    <t>wydatki w latach 2021-23 PT RPO</t>
  </si>
  <si>
    <t>2023 r.</t>
  </si>
  <si>
    <t>2021 r.</t>
  </si>
  <si>
    <t>2022 r.</t>
  </si>
  <si>
    <t xml:space="preserve">2021 r. </t>
  </si>
  <si>
    <t xml:space="preserve">2022 r. </t>
  </si>
  <si>
    <t xml:space="preserve">2023 r. </t>
  </si>
  <si>
    <t>Oś X, Pomoc techniczna RPO WZ 2014 - 2020 (2015-2023)</t>
  </si>
  <si>
    <t>Zakupy inwestycyjne w ramach Osi X - Pomoc techniczna RPO WZ 2014 - 2020 (2015-2023)</t>
  </si>
  <si>
    <t>Zachodniopomorskie Centrum Kształcenia Zawodowego i Ustawicznego w Szczecinie - nadzór WEiS</t>
  </si>
  <si>
    <t>rozdz. 80130</t>
  </si>
  <si>
    <t>Zrealizowane nakłady/
uzyskane dochody</t>
  </si>
  <si>
    <t xml:space="preserve">Zrealizowane nakłady/
uzyskane dochody </t>
  </si>
  <si>
    <t xml:space="preserve"> - Gmina i Miasto Koszalin/ AZR</t>
  </si>
  <si>
    <t xml:space="preserve"> - WFOŚiGW/AZR</t>
  </si>
  <si>
    <t>Sieć Punktów Informacyjnych Funduszy Europejskich (PIFE) w Województwie Zachodniopomorskim w ramach PO Pomoc Techniczna (2015-2020)</t>
  </si>
  <si>
    <t>II. POZOSTAŁE  PRZEDSIĘWZIĘCIA  W ZAKRESIE ROZWOJU REGIONALNEGO I PLANOWANIA PRZESTRZENNEGO</t>
  </si>
  <si>
    <t>rozdz. 71003</t>
  </si>
  <si>
    <t>C.</t>
  </si>
  <si>
    <t>D.</t>
  </si>
  <si>
    <t>WYDATKI OGÓŁEM</t>
  </si>
  <si>
    <t>dotacje celowe / płatności z UE (w ramach działania 10.1 RPO WZ 2014-2020)</t>
  </si>
  <si>
    <t>dotacje celowe / płatności z UE (w ramach działania 2.13 RPO WZ 2014-2020)</t>
  </si>
  <si>
    <t>dotacje celowe / płatności z UE ( w ramach działania 2.1 RPO WZ 2014-2020)</t>
  </si>
  <si>
    <t>DOCHODY OGÓŁEM, z tego:</t>
  </si>
  <si>
    <t>DOCHODY OGÓŁEM</t>
  </si>
  <si>
    <t>Konsolidacja siedziby Urzędu Marszałkowskiego - etap A</t>
  </si>
  <si>
    <t>dotacje celowe / płatności z UE (w ramach działanie 10.1 RPO WZ 2014-2020)</t>
  </si>
  <si>
    <t>dotacje celowe / płatności z UE (w ramach działania 10.1  RPO WZ 2014-2020)</t>
  </si>
  <si>
    <t>dotacje celowe / płatności z UE (w ramach działania 2.13  RPO WZ 2014-2020)</t>
  </si>
  <si>
    <t>Konsolidacja siedziby Urzędu Marszałkowskiego - etap B</t>
  </si>
  <si>
    <t>dotacje celowe / płatności z UE ( w ramach działania 10.1 RPO WZ 2014-2020)</t>
  </si>
  <si>
    <t>dotacje celowe / płatności z UE (w ramach działania 2.1 RPO WZ 2014-2020)</t>
  </si>
  <si>
    <t>rozdział 75018</t>
  </si>
  <si>
    <t>środki poza budżetem</t>
  </si>
  <si>
    <t>24.</t>
  </si>
  <si>
    <t>m</t>
  </si>
  <si>
    <t>b</t>
  </si>
  <si>
    <t>Konsolidacja UM dochody</t>
  </si>
  <si>
    <t>rozdz. 75863
75864</t>
  </si>
  <si>
    <t>19.</t>
  </si>
  <si>
    <t>21.</t>
  </si>
  <si>
    <t>WOiRZL</t>
  </si>
  <si>
    <t xml:space="preserve">Wsparcie gmin w opracowaniu albo aktualizacji programów rewitalizacji w ramach PO Pomoc Techniczna (2016 - 2018) </t>
  </si>
  <si>
    <t>9b</t>
  </si>
  <si>
    <t>9c</t>
  </si>
  <si>
    <r>
      <t xml:space="preserve">Znaczenie nowoczesnych technologii w motywowaniu dorosłych z terenów defaworyzowanych do uczenia się </t>
    </r>
    <r>
      <rPr>
        <sz val="9"/>
        <rFont val="Arial CE"/>
        <charset val="238"/>
      </rPr>
      <t>w ramach Programu LLP „Uczenie się przez całe życie” – GRUNDTVIG</t>
    </r>
    <r>
      <rPr>
        <b/>
        <sz val="9"/>
        <rFont val="Arial CE"/>
        <charset val="238"/>
      </rPr>
      <t xml:space="preserve"> (2013-2015)</t>
    </r>
  </si>
  <si>
    <t>środki z budżetu województwa (subwencja)</t>
  </si>
  <si>
    <t>Oś X, Pomoc techniczna RPO WZ 2014-2020 (2015-2023)</t>
  </si>
  <si>
    <t>Konsolidacja siedziby Urzędu Marszałkowskiego Województwa Zachodniopomorskiego - razem etap A i B  (2016-2020)</t>
  </si>
  <si>
    <t>rozdz. 
60001
75863</t>
  </si>
  <si>
    <t>Brak decyzji</t>
  </si>
  <si>
    <t>Wspieranie innowacyjnych ekosystemów przedsiębiorczości w regionach na rzecz młodych przedsiębiorców (iEER) w ramach Interreg VC (2016-2020)</t>
  </si>
  <si>
    <t>rozdz. 
15011</t>
  </si>
  <si>
    <t>WWT/WOiRZL</t>
  </si>
  <si>
    <t>Sieć Punktów Informacyjnych Funduszy Europejskich (PIFE) w Województwie Zachodniopomorskim w ramach PO Pomoc Techniczna - zakupy inwestycyjne  (2015-2020)</t>
  </si>
  <si>
    <t xml:space="preserve">2. </t>
  </si>
  <si>
    <t>ROPS</t>
  </si>
  <si>
    <t>rozdz.
75864</t>
  </si>
  <si>
    <t xml:space="preserve">rozdz. 
75018
85395
</t>
  </si>
  <si>
    <t>WRiR</t>
  </si>
  <si>
    <t>WWT/
WOiRZL</t>
  </si>
  <si>
    <t>ROPS/
WOiRZL</t>
  </si>
  <si>
    <t>Regionalny Szpital 
w Kołobrzegu 
pod nadzorem WZ</t>
  </si>
  <si>
    <t>WZS</t>
  </si>
  <si>
    <t>WIiN, WZS</t>
  </si>
  <si>
    <t>WIiN</t>
  </si>
  <si>
    <t>WA, WSIiI</t>
  </si>
  <si>
    <t>Wspieranie realizacji zadań publicznych Województwa Zachodniopomorskiego w zakresie upowszechniania kultury fizycznej (2014-2019)</t>
  </si>
  <si>
    <t xml:space="preserve">WPROW 
</t>
  </si>
  <si>
    <t>RBGP WZ w Szczecinie pod nadzorem WZS</t>
  </si>
  <si>
    <t>Bieżące utrzymanie dróg i mostów (2017-2020)</t>
  </si>
  <si>
    <t>Przebudowa dróg i mostów (2017-2020)</t>
  </si>
  <si>
    <t>Sprawdzenie wydatki z budżetu (UM +WUP + IP)</t>
  </si>
  <si>
    <t>Sprawdzenie dochody z budżetu (UM + WUP+IZ)</t>
  </si>
  <si>
    <t>Wydatki bieżące PT Oś X (UM + IP)</t>
  </si>
  <si>
    <t>Wydatki majątkowe PT Oś X (UM + IP)</t>
  </si>
  <si>
    <t>Konsolidacja UM wydatki</t>
  </si>
  <si>
    <t>PT oś X dochody ogółem w budżecie</t>
  </si>
  <si>
    <t>PT oś X wydatki ogółem w budżecie</t>
  </si>
  <si>
    <t>Dokumentacje techniczne na zadania drogowe (2011-2020)</t>
  </si>
  <si>
    <t>Oś X, Pomoc techniczna RPO WZ 2014-2020 - wydatki majątkowe (2015-2023)</t>
  </si>
  <si>
    <t>dotacje celowe/płatności z UE</t>
  </si>
  <si>
    <t>rozdz. 92109</t>
  </si>
  <si>
    <t>Zamek Książąt Pomorskich w Szczecinie - nadzór WKNiDN</t>
  </si>
  <si>
    <t>rozdz. 71012</t>
  </si>
  <si>
    <t xml:space="preserve">
WWT/
WOiRZL</t>
  </si>
  <si>
    <t xml:space="preserve">Zakupy inwestycyjne w ramach wsparcia gmin w opracowaniu albo aktualizacji programów rewitalizacji w ramach PO Pomoc Techniczna (2016 - 2018) </t>
  </si>
  <si>
    <t>majątkowe/
bieżące*</t>
  </si>
  <si>
    <t>rozdz. 
15011
75018</t>
  </si>
  <si>
    <t xml:space="preserve"> - Gmina i Miasto Koszalin/AZR</t>
  </si>
  <si>
    <r>
      <t xml:space="preserve">Projekt pn. "Europejskie Standardy w Opiece nad Osobami Starszymi" </t>
    </r>
    <r>
      <rPr>
        <sz val="9"/>
        <rFont val="Arial CE"/>
        <charset val="238"/>
      </rPr>
      <t>w ramach Programu Erasmus+</t>
    </r>
    <r>
      <rPr>
        <b/>
        <sz val="9"/>
        <rFont val="Arial CE"/>
        <charset val="238"/>
      </rPr>
      <t xml:space="preserve"> (2015-2016)</t>
    </r>
  </si>
  <si>
    <t>BW</t>
  </si>
  <si>
    <t>rozdz. 01078</t>
  </si>
  <si>
    <t>Utrzymanie szlaków rowerowych na wybranych odcinkach wałów przeciwpowodziowych w Województwie Zachodniopomorskim</t>
  </si>
  <si>
    <t>Utrzymanie szlaków rowerowych na wybranych odcinkach wałów przeciwpowodziowych w Województwie Zachodniopomorskim (2019 - 2023)</t>
  </si>
  <si>
    <t>Zespół Parków Krajobrazowych WZ pod nadzorem WTG</t>
  </si>
  <si>
    <r>
      <t xml:space="preserve">Tabela Nr 6  </t>
    </r>
    <r>
      <rPr>
        <i/>
        <sz val="12"/>
        <rFont val="Arial CE"/>
        <charset val="238"/>
      </rPr>
      <t xml:space="preserve">do załącznika Nr 3 </t>
    </r>
  </si>
  <si>
    <r>
      <t xml:space="preserve"> - wydatki bieżące</t>
    </r>
    <r>
      <rPr>
        <b/>
        <sz val="12"/>
        <rFont val="Arial CE"/>
        <charset val="238"/>
      </rPr>
      <t xml:space="preserve"> </t>
    </r>
  </si>
  <si>
    <t>rozdz. 63003,    75018</t>
  </si>
  <si>
    <t>rozdz. 92116</t>
  </si>
  <si>
    <t>Książnica Pomorska w Szczecinie - nadzór WKNiDN</t>
  </si>
  <si>
    <t xml:space="preserve"> - WWŚRPO</t>
  </si>
  <si>
    <t>WWŚRPO</t>
  </si>
  <si>
    <t>WTiG / WOiRZL</t>
  </si>
  <si>
    <t>- środki z budżetu województwa WTiG</t>
  </si>
  <si>
    <t>- środki z budżetu województwa WOiRZL</t>
  </si>
  <si>
    <t>- dotacje celowe / płatności z UE WOiRZL</t>
  </si>
  <si>
    <t>- dotacje celowe / płatności z UE WTiG</t>
  </si>
  <si>
    <t>rozdz. 75018
75095
90011*</t>
  </si>
  <si>
    <t xml:space="preserve"> * dotyczy wykonania wydatków WFOŚiGW</t>
  </si>
  <si>
    <t>WZS, WWRPO, WOiRZL, GM, WWŚRPO</t>
  </si>
  <si>
    <t>Samodzielny Publiczny Wojewódzki
Szpital
 Zespolony w Szczecinie pod nadzorem WZ</t>
  </si>
  <si>
    <t>Limit` 17</t>
  </si>
  <si>
    <t>Wykonanie wg sprawozdania</t>
  </si>
  <si>
    <t xml:space="preserve">Różnica
</t>
  </si>
  <si>
    <t>Utrzymanie i naprawy pojazdów szynowych Województwa (2015 -2020)</t>
  </si>
  <si>
    <t>WZS, WWRPO, GM, WWŚRPO</t>
  </si>
  <si>
    <t>Budowa wiaduktu w m. Rzeczyca w ciągu drogi nr 206 (2017-2018)</t>
  </si>
  <si>
    <t>Zintegrowane wsparcie dla rodzin i pieczy zastępczej na terenie województwa zachodniopomorskiego w ramach działania 7.6 RPO WZ (2017-2018)</t>
  </si>
  <si>
    <t>rozdz. 
75864</t>
  </si>
  <si>
    <t>rozdz. 
75863</t>
  </si>
  <si>
    <t>GM</t>
  </si>
  <si>
    <t>COiE</t>
  </si>
  <si>
    <t>rozdz. 
75018
75075</t>
  </si>
  <si>
    <t>rozdz. 
75075</t>
  </si>
  <si>
    <t>w tym:</t>
  </si>
  <si>
    <t>rozdz. 71095</t>
  </si>
  <si>
    <t>Strategia Rozwoju Województwa Zachodniopomorskiego do roku 2030 - badania, analizy i oceny eksperckie (2017-2018)</t>
  </si>
  <si>
    <t xml:space="preserve">w 2016 r. przesunięcie między źródłami fin o kwotę 747 zł </t>
  </si>
  <si>
    <t>2016 r. uwzględniono dokumentację</t>
  </si>
  <si>
    <t xml:space="preserve"> - dziedziny</t>
  </si>
  <si>
    <t>CZĘŚĆ I</t>
  </si>
  <si>
    <t>DOCHODY BIEŻĄCE</t>
  </si>
  <si>
    <t>DOCHODY MAJĄTKOWE</t>
  </si>
  <si>
    <t>suma</t>
  </si>
  <si>
    <t>◄ kwota poręczeń w latach 2021-2032</t>
  </si>
  <si>
    <t>brak umowy</t>
  </si>
  <si>
    <t>Wieloletnie umowy mające na celu zapewnienie ciągłości działania Urzędu Marszałkowskiego Województwa Zachodniopomorskiego (2012 - 2020)</t>
  </si>
  <si>
    <r>
      <t xml:space="preserve">Zakup kolejowego taboru pasażerskiego o napędzie spalinowym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(2016-2017)</t>
    </r>
  </si>
  <si>
    <t xml:space="preserve">► różnica </t>
  </si>
  <si>
    <t>Decyzja jest - do uzupełnienia - po 5 czerwca</t>
  </si>
  <si>
    <t>rozdz.
60095</t>
  </si>
  <si>
    <t>rozdz. 60095
75018</t>
  </si>
  <si>
    <t>Regionalny Punkt Kontaktowy - Pomoc Techniczna w ramach Programu Współpracy INTERREG VA - wydatki bieżące (2016-2020)</t>
  </si>
  <si>
    <t>Przebudowa odcinków szlakowych dróg wojewódzkich (2017-2019)</t>
  </si>
  <si>
    <t>rozdz. 63003/75018</t>
  </si>
  <si>
    <t>WTIG</t>
  </si>
  <si>
    <t>Modernizacja sieci komputerowej logicznej i elektrycznej w Książnicy Pomorskiej (2017-2018)</t>
  </si>
  <si>
    <t>Decyzja podpisana - po 5 czerwca</t>
  </si>
  <si>
    <t xml:space="preserve">rozdz. 92502,   75863 </t>
  </si>
  <si>
    <t>rozdz. 
60013</t>
  </si>
  <si>
    <t>umowa</t>
  </si>
  <si>
    <t>kontynuowane</t>
  </si>
  <si>
    <t>Bałtyckie trasy dziedzictwa w ramach Programu Interreg Południowy Bałtyk (2017-2020)</t>
  </si>
  <si>
    <t>Regionalny Punkt Kontaktowy - Pomoc Techniczna w ramach Programu Współpracy INTERREG VA - wydatki majątkowe  (2016-2020)</t>
  </si>
  <si>
    <r>
      <t>dotacje celowe od innych jst</t>
    </r>
    <r>
      <rPr>
        <sz val="8"/>
        <rFont val="Arial CE"/>
        <charset val="238"/>
      </rPr>
      <t xml:space="preserve"> (pomoc finansowa i porozumienia)</t>
    </r>
  </si>
  <si>
    <t>Poręczenie pożyczki dla Regionalnego Szpitala w Kołobrzegu na dofinansowanie realizacji zadania inwestycyjnego pn. Poprawa efektywności energetycznej budynków Szpitala Regionalnego w Kołobrzegu (2016 - 2028)*</t>
  </si>
  <si>
    <r>
      <t xml:space="preserve">* w latach 2024- 2028 kwota poręczenia dla Regionalnego Szpitala w Kołobrzegu wynosi </t>
    </r>
    <r>
      <rPr>
        <b/>
        <i/>
        <sz val="8"/>
        <rFont val="Arial CE"/>
        <charset val="238"/>
      </rPr>
      <t>1.050.002 zł.</t>
    </r>
  </si>
  <si>
    <t>Poręczenie kredytu konsolidacyjnego dla Samodzielnego Publicznego Wojewódzkiego Szpitala Zespolonego  w Szczecinie (2017-2032)**</t>
  </si>
  <si>
    <t>dotacje celowe / płatności z UE**</t>
  </si>
  <si>
    <t>Wsparcie techniczne Interreg VA Południowy Bałtyk - wydatki bieżące (2015-2020)</t>
  </si>
  <si>
    <t>Poręczenie kredytu dla Szpitala w Szczecinie Zdunowie - następca prawny SPWSZ w Szczecinie  (2014-2022)</t>
  </si>
  <si>
    <t>do 2016 r.</t>
  </si>
  <si>
    <t>do 2016</t>
  </si>
  <si>
    <t>8a</t>
  </si>
  <si>
    <t>8b</t>
  </si>
  <si>
    <t>Ubezpieczenie taboru kolejowego Województwa (2011-2021)</t>
  </si>
  <si>
    <t xml:space="preserve">Usługi telekomunikacyjne dla pojazdów szynowych Województwa (2015-2021) </t>
  </si>
  <si>
    <t>Wymiana i rozbudowa parku maszyn i urządzeń ZZDW w Koszalinie (2016-2018)</t>
  </si>
  <si>
    <t>decyzja z 25.09.17</t>
  </si>
  <si>
    <t xml:space="preserve">* kwota wykonania 2016 r. (250 844 zł) jednak nie jest zgodna ze sprawozdaniem RB, wynika z faktycznie poniesionych przez jednostkę wydatków </t>
  </si>
  <si>
    <t>Prognozowane nakłady inwestycyjne /dochody 
w latach 2018 - 2023</t>
  </si>
  <si>
    <r>
      <t>Limit zobowiązań na lata 2018-20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</si>
  <si>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Prognozowane nakłady inwestycyjne / dochody z tytułu realizacji projektów  w latach 2018-2023</t>
  </si>
  <si>
    <t>Limity zobowiązań 2018-2023 i lata następne</t>
  </si>
  <si>
    <t>GM/COIiE/WWT, WTiG/WOiRZL</t>
  </si>
  <si>
    <t>Zrealizowane nakłady/ 
uzyskane dochody do 2016 r.</t>
  </si>
  <si>
    <t>Zrealizowane nakłady/
uzyskane dochody w 2016 r.</t>
  </si>
  <si>
    <t>Limity zobowiązań 2018-2023  i lata następne</t>
  </si>
  <si>
    <r>
      <t xml:space="preserve">Tabela Nr 6F </t>
    </r>
    <r>
      <rPr>
        <i/>
        <sz val="12"/>
        <rFont val="Arial CE"/>
        <charset val="238"/>
      </rPr>
      <t xml:space="preserve"> do Załącznika Nr 3</t>
    </r>
  </si>
  <si>
    <t>WUP 
w Szczecinie 
pod nadzorem COIiE</t>
  </si>
  <si>
    <t>WUP
 w Szczecinie 
pod nadzorem COIiE</t>
  </si>
  <si>
    <t>Specjalistyczny Szpital im. A. Sokołowskiego 
w Szczecinie - Zdunowo - następca prawny SPWSZ 
w Szczecinie   
pod nadzorem WZ</t>
  </si>
  <si>
    <t>ZZMiUW w Szczecinie
w likwidacji 
pod nadzorem WRiR</t>
  </si>
  <si>
    <r>
      <t xml:space="preserve">Tabela Nr 6G </t>
    </r>
    <r>
      <rPr>
        <i/>
        <sz val="12"/>
        <rFont val="Arial CE"/>
        <charset val="238"/>
      </rPr>
      <t xml:space="preserve"> do Załącznika Nr 3</t>
    </r>
  </si>
  <si>
    <r>
      <t xml:space="preserve">Tabela Nr 6H </t>
    </r>
    <r>
      <rPr>
        <i/>
        <sz val="12"/>
        <rFont val="Arial CE"/>
        <charset val="238"/>
      </rPr>
      <t>do Załącznika Nr 3</t>
    </r>
  </si>
  <si>
    <r>
      <t xml:space="preserve">Tabela Nr 6I  </t>
    </r>
    <r>
      <rPr>
        <i/>
        <sz val="12"/>
        <rFont val="Arial CE"/>
        <charset val="238"/>
      </rPr>
      <t>do Załącznika Nr 3</t>
    </r>
  </si>
  <si>
    <t>Limity zobowiązań 2017-2023 i lata następne</t>
  </si>
  <si>
    <r>
      <t>Limit zobowiązań na lata 2017-20</t>
    </r>
    <r>
      <rPr>
        <b/>
        <sz val="10"/>
        <rFont val="Arial CE"/>
        <charset val="238"/>
      </rPr>
      <t>23</t>
    </r>
    <r>
      <rPr>
        <b/>
        <sz val="10"/>
        <rFont val="Arial CE"/>
        <family val="2"/>
        <charset val="238"/>
      </rPr>
      <t xml:space="preserve"> 
i lata następne</t>
    </r>
  </si>
  <si>
    <t>Limity zobowiązań 2017-2023  i lata następne</t>
  </si>
  <si>
    <t>Wzmocnienie pozycji regionalnej gospodarki, Pomorze Zachodnie - Ster na innowacje w ramach osi I RPO WZ - wydatki bieżące (2017-2020)</t>
  </si>
  <si>
    <t>Wzmocnienie pozycji regionalnej gospodarki, Pomorze Zachodnie - Ster na innowacje w ramach osi I RPO WZ - wydatki majątkowe (2017-2020)</t>
  </si>
  <si>
    <t>Budowa Morskiego Centrum Nauki w Szczecinie w ramach osi IX RPO WZ 2014-2020 (2011-2022)</t>
  </si>
  <si>
    <t>Morskie Centrum Nauki w Szczecinie i Muzeum Narodowe w Szczecinie - nadzór WKNiDN</t>
  </si>
  <si>
    <t>dotacje celowe z budżetu państwa (poza budzetem)</t>
  </si>
  <si>
    <r>
      <t xml:space="preserve">Uwaga!  </t>
    </r>
    <r>
      <rPr>
        <i/>
        <sz val="8"/>
        <rFont val="Arial CE"/>
        <charset val="238"/>
      </rPr>
      <t>Dotacje celowe/płatności z budżetu UE dla ww. projektów podaje się informacyjnie; nie stanowią one wpływu na rachunek budżetu województwa i nie są ujmowane w planie dochodów budżetu województwa</t>
    </r>
  </si>
  <si>
    <t>środki z budżetu krajowego</t>
  </si>
  <si>
    <t xml:space="preserve"> Muzeum Narodowe w Szczecinie - nadzór WKNiDN</t>
  </si>
  <si>
    <t>Wypłata odszkodowań za nieruchomości pod planowane inwestycje drogowe  (2012-2018)</t>
  </si>
  <si>
    <t>decyzja z listopada 2017</t>
  </si>
  <si>
    <t>CZĘŚĆ II</t>
  </si>
  <si>
    <t>dotacje celowe / płatności z UE ***</t>
  </si>
  <si>
    <t xml:space="preserve">rozdz. 
75018
85295
</t>
  </si>
  <si>
    <t>Dobre Wsparcie - system lokalnych usług społecznych w ramach działania 7.6 RPO WZ - wydatki bieżące (2018-2019)</t>
  </si>
  <si>
    <t>Dobre Wsparcie - system lokalnych usług społecznych w ramach działania 7.6 RPO WZ - wydatki majątkowe (2018-2019)</t>
  </si>
  <si>
    <t xml:space="preserve">rozdz. 
85295
</t>
  </si>
  <si>
    <t>Limit` 18</t>
  </si>
  <si>
    <t>Ekonomia społeczna kluczem do sukcesu - II w ramach działania 7.5 RPO WZ (2018-2019)</t>
  </si>
  <si>
    <t>Wsparcie techniczne Interreg VA Południowy Bałtyk - wydatki majątkowe (2015-2020)</t>
  </si>
  <si>
    <t>Umowa leasingu samochodu osobowego (2016-2019)</t>
  </si>
  <si>
    <r>
      <t xml:space="preserve">Przebudowa drogi woj. nr 109 na odcinku Mrzeżyno - Trzebiatów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(2008-2017)</t>
    </r>
  </si>
  <si>
    <r>
      <t xml:space="preserve">Przebudowa drogi woj. nr 203 na odcinku Iwięcino - Darłowo, etap I Iwięcino - Dąbki </t>
    </r>
    <r>
      <rPr>
        <sz val="9"/>
        <rFont val="Arial CE"/>
        <family val="2"/>
        <charset val="238"/>
      </rPr>
      <t xml:space="preserve">w ramach Osi II RPO </t>
    </r>
    <r>
      <rPr>
        <b/>
        <sz val="9"/>
        <rFont val="Arial CE"/>
        <family val="2"/>
        <charset val="238"/>
      </rPr>
      <t>(2007-2017)</t>
    </r>
  </si>
  <si>
    <r>
      <t xml:space="preserve">Przebudowa drogi woj. nr 167 na odcinku Koszalin - droga nr 168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</si>
  <si>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woj. nr 163 na odcinku Czaplinek - Wałcz  (etap II i III) </t>
    </r>
    <r>
      <rPr>
        <sz val="9"/>
        <rFont val="Arial CE"/>
        <family val="2"/>
        <charset val="238"/>
      </rPr>
      <t>w ramach Osi II RPO</t>
    </r>
    <r>
      <rPr>
        <b/>
        <sz val="9"/>
        <rFont val="Arial CE"/>
        <family val="2"/>
        <charset val="238"/>
      </rPr>
      <t xml:space="preserve"> (2008-2017)</t>
    </r>
  </si>
  <si>
    <r>
      <t xml:space="preserve">Przebudowa drogi wojewódzkiej nr 205 na odcinku Sławno - Polanów, etap przebudowy i rozbudowy przejścia przez m. Sławno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(2011-2017)</t>
    </r>
  </si>
  <si>
    <r>
      <t>Przebudowa drogi wojewódzkiej nr 109 na odcinku Trzebusz - Trzebiatów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(2016-2017)</t>
    </r>
  </si>
  <si>
    <r>
      <t xml:space="preserve">Organizacja Regionalnych spotkań informacyjnych i konsultacji indywidualnych podnoszących wiedzę nt. realizacji projektów </t>
    </r>
    <r>
      <rPr>
        <sz val="9"/>
        <rFont val="Arial CE"/>
        <charset val="238"/>
      </rPr>
      <t>w programie Erasmus+ Edukacja szkolna na lata 2014-2020</t>
    </r>
    <r>
      <rPr>
        <b/>
        <sz val="9"/>
        <rFont val="Arial CE"/>
        <charset val="238"/>
      </rPr>
      <t xml:space="preserve"> (2015-2017)</t>
    </r>
  </si>
  <si>
    <t>Wykonanie 
2017 r.</t>
  </si>
  <si>
    <t>Wykonanie
2017 r.</t>
  </si>
  <si>
    <t>ROPS
WZS</t>
  </si>
  <si>
    <t xml:space="preserve">rozdz. 
75018
85595
</t>
  </si>
  <si>
    <t>rozdz. 
85395</t>
  </si>
  <si>
    <t>Rozbudowa Teatru Polskiego w Szczecinie w ramach RPO WZ (2018-2021)</t>
  </si>
  <si>
    <t xml:space="preserve">ROPS
</t>
  </si>
  <si>
    <t xml:space="preserve">rozdz. 
85595
</t>
  </si>
  <si>
    <t>Likwidacja skutków katastrofy budowlanej w skrzydle północnym Zamku Książąt Pomorskich w Szczecinie (2017-2018)</t>
  </si>
  <si>
    <t xml:space="preserve">Kompleksowe zagospodarowanie tarasów Zamku Książąt Pomorskich w Szczecinie (2015-2020) </t>
  </si>
  <si>
    <t>Oś Priorytetowa VI, Pomoc Techniczna w ramach  PO WER 2014 - 2020 (2015-2023)</t>
  </si>
  <si>
    <t>Azymut-Samodzielność w ramach, Osi II, działania 2.8 PO WER (2018-2022)</t>
  </si>
  <si>
    <t>Kurs na Rodzinę w ramach działania 7.6 RPO WZ (2018-2020)</t>
  </si>
  <si>
    <t>Akademia Rodzica Zastępczego w ramach działania 7.6 RPO WZ (2018-2019)</t>
  </si>
  <si>
    <t>Limity zobowiązań 2018-2032 i lata następne</t>
  </si>
  <si>
    <r>
      <t xml:space="preserve">Zakup kolejowego taboru pasażerskiego o napędzie elektrycznym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</si>
  <si>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Tabela Nr 6B  </t>
    </r>
    <r>
      <rPr>
        <sz val="10"/>
        <rFont val="Arial"/>
        <family val="2"/>
        <charset val="238"/>
      </rPr>
      <t>do Załącznika Nr 3</t>
    </r>
  </si>
  <si>
    <r>
      <t xml:space="preserve">Wolontariat europejski EVS </t>
    </r>
    <r>
      <rPr>
        <sz val="9"/>
        <rFont val="Arial CE"/>
        <charset val="238"/>
      </rPr>
      <t xml:space="preserve">w ramach Programu Erasmus+ </t>
    </r>
    <r>
      <rPr>
        <b/>
        <sz val="9"/>
        <rFont val="Arial CE"/>
        <charset val="238"/>
      </rPr>
      <t xml:space="preserve"> (2016-2018)</t>
    </r>
  </si>
  <si>
    <r>
      <t>rozdz. 92118/</t>
    </r>
    <r>
      <rPr>
        <sz val="8"/>
        <rFont val="Arial CE"/>
        <charset val="238"/>
      </rPr>
      <t xml:space="preserve"> od 2018 roku </t>
    </r>
    <r>
      <rPr>
        <b/>
        <sz val="8"/>
        <rFont val="Arial CE"/>
        <charset val="238"/>
      </rPr>
      <t>- 92114</t>
    </r>
  </si>
  <si>
    <r>
      <t xml:space="preserve">rozdz. 92118/ </t>
    </r>
    <r>
      <rPr>
        <sz val="8"/>
        <rFont val="Arial CE"/>
        <charset val="238"/>
      </rPr>
      <t>od 2018 roku</t>
    </r>
    <r>
      <rPr>
        <b/>
        <sz val="8"/>
        <rFont val="Arial CE"/>
        <charset val="238"/>
      </rPr>
      <t xml:space="preserve"> - 92114</t>
    </r>
  </si>
  <si>
    <t>Przebudowa i rozbudowa przejścia drogi woj. nr 114 przez m. Brzózki w ramach IW INTERREG V A (2016-2017)</t>
  </si>
  <si>
    <t>ROPS/
WZS</t>
  </si>
  <si>
    <t>Gospodarowanie nieruchomościami należącymi do zasobu Województwa Zachodniopomorskiego (2010-2018)</t>
  </si>
  <si>
    <t>Konserwatorskie Niebo - zakup wyposażenia do Pracowni Działu Konserwacji Muzeum Narodowego w Szczecinie w ramach PO IiŚ 2014 - 2020 (2017-2019)</t>
  </si>
  <si>
    <t>rozdz. 60013, 75863</t>
  </si>
  <si>
    <t>rodz.  60013, 75863</t>
  </si>
  <si>
    <t>rozdz. 05011</t>
  </si>
  <si>
    <t>Pomoc Techniczna Programu Operacyjnego „Rybactwo i Morze 2014-2020” (2016-2023)</t>
  </si>
  <si>
    <t>Rozbudowa drogi wojewódzkiej nr 151 na odcinku Płotno-Pełczyce w ramach Osi V RPO WZ (2018-2019)</t>
  </si>
  <si>
    <t xml:space="preserve">Edukacja przyrodnicza w parkach krajobrazowych województwa zachodniopomorskiego w ramach działania 4.5 RPO WZ (2018-2020) </t>
  </si>
  <si>
    <t>Opracowanie projektów planów ochrony 5 parków krajobrazowych oraz aktualizacja planów ochrony 2 parków krajobrazowych w ramach działania 4.8 RPO WZ (2019-2023)</t>
  </si>
  <si>
    <t>Sieć współpracy Skuteczna edukacja w ramach PO WER 2014-2020 (2018-2019)</t>
  </si>
  <si>
    <t>Oś Priorytetowa VI, Pomoc Techniczna w ramach  PO WER 2014-2020 - wydatki majątkowe (2015-2023)</t>
  </si>
  <si>
    <t>Rozbudowa drogi wojewódzkiej nr 114 na szlakowym odcinku Brzózki - Trzebież oraz przebudowa przejścia przez miejscowości Warnołęka i Brzózki w ramach Osi V RPO WZ (2016-2020)</t>
  </si>
  <si>
    <r>
      <t xml:space="preserve">Przebudowa drogi wojewódzkiej nr 203 na odcinku Dąbki -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(2007-2018)</t>
    </r>
  </si>
  <si>
    <t>WIiT / WZS</t>
  </si>
  <si>
    <t>WUP
 w Szczecinie
pod nadzorem COIiE</t>
  </si>
  <si>
    <t>COIiE</t>
  </si>
  <si>
    <r>
      <t>Przebudowa drogi wojewódzkiej nr 142 na odcinku Szczecin - Krzywnica</t>
    </r>
    <r>
      <rPr>
        <sz val="9"/>
        <rFont val="Arial CE"/>
        <family val="2"/>
        <charset val="238"/>
      </rPr>
      <t xml:space="preserve"> w ramach Osi V RPO</t>
    </r>
    <r>
      <rPr>
        <b/>
        <sz val="9"/>
        <rFont val="Arial CE"/>
        <family val="2"/>
        <charset val="238"/>
      </rPr>
      <t xml:space="preserve"> (2016-2018)</t>
    </r>
  </si>
  <si>
    <r>
      <t xml:space="preserve">Prowadzenie Punktu Informacji Europejskiej Europe Direct - Szczecin </t>
    </r>
    <r>
      <rPr>
        <sz val="9"/>
        <rFont val="Arial CE"/>
        <charset val="238"/>
      </rPr>
      <t xml:space="preserve">w ramach środków Komisji Europejskiej </t>
    </r>
    <r>
      <rPr>
        <b/>
        <sz val="9"/>
        <rFont val="Arial CE"/>
        <charset val="238"/>
      </rPr>
      <t>(2013-2020)</t>
    </r>
  </si>
  <si>
    <r>
      <t>Bałtyckie Obszary Energii - Perspektywa Planistyczna BEA-APP</t>
    </r>
    <r>
      <rPr>
        <sz val="9"/>
        <rFont val="Arial CE"/>
        <family val="2"/>
        <charset val="238"/>
      </rPr>
      <t xml:space="preserve"> w ramach programu EWT Region Morza Bałtyckiego (2016-2019)</t>
    </r>
  </si>
  <si>
    <r>
      <t xml:space="preserve">Zrównoważona mobilność na obszarze ostatniej mili w regionach turystycznych (LAST MILE) </t>
    </r>
    <r>
      <rPr>
        <sz val="9"/>
        <rFont val="Arial CE"/>
        <family val="2"/>
        <charset val="238"/>
      </rPr>
      <t>w ramach programu EWT Region Morza Bałtyckiego (2016-2020)</t>
    </r>
  </si>
  <si>
    <t>Kooperacja - efektywna i skuteczna w ramach działania 2.5. PO WER (2018-2021)</t>
  </si>
  <si>
    <t>Nawigator Samodzielności w ramach działania 7.6 RPO WZ (2018-2020)</t>
  </si>
  <si>
    <t>Nawigator Samodzielności w ramach działania 7.6 RPO WZ - wydatki majątkowe (2018 - 2020)</t>
  </si>
  <si>
    <t>"Zachodniopomorskie Małe Skarby" w ramach działania 6.6 RPO WZ 2014-2020 (2018-2020)</t>
  </si>
  <si>
    <t>wkład własny (poza budżetem)</t>
  </si>
  <si>
    <t>Remont instalacji elektrycznej skrzydła Menniczego budynku Zamku Książąt Pomorskich w Szczecinie (2018-2019)</t>
  </si>
  <si>
    <t>do końca 2016 r.</t>
  </si>
  <si>
    <t>DOCHODY ŁĄCZNIE - 
stan na 26 CZERWCA 2018 r.</t>
  </si>
  <si>
    <t>Zakup instrumentów muzycznych na potrzeby działalności kulturalnej Opery na Zamku w Szczecinie (2018-2019)</t>
  </si>
  <si>
    <t>Opera na Zamku w Szczecinie - nadzór WKNiDN</t>
  </si>
  <si>
    <t xml:space="preserve">
WWT</t>
  </si>
  <si>
    <t>Wyposażenie w nowoczesny sprzęt Zachodniopomorskiej Książnicy Cyfrowej w Szczecinie w ramach Osi VIII PO IiŚ (2016-2018)</t>
  </si>
  <si>
    <t>PROJEKTY  REALIZOWANE  W  RAMACH  PW  INTERREG</t>
  </si>
  <si>
    <t>Przebudowa i rozbudowa przejścia drogi wojewódzkiej nr 120 przez m. Wełtyń w ramach PW INTERREG V A (2016-2018)</t>
  </si>
  <si>
    <t>Przebudowa i rozbudowa przejścia drogowego przez m. Tanowo na drodze woj. Nr 115 w ramach PW INTERREG V A (2010-2019)</t>
  </si>
  <si>
    <t>Przebudowa i rozbudowa przejścia drogi woj. nr 122 przez m. Krzywin (etap II) w ramach PW INTERREG V A (2019-2020)</t>
  </si>
  <si>
    <t>Przebudowa i rozbudowa przejścia drogi woj. nr 125 przez m. Moryń i m. Bielin w ramach PW INTERREG V A (2019-2020)</t>
  </si>
  <si>
    <t>TENTacle – wykorzystanie korytarzy sieci bazowej TEN-T w ramach PW INTERREG VB (2016-2019)</t>
  </si>
  <si>
    <t>TalkNET - Sieć zainteresowanych podmiotów z sektora transportu i logistyki w ramach PW INTERREG VB (2017-2020)</t>
  </si>
  <si>
    <r>
      <t xml:space="preserve">PYTAĆ O KOSZTY </t>
    </r>
    <r>
      <rPr>
        <sz val="10"/>
        <rFont val="Arial Black"/>
        <family val="2"/>
        <charset val="238"/>
      </rPr>
      <t xml:space="preserve">POŚREDNIE </t>
    </r>
    <r>
      <rPr>
        <sz val="10"/>
        <rFont val="Arial"/>
        <family val="2"/>
        <charset val="238"/>
      </rPr>
      <t>DO WPROWADZNYCH PROJEKTÓW</t>
    </r>
  </si>
  <si>
    <r>
      <t xml:space="preserve">Tabela Nr 6C </t>
    </r>
    <r>
      <rPr>
        <sz val="10"/>
        <rFont val="Arial"/>
        <family val="2"/>
        <charset val="238"/>
      </rPr>
      <t xml:space="preserve"> do Załącznika Nr 3</t>
    </r>
  </si>
  <si>
    <r>
      <t xml:space="preserve">Tabela Nr 6E  </t>
    </r>
    <r>
      <rPr>
        <sz val="10"/>
        <rFont val="Arial"/>
        <family val="2"/>
        <charset val="238"/>
      </rPr>
      <t>do Załącznika Nr 3</t>
    </r>
  </si>
  <si>
    <t>PW INTERREG VA 2014 - 2020</t>
  </si>
  <si>
    <t>RPO WZ  2014-2020</t>
  </si>
  <si>
    <t>RPO WZ 2007-2013</t>
  </si>
  <si>
    <t>Przystosowanie mostu europejskiego Siekierki-Neurudnitz do ruchu turystycznego w ramach PW INTERREG VA - wydatki majątkowe (2016-2020)</t>
  </si>
  <si>
    <t>Przystosowanie mostu europejskiego Siekierki-Neurudnitz do ruchu turystycznego w ramach PW INTERREG VA (2016-2020)</t>
  </si>
  <si>
    <t>Zrównoważona turystyka wodna w unikalnej Dolinie Dolnej Odry w ramach PW INTERREG VA - wydatki majątkowe (2016-2020)</t>
  </si>
  <si>
    <t>Zrównoważona turystyka wodna w unikalnej Dolinie Dolnej Odry w ramach PW INTERREG VA (2016-2020)</t>
  </si>
  <si>
    <t>Bałtyckie trasy dziedzictwa w ramach PW INTERREG Południowy Bałtyk (2017-2020)</t>
  </si>
  <si>
    <t>BALTIC STORIES - Rozwój turystyki poprzez profesjonalizację wydarzeń w regionie południowego bałtyku w ramach PW INTERREG Południowy Bałtyk (2017-2020)</t>
  </si>
  <si>
    <t>Fish Markets - dziedzictwo rybołówstwa przybrzeżnego jako potencjał rozwoju turystyki w ramach PW INTERREG Południowy Bałtyk 2014-2020 (2017-2019)</t>
  </si>
  <si>
    <t>Biking South Baltic! Promocja i rozwój Trasy Rowerowej Morza Bałtyckiego (EuroVelo 10) w Danii, Niemczech, Litwie, Polsce i Szwecji w ramach PW INTERREG Południowy Bałtyk (2017-2019) - zakupy inwestycyjne</t>
  </si>
  <si>
    <t>Biking South Baltic! Promocja i rozwój Trasy Rowerowej Morza Bałtyckiego (EuroVelo 10) w Danii, Niemczech, Litwie, Polsce i Szwecji w ramach PW INTERREG Południowy Bałtyk (2017-2019)</t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</si>
  <si>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(2016-2018)</t>
    </r>
  </si>
  <si>
    <t>Pomoc Techniczna  w ramach PROW 2014-2020 (2015-2023)</t>
  </si>
  <si>
    <t>Wzmacnianie ochrony bociana białego i nietoperzy oraz realizacja zadań czynnej ochrony w rezerwatach przyrody na obszarach parków krajobrazowych województwa zachodniopomorskiego - majątkowe w ramach Osi IV RPO WZ (2016-2020)</t>
  </si>
  <si>
    <t xml:space="preserve">Wzmacnianie ochrony bociana białego i nietoperzy oraz realizacja zadań czynnej ochrony w rezerwatach przyrody na obszarach parków krajobrazowych województwa zachodniopomorskiego- bieżące" w ramach Osi IV RPO WZ (2016-2020) </t>
  </si>
  <si>
    <t>Wspólne dziedzictwo wspólna przyszłość w ramach PW INTERREG VA (2014-2020)</t>
  </si>
  <si>
    <t>Wspólne dziedzictwo wspólna przyszłość w ramach PW INTERREG VA - wydatki majątkowe (2014-2020)</t>
  </si>
  <si>
    <t>środki budżetu województwa  (w tym zwrot podatku VAT)</t>
  </si>
  <si>
    <t>WYDATKI ŁĄCZNIE - 
stan na 26 WRZEŚNIA 2018 r.</t>
  </si>
  <si>
    <t>DOCHODY ŁĄCZNIE - 
stan na 26 WRZEŚNIA 2018 r.</t>
  </si>
  <si>
    <t>WYDATKI ŁĄCZNIE - 
stan na 26 CZERWCA  2018 r.</t>
  </si>
  <si>
    <t>podać nr umowy do arkusza dane do wpf</t>
  </si>
  <si>
    <t>umowa do uzupełnienia w arkuszu dane do wpf</t>
  </si>
  <si>
    <t>II. POZOSTAŁE  PRZEDSIĘWZIĘCIA  W ZAKRESIE OŚWIATY I EDUKACYJNEJ OPIEKI WYCHOWAWCZEJ</t>
  </si>
  <si>
    <t>rozdz. 80395</t>
  </si>
  <si>
    <t xml:space="preserve">Stypendia dla młodzieży rozpoczynającej naukę na uczelniach wyższych na obszarze województwa zachodniopomorskiego (2018-2023) </t>
  </si>
  <si>
    <t>Rozbudowa drogi wojewódzkiej nr 111 na odcinku Recław - Stepnica w ramach Osi V RPO WZ (2018-2021)</t>
  </si>
  <si>
    <t>ZZMiUW w Szczecinie
w likwidacji   
pod nadzorem WRiR/
WTiG</t>
  </si>
  <si>
    <t>ZZMiUW</t>
  </si>
  <si>
    <t>** W kolumnie 4 uwzględniono dochody w kwocie 10.896.457 zł, których wpływ zaplanowano na 2024 r.</t>
  </si>
  <si>
    <t>*** W kolumnie 4 uwzględniono dochody w kwocie 250.000 zł, których wpływ zaplanowano na 2024 r.</t>
  </si>
  <si>
    <t>Modernizacja i remont dziedzińców Zamku Książąt Pomorskich w Szczecinie (2017-2020)</t>
  </si>
  <si>
    <t>rozdz. 85141</t>
  </si>
  <si>
    <t>Wojewódzka Stacja Pogotowia Ratunkowego w Szczecinie
pod nadzorem WZ</t>
  </si>
  <si>
    <t>Wsparcie budowy nowych siedzib Wojewódzkiej Stacji Pogotowia Ratunkowego w Szczecinie (2019-2021)</t>
  </si>
  <si>
    <t>rozdz. 85195</t>
  </si>
  <si>
    <t>dotacje celowe z budżetu państwa (kontrakt wojewódzki)</t>
  </si>
  <si>
    <t>Wydział 
Zdrowia</t>
  </si>
  <si>
    <t xml:space="preserve">dotacje celowe / płatności z UE </t>
  </si>
  <si>
    <t xml:space="preserve">I. PRZEDSIĘWZIĘCIA FINANSOWANE PRZY WSPÓŁUDZIALE ŚRODKÓW, O KTÓRYCH MOWA W ART. 5 UST. 1 PKT 2 I 3 UFP  W ZAKRESIE OCHRONY ZDROWIA </t>
  </si>
  <si>
    <t>Wydział 
Zdrowia, Wydział Zarządzania Strategicznego</t>
  </si>
  <si>
    <t xml:space="preserve">Wydział Organizacji i Rozwoju Zasobów Ludzkich </t>
  </si>
  <si>
    <t>Polsko - niemiecka sieć teatralna (theater-po.net) w ramach programu INTERREG VA</t>
  </si>
  <si>
    <t>Polsko - niemiecka sieć teatralna (theater-po.net) w ramach programu INTERREG VA - wydatki majątkowe</t>
  </si>
  <si>
    <r>
      <t xml:space="preserve">** w latach 2024- 2032 kwota poręczenia dla Samodzielnego Publicznego Wojewódzkiego Szpitala Zespolonego  w Szczecinie  wynosi </t>
    </r>
    <r>
      <rPr>
        <b/>
        <i/>
        <sz val="8"/>
        <rFont val="Arial CE"/>
        <charset val="238"/>
      </rPr>
      <t>32.586.323 zł</t>
    </r>
    <r>
      <rPr>
        <i/>
        <sz val="8"/>
        <rFont val="Arial CE"/>
        <charset val="238"/>
      </rPr>
      <t>.</t>
    </r>
  </si>
  <si>
    <t>Wspólny Sekretariat - Pomoc Techniczna w ramach  Programu Współpracy INTERREG VA (2016-2022)</t>
  </si>
  <si>
    <r>
      <t xml:space="preserve">Budowa sieci tras rowerowych Pomorza Zachodniego - Trasa Pojezierna </t>
    </r>
    <r>
      <rPr>
        <b/>
        <sz val="9"/>
        <rFont val="Arial CE"/>
        <charset val="238"/>
      </rPr>
      <t>w ramach Osi IV RPO WZ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(2016-2018)</t>
    </r>
  </si>
  <si>
    <r>
      <t xml:space="preserve">Budowa sieci tras rowerowych Pomorza Zachodniego - Trasa Nadmorska </t>
    </r>
    <r>
      <rPr>
        <b/>
        <sz val="9"/>
        <rFont val="Arial CE"/>
        <charset val="238"/>
      </rPr>
      <t>w ramach Osi IV RPO</t>
    </r>
    <r>
      <rPr>
        <b/>
        <sz val="9"/>
        <rFont val="Arial CE"/>
        <family val="2"/>
        <charset val="238"/>
      </rPr>
      <t xml:space="preserve"> WZ (2016-2018)</t>
    </r>
  </si>
  <si>
    <r>
      <t xml:space="preserve">Zachodniopomorskie e-zdrowie (2018-2021) w ramach Osi IX RPO WZ - </t>
    </r>
    <r>
      <rPr>
        <sz val="9"/>
        <rFont val="Arial CE"/>
        <charset val="238"/>
      </rPr>
      <t>wydatki majątkowe</t>
    </r>
  </si>
  <si>
    <r>
      <t xml:space="preserve">Zachodniopomorskie e-zdrowie (2018-2021) w ramach Osi IX RPO WZ - </t>
    </r>
    <r>
      <rPr>
        <sz val="9"/>
        <rFont val="Arial CE"/>
        <charset val="238"/>
      </rPr>
      <t>wydatki bieżące</t>
    </r>
  </si>
  <si>
    <r>
      <t xml:space="preserve">Budowa obejścia m. Szczecinek w ciągu drogi nr 172 </t>
    </r>
    <r>
      <rPr>
        <sz val="9"/>
        <rFont val="Arial CE"/>
        <charset val="238"/>
      </rPr>
      <t>w ramach Osi II RPO</t>
    </r>
    <r>
      <rPr>
        <b/>
        <sz val="9"/>
        <rFont val="Arial CE"/>
        <charset val="238"/>
      </rPr>
      <t xml:space="preserve"> (2009-2018)</t>
    </r>
  </si>
  <si>
    <r>
      <t xml:space="preserve">Przebudowa drogi wojewódzkiej nr 102 na odcinku Międzywodzie -Dziwnów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(2016-2018)</t>
    </r>
  </si>
  <si>
    <r>
      <t>Przebudowa drogi wojewódzkiej nr 102 na odcinku Łukęcin - Lędzin w</t>
    </r>
    <r>
      <rPr>
        <sz val="9"/>
        <rFont val="Arial CE"/>
        <family val="2"/>
        <charset val="238"/>
      </rPr>
      <t xml:space="preserve">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</si>
  <si>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obejścia m. Barlinek w ciągu drogi nr 151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(2010-2019)</t>
    </r>
  </si>
  <si>
    <r>
      <t xml:space="preserve">Rozbudowa drogi wojewódzkiej nr 203 na odcinku Darłowo - granica województwa etap I przebudowa ul. Tynieckiego w m. Darłowo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</si>
  <si>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151 na odcinku Ińsko - Recz etap I odc. Ińsko - Ciemnik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</si>
  <si>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Przebudowa drogi wojewódzkiej nr 109 na odcinku Trzebiatów - Płoty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(2017-2020)</t>
    </r>
  </si>
  <si>
    <r>
      <t xml:space="preserve">Dokumentacje techniczne na drogowe zadania inwestycyjne </t>
    </r>
    <r>
      <rPr>
        <sz val="9"/>
        <rFont val="Arial CE"/>
        <charset val="238"/>
      </rPr>
      <t>w ramach Osi V RPO</t>
    </r>
    <r>
      <rPr>
        <b/>
        <sz val="9"/>
        <rFont val="Arial CE"/>
        <charset val="238"/>
      </rPr>
      <t xml:space="preserve"> (2017-2020)</t>
    </r>
  </si>
  <si>
    <r>
      <t xml:space="preserve">Zakup kolejowego taboru pasażerskiego o napędzie elektrycznym  - prawo opcji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(2017-2018)</t>
    </r>
  </si>
  <si>
    <r>
      <t xml:space="preserve">Budowa sieci tras rowerowych Pomorza Zachodniego - Trasa Zielonego Pogranicza odc. Gryfino - Trzcińsko Zdrój </t>
    </r>
    <r>
      <rPr>
        <b/>
        <sz val="9"/>
        <rFont val="Arial CE"/>
        <charset val="238"/>
      </rPr>
      <t>w ramach Osi IV RPO WZ (</t>
    </r>
    <r>
      <rPr>
        <b/>
        <sz val="9"/>
        <rFont val="Arial CE"/>
        <family val="2"/>
        <charset val="238"/>
      </rPr>
      <t>2017-2018)</t>
    </r>
  </si>
  <si>
    <r>
      <t>Dokumentacje techniczne na budowę sieci tras rowerowych Pomorza Zachodniego</t>
    </r>
    <r>
      <rPr>
        <b/>
        <sz val="9"/>
        <rFont val="Arial CE"/>
        <charset val="238"/>
      </rPr>
      <t xml:space="preserve"> w ramach Osi IV RPO WZ </t>
    </r>
    <r>
      <rPr>
        <b/>
        <sz val="9"/>
        <rFont val="Arial CE"/>
        <family val="2"/>
        <charset val="238"/>
      </rPr>
      <t xml:space="preserve"> (2018-2019)</t>
    </r>
  </si>
  <si>
    <r>
      <t xml:space="preserve">Budowa infrastruktury turystycznej w Parkach Krajobrazowych województwa zachodniopomorskiego w celu zmniejszenia antropopresji - II etap </t>
    </r>
    <r>
      <rPr>
        <b/>
        <sz val="9"/>
        <rFont val="Arial CE"/>
        <charset val="238"/>
      </rPr>
      <t>w ramach Osi IV RPO WZ</t>
    </r>
    <r>
      <rPr>
        <b/>
        <sz val="9"/>
        <rFont val="Arial CE"/>
        <family val="2"/>
        <charset val="238"/>
      </rPr>
      <t xml:space="preserve"> (2016-2018)</t>
    </r>
    <r>
      <rPr>
        <b/>
        <sz val="9"/>
        <rFont val="Arial CE"/>
        <charset val="238"/>
      </rPr>
      <t>*</t>
    </r>
  </si>
  <si>
    <r>
      <t xml:space="preserve">Różnica w wykonaniu wydatków UE w kwocie in minus </t>
    </r>
    <r>
      <rPr>
        <i/>
        <sz val="10"/>
        <rFont val="Arial"/>
        <family val="2"/>
        <charset val="238"/>
      </rPr>
      <t>1.669.413 zł</t>
    </r>
    <r>
      <rPr>
        <sz val="10"/>
        <rFont val="Arial"/>
        <family val="2"/>
        <charset val="238"/>
      </rPr>
      <t xml:space="preserve"> wynika z:
- przeniesienia części refundacji wydatków poniesionych w 2016 r. na 2017 r. w kwocie </t>
    </r>
    <r>
      <rPr>
        <i/>
        <sz val="10"/>
        <rFont val="Arial"/>
        <family val="2"/>
        <charset val="238"/>
      </rPr>
      <t>213.660 zł,</t>
    </r>
    <r>
      <rPr>
        <sz val="10"/>
        <rFont val="Arial"/>
        <family val="2"/>
        <charset val="238"/>
      </rPr>
      <t xml:space="preserve">
- ostatecznego rozliczenia wynagrodzeń pracowników realizujących projekt, w wyniku którego wydatki w kwocie </t>
    </r>
    <r>
      <rPr>
        <i/>
        <sz val="10"/>
        <rFont val="Arial"/>
        <family val="2"/>
        <charset val="238"/>
      </rPr>
      <t xml:space="preserve">1.455.753 zł </t>
    </r>
    <r>
      <rPr>
        <sz val="10"/>
        <rFont val="Arial"/>
        <family val="2"/>
        <charset val="238"/>
      </rPr>
      <t xml:space="preserve">zostały wykazane w poz. wkład własny z budżetu województwa.
Do czasu zakończenia procesu refundacji wydatki dotyczące wynagrodzeń, będące w dyspozycji WOiRZL kalsyfkowane są w źródle WW z czwartą cyfrą "0". </t>
    </r>
  </si>
  <si>
    <r>
      <t xml:space="preserve">Wydatki </t>
    </r>
    <r>
      <rPr>
        <b/>
        <sz val="10"/>
        <rFont val="Arial"/>
        <family val="2"/>
        <charset val="238"/>
      </rPr>
      <t xml:space="preserve">płatności </t>
    </r>
    <r>
      <rPr>
        <sz val="10"/>
        <rFont val="Arial"/>
        <family val="2"/>
        <charset val="238"/>
      </rPr>
      <t>PT 2014-2020 - lata 2021-2023</t>
    </r>
  </si>
  <si>
    <t>Budowa Regionalnej Infrastruktury Informacji Przestrzennej Województwa Zachodniopomorskiego w ramach działania 9.10 RPO WZ - wydatki bieżące (2019 - 2021)</t>
  </si>
  <si>
    <t>rodz. 75863</t>
  </si>
  <si>
    <t xml:space="preserve">rozdz. </t>
  </si>
  <si>
    <t>BP</t>
  </si>
  <si>
    <t>BG</t>
  </si>
  <si>
    <t>BG
WZS</t>
  </si>
  <si>
    <t>rodz. 
75863</t>
  </si>
  <si>
    <t>Budowa Regionalnej Infrastruktury Informacji Przestrzennej Województwa Zachodniopomorskiego w ramach działania 9.10 RPO WZ (2019 - 2021)</t>
  </si>
  <si>
    <r>
      <t xml:space="preserve">Przebudowa ul. Jagiełły w ciągu drogi wojewódzkiej nr 160 i ul. Drawieńska w ciągu drogi wojewódzkiej nr 175 w m. Choszczno </t>
    </r>
    <r>
      <rPr>
        <sz val="9"/>
        <rFont val="Arial CE"/>
        <family val="2"/>
        <charset val="238"/>
      </rPr>
      <t>w ramach Osi V RPO</t>
    </r>
    <r>
      <rPr>
        <b/>
        <sz val="9"/>
        <rFont val="Arial CE"/>
        <family val="2"/>
        <charset val="238"/>
      </rPr>
      <t xml:space="preserve"> (2016-2019)</t>
    </r>
  </si>
  <si>
    <t>Zaprojektowanie i wykonanie szlaku rowerowego na wale przeciwpowodziowym wzdłuż rzeki Chełszcząca i jeziora Dąbie w ramach Osi IV RPO WZ (2017-2019)</t>
  </si>
  <si>
    <t>Zaprojektowanie i wykonanie szlaku rowerowego na wale przeciwpowodziowym nad rzeką Iną, wale Skoszewo i Skoszewo - Czarnocin w ramach Osi IV RPO WZ (2017-2019)</t>
  </si>
</sst>
</file>

<file path=xl/styles.xml><?xml version="1.0" encoding="utf-8"?>
<styleSheet xmlns="http://schemas.openxmlformats.org/spreadsheetml/2006/main">
  <numFmts count="5"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_ ;\-#,##0\ "/>
    <numFmt numFmtId="165" formatCode="0.0%"/>
  </numFmts>
  <fonts count="82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8"/>
      <name val="Arial CE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b/>
      <sz val="14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i/>
      <sz val="9"/>
      <name val="Arial CE"/>
      <charset val="238"/>
    </font>
    <font>
      <i/>
      <sz val="9"/>
      <name val="Arial CE"/>
      <charset val="238"/>
    </font>
    <font>
      <b/>
      <i/>
      <sz val="9"/>
      <name val="Arial CE"/>
      <family val="2"/>
      <charset val="238"/>
    </font>
    <font>
      <b/>
      <i/>
      <sz val="8"/>
      <name val="Arial CE"/>
      <family val="2"/>
      <charset val="238"/>
    </font>
    <font>
      <sz val="9"/>
      <name val="Arial CE"/>
      <charset val="238"/>
    </font>
    <font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2"/>
      <name val="Arial CE"/>
      <family val="2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i/>
      <sz val="9"/>
      <name val="Arial CE"/>
      <family val="2"/>
      <charset val="238"/>
    </font>
    <font>
      <i/>
      <sz val="10"/>
      <name val="Arial"/>
      <family val="2"/>
      <charset val="238"/>
    </font>
    <font>
      <b/>
      <sz val="14"/>
      <name val="Arial CE"/>
      <charset val="238"/>
    </font>
    <font>
      <u/>
      <sz val="10"/>
      <color theme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b/>
      <sz val="16"/>
      <color indexed="23"/>
      <name val="Arial"/>
      <family val="2"/>
      <charset val="238"/>
    </font>
    <font>
      <sz val="10"/>
      <color indexed="10"/>
      <name val="Arial"/>
      <family val="2"/>
    </font>
    <font>
      <i/>
      <sz val="8"/>
      <name val="Arial CE"/>
      <family val="2"/>
      <charset val="238"/>
    </font>
    <font>
      <sz val="10"/>
      <name val="Arial"/>
      <family val="2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b/>
      <i/>
      <sz val="12"/>
      <name val="Arial Black"/>
      <family val="2"/>
      <charset val="238"/>
    </font>
    <font>
      <b/>
      <sz val="11"/>
      <name val="Arial CE"/>
      <charset val="238"/>
    </font>
    <font>
      <i/>
      <sz val="9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0"/>
      <name val="Arial CE"/>
      <charset val="238"/>
    </font>
    <font>
      <b/>
      <sz val="11"/>
      <name val="Arial CE"/>
      <family val="2"/>
      <charset val="238"/>
    </font>
    <font>
      <b/>
      <sz val="12"/>
      <name val="Arial CE"/>
      <charset val="238"/>
    </font>
    <font>
      <b/>
      <sz val="11"/>
      <name val="Arial"/>
      <family val="2"/>
      <charset val="238"/>
    </font>
    <font>
      <b/>
      <sz val="16"/>
      <name val="Arial Black"/>
      <family val="2"/>
      <charset val="238"/>
    </font>
    <font>
      <b/>
      <sz val="18"/>
      <name val="Arial CE"/>
      <charset val="238"/>
    </font>
    <font>
      <b/>
      <sz val="16"/>
      <name val="Arial CE"/>
      <charset val="238"/>
    </font>
    <font>
      <sz val="11"/>
      <name val="Arial CE"/>
      <family val="2"/>
      <charset val="238"/>
    </font>
    <font>
      <b/>
      <i/>
      <sz val="11"/>
      <name val="Arial CE"/>
      <charset val="238"/>
    </font>
    <font>
      <sz val="11"/>
      <name val="Arial CE"/>
      <charset val="238"/>
    </font>
    <font>
      <i/>
      <sz val="11"/>
      <name val="Arial CE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  <font>
      <sz val="10"/>
      <name val="Arial Black"/>
      <family val="2"/>
      <charset val="238"/>
    </font>
    <font>
      <sz val="10"/>
      <color rgb="FF0000FF"/>
      <name val="Arial CE"/>
      <family val="2"/>
      <charset val="238"/>
    </font>
    <font>
      <b/>
      <u/>
      <sz val="9"/>
      <name val="Arial CE"/>
      <charset val="238"/>
    </font>
    <font>
      <sz val="7.5"/>
      <name val="Arial"/>
      <family val="2"/>
      <charset val="23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42"/>
      </patternFill>
    </fill>
    <fill>
      <patternFill patternType="solid">
        <fgColor indexed="27"/>
        <bgColor indexed="64"/>
      </patternFill>
    </fill>
    <fill>
      <patternFill patternType="mediumGray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mediumGray">
        <fgColor indexed="42"/>
        <bgColor indexed="47"/>
      </patternFill>
    </fill>
    <fill>
      <patternFill patternType="solid">
        <fgColor indexed="42"/>
        <bgColor indexed="64"/>
      </patternFill>
    </fill>
    <fill>
      <patternFill patternType="mediumGray">
        <fgColor indexed="42"/>
        <bgColor indexed="42"/>
      </patternFill>
    </fill>
    <fill>
      <patternFill patternType="mediumGray">
        <fgColor indexed="42"/>
        <bgColor indexed="9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11"/>
        <bgColor indexed="46"/>
      </patternFill>
    </fill>
    <fill>
      <patternFill patternType="mediumGray">
        <fgColor indexed="11"/>
        <bgColor indexed="47"/>
      </patternFill>
    </fill>
    <fill>
      <patternFill patternType="mediumGray">
        <fgColor indexed="11"/>
        <bgColor indexed="42"/>
      </patternFill>
    </fill>
    <fill>
      <patternFill patternType="mediumGray">
        <fgColor indexed="11"/>
        <bgColor indexed="43"/>
      </patternFill>
    </fill>
    <fill>
      <patternFill patternType="mediumGray">
        <fgColor indexed="11"/>
      </patternFill>
    </fill>
    <fill>
      <patternFill patternType="mediumGray">
        <fgColor indexed="11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11"/>
        <bgColor indexed="50"/>
      </patternFill>
    </fill>
    <fill>
      <patternFill patternType="solid">
        <fgColor indexed="45"/>
        <bgColor indexed="64"/>
      </patternFill>
    </fill>
    <fill>
      <patternFill patternType="gray125">
        <fgColor indexed="11"/>
        <bgColor indexed="9"/>
      </patternFill>
    </fill>
    <fill>
      <patternFill patternType="solid">
        <fgColor rgb="FFFFFFFF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6A6A6A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mediumGray">
        <fgColor indexed="11"/>
        <bgColor theme="8" tint="0.599993896298104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5" tint="0.59999389629810485"/>
        <bgColor indexed="64"/>
      </patternFill>
    </fill>
  </fills>
  <borders count="2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4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0" fontId="6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3" fillId="0" borderId="0"/>
    <xf numFmtId="0" fontId="4" fillId="0" borderId="0"/>
    <xf numFmtId="0" fontId="4" fillId="0" borderId="0"/>
    <xf numFmtId="0" fontId="42" fillId="0" borderId="0"/>
    <xf numFmtId="0" fontId="43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4" fillId="37" borderId="0">
      <alignment horizontal="left" vertical="top"/>
    </xf>
    <xf numFmtId="0" fontId="45" fillId="37" borderId="0">
      <alignment horizontal="center" vertical="top"/>
    </xf>
    <xf numFmtId="0" fontId="44" fillId="37" borderId="0">
      <alignment horizontal="lef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5" fillId="38" borderId="0">
      <alignment horizontal="lef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8" borderId="0">
      <alignment horizontal="right" vertical="top"/>
    </xf>
    <xf numFmtId="0" fontId="45" fillId="39" borderId="0">
      <alignment horizontal="left" vertical="top"/>
    </xf>
    <xf numFmtId="0" fontId="45" fillId="39" borderId="0">
      <alignment horizontal="right" vertical="top"/>
    </xf>
    <xf numFmtId="0" fontId="45" fillId="39" borderId="0">
      <alignment horizontal="right" vertical="top"/>
    </xf>
    <xf numFmtId="0" fontId="46" fillId="37" borderId="0">
      <alignment horizontal="center" vertical="top"/>
    </xf>
    <xf numFmtId="0" fontId="45" fillId="39" borderId="0">
      <alignment horizontal="right" vertical="top"/>
    </xf>
    <xf numFmtId="0" fontId="44" fillId="40" borderId="0">
      <alignment horizontal="lef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40" borderId="0">
      <alignment horizontal="right" vertical="top"/>
    </xf>
    <xf numFmtId="0" fontId="44" fillId="37" borderId="0">
      <alignment horizontal="lef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4" fillId="37" borderId="0">
      <alignment horizontal="right" vertical="top"/>
    </xf>
    <xf numFmtId="0" fontId="47" fillId="41" borderId="0">
      <alignment horizontal="left" vertical="top"/>
    </xf>
    <xf numFmtId="0" fontId="48" fillId="37" borderId="0">
      <alignment horizontal="left" vertical="top"/>
    </xf>
    <xf numFmtId="0" fontId="49" fillId="37" borderId="0">
      <alignment horizontal="left" vertical="top"/>
    </xf>
    <xf numFmtId="0" fontId="45" fillId="37" borderId="0">
      <alignment horizontal="right" vertical="top"/>
    </xf>
    <xf numFmtId="0" fontId="45" fillId="37" borderId="0">
      <alignment horizontal="right" vertical="top"/>
    </xf>
    <xf numFmtId="0" fontId="49" fillId="42" borderId="0">
      <alignment horizontal="left"/>
    </xf>
    <xf numFmtId="0" fontId="49" fillId="42" borderId="0">
      <alignment horizontal="left"/>
    </xf>
    <xf numFmtId="0" fontId="49" fillId="42" borderId="0">
      <alignment horizontal="right"/>
    </xf>
    <xf numFmtId="0" fontId="50" fillId="42" borderId="0">
      <alignment horizontal="right"/>
    </xf>
    <xf numFmtId="0" fontId="49" fillId="41" borderId="0">
      <alignment horizontal="left" vertical="top"/>
    </xf>
    <xf numFmtId="0" fontId="45" fillId="41" borderId="0">
      <alignment horizontal="right" vertical="top"/>
    </xf>
    <xf numFmtId="0" fontId="45" fillId="41" borderId="0">
      <alignment horizontal="right" vertical="top"/>
    </xf>
    <xf numFmtId="0" fontId="44" fillId="37" borderId="0">
      <alignment horizontal="left" vertical="center"/>
    </xf>
    <xf numFmtId="0" fontId="47" fillId="42" borderId="0">
      <alignment horizontal="left" vertical="top"/>
    </xf>
    <xf numFmtId="0" fontId="47" fillId="42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1" borderId="0">
      <alignment horizontal="left" vertical="top"/>
    </xf>
    <xf numFmtId="0" fontId="47" fillId="42" borderId="0">
      <alignment horizontal="left" vertical="top"/>
    </xf>
    <xf numFmtId="0" fontId="49" fillId="37" borderId="0">
      <alignment horizontal="left"/>
    </xf>
    <xf numFmtId="0" fontId="49" fillId="37" borderId="0">
      <alignment horizontal="left"/>
    </xf>
    <xf numFmtId="0" fontId="49" fillId="37" borderId="0">
      <alignment horizontal="right"/>
    </xf>
    <xf numFmtId="0" fontId="50" fillId="37" borderId="0">
      <alignment horizontal="right"/>
    </xf>
    <xf numFmtId="4" fontId="51" fillId="13" borderId="86" applyNumberFormat="0" applyProtection="0">
      <alignment vertical="center"/>
    </xf>
    <xf numFmtId="4" fontId="52" fillId="13" borderId="86" applyNumberFormat="0" applyProtection="0">
      <alignment vertical="center"/>
    </xf>
    <xf numFmtId="4" fontId="51" fillId="13" borderId="86" applyNumberFormat="0" applyProtection="0">
      <alignment horizontal="left" vertical="center" indent="1"/>
    </xf>
    <xf numFmtId="4" fontId="51" fillId="13" borderId="86" applyNumberFormat="0" applyProtection="0">
      <alignment horizontal="left" vertical="center" indent="1"/>
    </xf>
    <xf numFmtId="0" fontId="4" fillId="11" borderId="86" applyNumberFormat="0" applyProtection="0">
      <alignment horizontal="left" vertical="center" indent="1"/>
    </xf>
    <xf numFmtId="4" fontId="51" fillId="35" borderId="86" applyNumberFormat="0" applyProtection="0">
      <alignment horizontal="right" vertical="center"/>
    </xf>
    <xf numFmtId="4" fontId="51" fillId="43" borderId="86" applyNumberFormat="0" applyProtection="0">
      <alignment horizontal="right" vertical="center"/>
    </xf>
    <xf numFmtId="4" fontId="51" fillId="44" borderId="86" applyNumberFormat="0" applyProtection="0">
      <alignment horizontal="right" vertical="center"/>
    </xf>
    <xf numFmtId="4" fontId="51" fillId="12" borderId="86" applyNumberFormat="0" applyProtection="0">
      <alignment horizontal="right" vertical="center"/>
    </xf>
    <xf numFmtId="4" fontId="51" fillId="45" borderId="86" applyNumberFormat="0" applyProtection="0">
      <alignment horizontal="right" vertical="center"/>
    </xf>
    <xf numFmtId="4" fontId="51" fillId="15" borderId="86" applyNumberFormat="0" applyProtection="0">
      <alignment horizontal="right" vertical="center"/>
    </xf>
    <xf numFmtId="4" fontId="51" fillId="17" borderId="86" applyNumberFormat="0" applyProtection="0">
      <alignment horizontal="right" vertical="center"/>
    </xf>
    <xf numFmtId="4" fontId="51" fillId="16" borderId="86" applyNumberFormat="0" applyProtection="0">
      <alignment horizontal="right" vertical="center"/>
    </xf>
    <xf numFmtId="4" fontId="51" fillId="19" borderId="86" applyNumberFormat="0" applyProtection="0">
      <alignment horizontal="right" vertical="center"/>
    </xf>
    <xf numFmtId="4" fontId="53" fillId="46" borderId="86" applyNumberFormat="0" applyProtection="0">
      <alignment horizontal="left" vertical="center" indent="1"/>
    </xf>
    <xf numFmtId="4" fontId="51" fillId="47" borderId="87" applyNumberFormat="0" applyProtection="0">
      <alignment horizontal="left" vertical="center" indent="1"/>
    </xf>
    <xf numFmtId="4" fontId="54" fillId="48" borderId="0" applyNumberFormat="0" applyProtection="0">
      <alignment horizontal="left" vertical="center" indent="1"/>
    </xf>
    <xf numFmtId="0" fontId="4" fillId="11" borderId="86" applyNumberFormat="0" applyProtection="0">
      <alignment horizontal="left" vertical="center" indent="1"/>
    </xf>
    <xf numFmtId="4" fontId="5" fillId="47" borderId="86" applyNumberFormat="0" applyProtection="0">
      <alignment horizontal="left" vertical="center" indent="1"/>
    </xf>
    <xf numFmtId="4" fontId="5" fillId="49" borderId="86" applyNumberFormat="0" applyProtection="0">
      <alignment horizontal="left" vertical="center" indent="1"/>
    </xf>
    <xf numFmtId="0" fontId="4" fillId="49" borderId="86" applyNumberFormat="0" applyProtection="0">
      <alignment horizontal="left" vertical="center" indent="1"/>
    </xf>
    <xf numFmtId="0" fontId="4" fillId="49" borderId="86" applyNumberFormat="0" applyProtection="0">
      <alignment horizontal="left" vertical="center" indent="1"/>
    </xf>
    <xf numFmtId="0" fontId="4" fillId="30" borderId="86" applyNumberFormat="0" applyProtection="0">
      <alignment horizontal="left" vertical="center" indent="1"/>
    </xf>
    <xf numFmtId="0" fontId="4" fillId="30" borderId="86" applyNumberFormat="0" applyProtection="0">
      <alignment horizontal="left" vertical="center" indent="1"/>
    </xf>
    <xf numFmtId="0" fontId="4" fillId="33" borderId="86" applyNumberFormat="0" applyProtection="0">
      <alignment horizontal="left" vertical="center" indent="1"/>
    </xf>
    <xf numFmtId="0" fontId="4" fillId="33" borderId="86" applyNumberFormat="0" applyProtection="0">
      <alignment horizontal="left" vertical="center" indent="1"/>
    </xf>
    <xf numFmtId="0" fontId="4" fillId="11" borderId="86" applyNumberFormat="0" applyProtection="0">
      <alignment horizontal="left" vertical="center" indent="1"/>
    </xf>
    <xf numFmtId="0" fontId="4" fillId="11" borderId="86" applyNumberFormat="0" applyProtection="0">
      <alignment horizontal="left" vertical="center" indent="1"/>
    </xf>
    <xf numFmtId="4" fontId="51" fillId="20" borderId="86" applyNumberFormat="0" applyProtection="0">
      <alignment vertical="center"/>
    </xf>
    <xf numFmtId="4" fontId="52" fillId="20" borderId="86" applyNumberFormat="0" applyProtection="0">
      <alignment vertical="center"/>
    </xf>
    <xf numFmtId="4" fontId="51" fillId="20" borderId="86" applyNumberFormat="0" applyProtection="0">
      <alignment horizontal="left" vertical="center" indent="1"/>
    </xf>
    <xf numFmtId="4" fontId="51" fillId="20" borderId="86" applyNumberFormat="0" applyProtection="0">
      <alignment horizontal="left" vertical="center" indent="1"/>
    </xf>
    <xf numFmtId="4" fontId="51" fillId="47" borderId="86" applyNumberFormat="0" applyProtection="0">
      <alignment horizontal="right" vertical="center"/>
    </xf>
    <xf numFmtId="4" fontId="52" fillId="47" borderId="86" applyNumberFormat="0" applyProtection="0">
      <alignment horizontal="right" vertical="center"/>
    </xf>
    <xf numFmtId="0" fontId="4" fillId="11" borderId="86" applyNumberFormat="0" applyProtection="0">
      <alignment horizontal="left" vertical="center" indent="1"/>
    </xf>
    <xf numFmtId="0" fontId="4" fillId="11" borderId="86" applyNumberFormat="0" applyProtection="0">
      <alignment horizontal="left" vertical="center" indent="1"/>
    </xf>
    <xf numFmtId="0" fontId="55" fillId="0" borderId="0"/>
    <xf numFmtId="4" fontId="56" fillId="47" borderId="86" applyNumberFormat="0" applyProtection="0">
      <alignment horizontal="right" vertical="center"/>
    </xf>
    <xf numFmtId="44" fontId="43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6" fillId="0" borderId="0"/>
    <xf numFmtId="4" fontId="51" fillId="13" borderId="96" applyNumberFormat="0" applyProtection="0">
      <alignment vertical="center"/>
    </xf>
    <xf numFmtId="4" fontId="52" fillId="13" borderId="96" applyNumberFormat="0" applyProtection="0">
      <alignment vertical="center"/>
    </xf>
    <xf numFmtId="4" fontId="51" fillId="13" borderId="96" applyNumberFormat="0" applyProtection="0">
      <alignment horizontal="left" vertical="center" indent="1"/>
    </xf>
    <xf numFmtId="4" fontId="51" fillId="13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1" fillId="35" borderId="96" applyNumberFormat="0" applyProtection="0">
      <alignment horizontal="right" vertical="center"/>
    </xf>
    <xf numFmtId="4" fontId="51" fillId="43" borderId="96" applyNumberFormat="0" applyProtection="0">
      <alignment horizontal="right" vertical="center"/>
    </xf>
    <xf numFmtId="4" fontId="51" fillId="44" borderId="96" applyNumberFormat="0" applyProtection="0">
      <alignment horizontal="right" vertical="center"/>
    </xf>
    <xf numFmtId="4" fontId="51" fillId="12" borderId="96" applyNumberFormat="0" applyProtection="0">
      <alignment horizontal="right" vertical="center"/>
    </xf>
    <xf numFmtId="4" fontId="51" fillId="45" borderId="96" applyNumberFormat="0" applyProtection="0">
      <alignment horizontal="right" vertical="center"/>
    </xf>
    <xf numFmtId="4" fontId="51" fillId="15" borderId="96" applyNumberFormat="0" applyProtection="0">
      <alignment horizontal="right" vertical="center"/>
    </xf>
    <xf numFmtId="4" fontId="51" fillId="17" borderId="96" applyNumberFormat="0" applyProtection="0">
      <alignment horizontal="right" vertical="center"/>
    </xf>
    <xf numFmtId="4" fontId="51" fillId="16" borderId="96" applyNumberFormat="0" applyProtection="0">
      <alignment horizontal="right" vertical="center"/>
    </xf>
    <xf numFmtId="4" fontId="51" fillId="19" borderId="96" applyNumberFormat="0" applyProtection="0">
      <alignment horizontal="right" vertical="center"/>
    </xf>
    <xf numFmtId="4" fontId="53" fillId="46" borderId="96" applyNumberFormat="0" applyProtection="0">
      <alignment horizontal="left" vertical="center" indent="1"/>
    </xf>
    <xf numFmtId="4" fontId="51" fillId="47" borderId="97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" fillId="47" borderId="96" applyNumberFormat="0" applyProtection="0">
      <alignment horizontal="left" vertical="center" indent="1"/>
    </xf>
    <xf numFmtId="4" fontId="5" fillId="49" borderId="96" applyNumberFormat="0" applyProtection="0">
      <alignment horizontal="left" vertical="center" indent="1"/>
    </xf>
    <xf numFmtId="0" fontId="4" fillId="49" borderId="96" applyNumberFormat="0" applyProtection="0">
      <alignment horizontal="left" vertical="center" indent="1"/>
    </xf>
    <xf numFmtId="0" fontId="4" fillId="49" borderId="96" applyNumberFormat="0" applyProtection="0">
      <alignment horizontal="left" vertical="center" indent="1"/>
    </xf>
    <xf numFmtId="0" fontId="4" fillId="30" borderId="96" applyNumberFormat="0" applyProtection="0">
      <alignment horizontal="left" vertical="center" indent="1"/>
    </xf>
    <xf numFmtId="0" fontId="4" fillId="30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1" fillId="20" borderId="96" applyNumberFormat="0" applyProtection="0">
      <alignment vertical="center"/>
    </xf>
    <xf numFmtId="4" fontId="52" fillId="20" borderId="96" applyNumberFormat="0" applyProtection="0">
      <alignment vertical="center"/>
    </xf>
    <xf numFmtId="4" fontId="51" fillId="20" borderId="96" applyNumberFormat="0" applyProtection="0">
      <alignment horizontal="left" vertical="center" indent="1"/>
    </xf>
    <xf numFmtId="4" fontId="51" fillId="20" borderId="96" applyNumberFormat="0" applyProtection="0">
      <alignment horizontal="left" vertical="center" indent="1"/>
    </xf>
    <xf numFmtId="4" fontId="51" fillId="47" borderId="96" applyNumberFormat="0" applyProtection="0">
      <alignment horizontal="right" vertical="center"/>
    </xf>
    <xf numFmtId="4" fontId="52" fillId="47" borderId="96" applyNumberFormat="0" applyProtection="0">
      <alignment horizontal="right" vertical="center"/>
    </xf>
    <xf numFmtId="0" fontId="4" fillId="11" borderId="96" applyNumberFormat="0" applyProtection="0">
      <alignment horizontal="left" vertical="center" indent="1"/>
    </xf>
    <xf numFmtId="0" fontId="4" fillId="11" borderId="96" applyNumberFormat="0" applyProtection="0">
      <alignment horizontal="left" vertical="center" indent="1"/>
    </xf>
    <xf numFmtId="4" fontId="56" fillId="47" borderId="96" applyNumberFormat="0" applyProtection="0">
      <alignment horizontal="right" vertical="center"/>
    </xf>
    <xf numFmtId="0" fontId="4" fillId="0" borderId="0"/>
    <xf numFmtId="4" fontId="51" fillId="13" borderId="147" applyNumberFormat="0" applyProtection="0">
      <alignment horizontal="left" vertical="center" indent="1"/>
    </xf>
    <xf numFmtId="4" fontId="51" fillId="12" borderId="156" applyNumberFormat="0" applyProtection="0">
      <alignment horizontal="right" vertical="center"/>
    </xf>
    <xf numFmtId="4" fontId="51" fillId="13" borderId="147" applyNumberFormat="0" applyProtection="0">
      <alignment horizontal="left" vertical="center" indent="1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vertical="center"/>
    </xf>
    <xf numFmtId="4" fontId="51" fillId="17" borderId="156" applyNumberFormat="0" applyProtection="0">
      <alignment horizontal="right" vertical="center"/>
    </xf>
    <xf numFmtId="4" fontId="53" fillId="46" borderId="156" applyNumberFormat="0" applyProtection="0">
      <alignment horizontal="left" vertical="center" indent="1"/>
    </xf>
    <xf numFmtId="0" fontId="2" fillId="0" borderId="0"/>
    <xf numFmtId="4" fontId="51" fillId="13" borderId="155" applyNumberFormat="0" applyProtection="0">
      <alignment vertical="center"/>
    </xf>
    <xf numFmtId="4" fontId="52" fillId="13" borderId="155" applyNumberFormat="0" applyProtection="0">
      <alignment vertical="center"/>
    </xf>
    <xf numFmtId="4" fontId="51" fillId="13" borderId="155" applyNumberFormat="0" applyProtection="0">
      <alignment horizontal="left" vertical="center" indent="1"/>
    </xf>
    <xf numFmtId="4" fontId="51" fillId="1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35" borderId="155" applyNumberFormat="0" applyProtection="0">
      <alignment horizontal="right" vertical="center"/>
    </xf>
    <xf numFmtId="4" fontId="51" fillId="43" borderId="155" applyNumberFormat="0" applyProtection="0">
      <alignment horizontal="right" vertical="center"/>
    </xf>
    <xf numFmtId="4" fontId="51" fillId="44" borderId="155" applyNumberFormat="0" applyProtection="0">
      <alignment horizontal="right" vertical="center"/>
    </xf>
    <xf numFmtId="4" fontId="51" fillId="12" borderId="155" applyNumberFormat="0" applyProtection="0">
      <alignment horizontal="right" vertical="center"/>
    </xf>
    <xf numFmtId="4" fontId="51" fillId="45" borderId="155" applyNumberFormat="0" applyProtection="0">
      <alignment horizontal="right" vertical="center"/>
    </xf>
    <xf numFmtId="4" fontId="51" fillId="15" borderId="155" applyNumberFormat="0" applyProtection="0">
      <alignment horizontal="right" vertical="center"/>
    </xf>
    <xf numFmtId="4" fontId="51" fillId="17" borderId="155" applyNumberFormat="0" applyProtection="0">
      <alignment horizontal="right" vertical="center"/>
    </xf>
    <xf numFmtId="4" fontId="51" fillId="16" borderId="155" applyNumberFormat="0" applyProtection="0">
      <alignment horizontal="right" vertical="center"/>
    </xf>
    <xf numFmtId="4" fontId="51" fillId="19" borderId="155" applyNumberFormat="0" applyProtection="0">
      <alignment horizontal="right" vertical="center"/>
    </xf>
    <xf numFmtId="4" fontId="53" fillId="46" borderId="155" applyNumberFormat="0" applyProtection="0">
      <alignment horizontal="left" vertical="center" indent="1"/>
    </xf>
    <xf numFmtId="0" fontId="4" fillId="30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33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20" borderId="155" applyNumberFormat="0" applyProtection="0">
      <alignment vertical="center"/>
    </xf>
    <xf numFmtId="4" fontId="52" fillId="20" borderId="155" applyNumberFormat="0" applyProtection="0">
      <alignment vertical="center"/>
    </xf>
    <xf numFmtId="4" fontId="51" fillId="20" borderId="155" applyNumberFormat="0" applyProtection="0">
      <alignment horizontal="left" vertical="center" indent="1"/>
    </xf>
    <xf numFmtId="4" fontId="51" fillId="20" borderId="155" applyNumberFormat="0" applyProtection="0">
      <alignment horizontal="left" vertical="center" indent="1"/>
    </xf>
    <xf numFmtId="4" fontId="51" fillId="47" borderId="155" applyNumberFormat="0" applyProtection="0">
      <alignment horizontal="right" vertical="center"/>
    </xf>
    <xf numFmtId="4" fontId="52" fillId="47" borderId="155" applyNumberFormat="0" applyProtection="0">
      <alignment horizontal="right" vertical="center"/>
    </xf>
    <xf numFmtId="4" fontId="51" fillId="13" borderId="161" applyNumberFormat="0" applyProtection="0">
      <alignment vertical="center"/>
    </xf>
    <xf numFmtId="4" fontId="56" fillId="47" borderId="155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" fillId="47" borderId="155" applyNumberFormat="0" applyProtection="0">
      <alignment horizontal="left" vertical="center" indent="1"/>
    </xf>
    <xf numFmtId="0" fontId="4" fillId="49" borderId="155" applyNumberFormat="0" applyProtection="0">
      <alignment horizontal="left" vertical="center" indent="1"/>
    </xf>
    <xf numFmtId="4" fontId="51" fillId="13" borderId="143" applyNumberFormat="0" applyProtection="0">
      <alignment vertical="center"/>
    </xf>
    <xf numFmtId="4" fontId="52" fillId="13" borderId="143" applyNumberFormat="0" applyProtection="0">
      <alignment vertical="center"/>
    </xf>
    <xf numFmtId="4" fontId="51" fillId="13" borderId="143" applyNumberFormat="0" applyProtection="0">
      <alignment horizontal="left" vertical="center" indent="1"/>
    </xf>
    <xf numFmtId="4" fontId="51" fillId="1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35" borderId="143" applyNumberFormat="0" applyProtection="0">
      <alignment horizontal="right" vertical="center"/>
    </xf>
    <xf numFmtId="4" fontId="51" fillId="43" borderId="143" applyNumberFormat="0" applyProtection="0">
      <alignment horizontal="right" vertical="center"/>
    </xf>
    <xf numFmtId="4" fontId="51" fillId="44" borderId="143" applyNumberFormat="0" applyProtection="0">
      <alignment horizontal="right" vertical="center"/>
    </xf>
    <xf numFmtId="4" fontId="51" fillId="12" borderId="143" applyNumberFormat="0" applyProtection="0">
      <alignment horizontal="right" vertical="center"/>
    </xf>
    <xf numFmtId="4" fontId="51" fillId="45" borderId="143" applyNumberFormat="0" applyProtection="0">
      <alignment horizontal="right" vertical="center"/>
    </xf>
    <xf numFmtId="4" fontId="51" fillId="15" borderId="143" applyNumberFormat="0" applyProtection="0">
      <alignment horizontal="right" vertical="center"/>
    </xf>
    <xf numFmtId="4" fontId="51" fillId="17" borderId="143" applyNumberFormat="0" applyProtection="0">
      <alignment horizontal="right" vertical="center"/>
    </xf>
    <xf numFmtId="4" fontId="51" fillId="16" borderId="143" applyNumberFormat="0" applyProtection="0">
      <alignment horizontal="right" vertical="center"/>
    </xf>
    <xf numFmtId="4" fontId="51" fillId="19" borderId="143" applyNumberFormat="0" applyProtection="0">
      <alignment horizontal="right" vertical="center"/>
    </xf>
    <xf numFmtId="4" fontId="53" fillId="46" borderId="143" applyNumberFormat="0" applyProtection="0">
      <alignment horizontal="left" vertical="center" indent="1"/>
    </xf>
    <xf numFmtId="4" fontId="51" fillId="47" borderId="144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" fillId="47" borderId="143" applyNumberFormat="0" applyProtection="0">
      <alignment horizontal="left" vertical="center" indent="1"/>
    </xf>
    <xf numFmtId="4" fontId="5" fillId="49" borderId="143" applyNumberFormat="0" applyProtection="0">
      <alignment horizontal="left" vertical="center" indent="1"/>
    </xf>
    <xf numFmtId="0" fontId="4" fillId="49" borderId="143" applyNumberFormat="0" applyProtection="0">
      <alignment horizontal="left" vertical="center" indent="1"/>
    </xf>
    <xf numFmtId="0" fontId="4" fillId="49" borderId="143" applyNumberFormat="0" applyProtection="0">
      <alignment horizontal="left" vertical="center" indent="1"/>
    </xf>
    <xf numFmtId="0" fontId="4" fillId="30" borderId="143" applyNumberFormat="0" applyProtection="0">
      <alignment horizontal="left" vertical="center" indent="1"/>
    </xf>
    <xf numFmtId="0" fontId="4" fillId="30" borderId="143" applyNumberFormat="0" applyProtection="0">
      <alignment horizontal="left" vertical="center" indent="1"/>
    </xf>
    <xf numFmtId="0" fontId="4" fillId="33" borderId="143" applyNumberFormat="0" applyProtection="0">
      <alignment horizontal="left" vertical="center" indent="1"/>
    </xf>
    <xf numFmtId="0" fontId="4" fillId="33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1" fillId="20" borderId="143" applyNumberFormat="0" applyProtection="0">
      <alignment vertical="center"/>
    </xf>
    <xf numFmtId="4" fontId="52" fillId="20" borderId="143" applyNumberFormat="0" applyProtection="0">
      <alignment vertical="center"/>
    </xf>
    <xf numFmtId="4" fontId="51" fillId="20" borderId="143" applyNumberFormat="0" applyProtection="0">
      <alignment horizontal="left" vertical="center" indent="1"/>
    </xf>
    <xf numFmtId="4" fontId="51" fillId="20" borderId="143" applyNumberFormat="0" applyProtection="0">
      <alignment horizontal="left" vertical="center" indent="1"/>
    </xf>
    <xf numFmtId="4" fontId="51" fillId="47" borderId="143" applyNumberFormat="0" applyProtection="0">
      <alignment horizontal="right" vertical="center"/>
    </xf>
    <xf numFmtId="4" fontId="52" fillId="47" borderId="143" applyNumberFormat="0" applyProtection="0">
      <alignment horizontal="right" vertical="center"/>
    </xf>
    <xf numFmtId="0" fontId="4" fillId="11" borderId="143" applyNumberFormat="0" applyProtection="0">
      <alignment horizontal="left" vertical="center" indent="1"/>
    </xf>
    <xf numFmtId="0" fontId="4" fillId="11" borderId="143" applyNumberFormat="0" applyProtection="0">
      <alignment horizontal="left" vertical="center" indent="1"/>
    </xf>
    <xf numFmtId="4" fontId="56" fillId="47" borderId="143" applyNumberFormat="0" applyProtection="0">
      <alignment horizontal="right" vertical="center"/>
    </xf>
    <xf numFmtId="0" fontId="4" fillId="11" borderId="155" applyNumberFormat="0" applyProtection="0">
      <alignment horizontal="left" vertical="center" indent="1"/>
    </xf>
    <xf numFmtId="0" fontId="4" fillId="0" borderId="0"/>
    <xf numFmtId="4" fontId="51" fillId="13" borderId="145" applyNumberFormat="0" applyProtection="0">
      <alignment vertical="center"/>
    </xf>
    <xf numFmtId="4" fontId="52" fillId="13" borderId="145" applyNumberFormat="0" applyProtection="0">
      <alignment vertical="center"/>
    </xf>
    <xf numFmtId="4" fontId="51" fillId="13" borderId="145" applyNumberFormat="0" applyProtection="0">
      <alignment horizontal="left" vertical="center" indent="1"/>
    </xf>
    <xf numFmtId="4" fontId="51" fillId="1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1" fillId="35" borderId="145" applyNumberFormat="0" applyProtection="0">
      <alignment horizontal="right" vertical="center"/>
    </xf>
    <xf numFmtId="4" fontId="51" fillId="43" borderId="145" applyNumberFormat="0" applyProtection="0">
      <alignment horizontal="right" vertical="center"/>
    </xf>
    <xf numFmtId="4" fontId="51" fillId="44" borderId="145" applyNumberFormat="0" applyProtection="0">
      <alignment horizontal="right" vertical="center"/>
    </xf>
    <xf numFmtId="4" fontId="51" fillId="12" borderId="145" applyNumberFormat="0" applyProtection="0">
      <alignment horizontal="right" vertical="center"/>
    </xf>
    <xf numFmtId="4" fontId="51" fillId="45" borderId="145" applyNumberFormat="0" applyProtection="0">
      <alignment horizontal="right" vertical="center"/>
    </xf>
    <xf numFmtId="4" fontId="51" fillId="15" borderId="145" applyNumberFormat="0" applyProtection="0">
      <alignment horizontal="right" vertical="center"/>
    </xf>
    <xf numFmtId="4" fontId="51" fillId="17" borderId="145" applyNumberFormat="0" applyProtection="0">
      <alignment horizontal="right" vertical="center"/>
    </xf>
    <xf numFmtId="4" fontId="51" fillId="16" borderId="145" applyNumberFormat="0" applyProtection="0">
      <alignment horizontal="right" vertical="center"/>
    </xf>
    <xf numFmtId="4" fontId="51" fillId="19" borderId="145" applyNumberFormat="0" applyProtection="0">
      <alignment horizontal="right" vertical="center"/>
    </xf>
    <xf numFmtId="4" fontId="53" fillId="46" borderId="145" applyNumberFormat="0" applyProtection="0">
      <alignment horizontal="left" vertical="center" indent="1"/>
    </xf>
    <xf numFmtId="4" fontId="51" fillId="47" borderId="146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" fillId="47" borderId="145" applyNumberFormat="0" applyProtection="0">
      <alignment horizontal="left" vertical="center" indent="1"/>
    </xf>
    <xf numFmtId="4" fontId="5" fillId="49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49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0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33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1" fillId="20" borderId="145" applyNumberFormat="0" applyProtection="0">
      <alignment vertical="center"/>
    </xf>
    <xf numFmtId="4" fontId="52" fillId="20" borderId="145" applyNumberFormat="0" applyProtection="0">
      <alignment vertical="center"/>
    </xf>
    <xf numFmtId="4" fontId="51" fillId="20" borderId="145" applyNumberFormat="0" applyProtection="0">
      <alignment horizontal="left" vertical="center" indent="1"/>
    </xf>
    <xf numFmtId="4" fontId="51" fillId="20" borderId="145" applyNumberFormat="0" applyProtection="0">
      <alignment horizontal="left" vertical="center" indent="1"/>
    </xf>
    <xf numFmtId="4" fontId="51" fillId="47" borderId="145" applyNumberFormat="0" applyProtection="0">
      <alignment horizontal="right" vertical="center"/>
    </xf>
    <xf numFmtId="4" fontId="52" fillId="47" borderId="145" applyNumberFormat="0" applyProtection="0">
      <alignment horizontal="right" vertical="center"/>
    </xf>
    <xf numFmtId="0" fontId="4" fillId="11" borderId="145" applyNumberFormat="0" applyProtection="0">
      <alignment horizontal="left" vertical="center" indent="1"/>
    </xf>
    <xf numFmtId="0" fontId="4" fillId="11" borderId="145" applyNumberFormat="0" applyProtection="0">
      <alignment horizontal="left" vertical="center" indent="1"/>
    </xf>
    <xf numFmtId="4" fontId="56" fillId="47" borderId="145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8" applyNumberFormat="0" applyProtection="0">
      <alignment horizontal="left" vertical="center" indent="1"/>
    </xf>
    <xf numFmtId="4" fontId="51" fillId="47" borderId="153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9" borderId="156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0" fontId="4" fillId="30" borderId="155" applyNumberFormat="0" applyProtection="0">
      <alignment horizontal="left" vertical="center" indent="1"/>
    </xf>
    <xf numFmtId="4" fontId="5" fillId="49" borderId="155" applyNumberFormat="0" applyProtection="0">
      <alignment horizontal="left" vertical="center" indent="1"/>
    </xf>
    <xf numFmtId="0" fontId="4" fillId="11" borderId="155" applyNumberFormat="0" applyProtection="0">
      <alignment horizontal="left" vertical="center" indent="1"/>
    </xf>
    <xf numFmtId="4" fontId="51" fillId="13" borderId="147" applyNumberFormat="0" applyProtection="0">
      <alignment vertical="center"/>
    </xf>
    <xf numFmtId="4" fontId="52" fillId="13" borderId="147" applyNumberFormat="0" applyProtection="0">
      <alignment vertical="center"/>
    </xf>
    <xf numFmtId="4" fontId="51" fillId="13" borderId="147" applyNumberFormat="0" applyProtection="0">
      <alignment horizontal="left" vertical="center" indent="1"/>
    </xf>
    <xf numFmtId="4" fontId="51" fillId="1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35" borderId="147" applyNumberFormat="0" applyProtection="0">
      <alignment horizontal="right" vertical="center"/>
    </xf>
    <xf numFmtId="4" fontId="51" fillId="43" borderId="147" applyNumberFormat="0" applyProtection="0">
      <alignment horizontal="right" vertical="center"/>
    </xf>
    <xf numFmtId="4" fontId="51" fillId="44" borderId="147" applyNumberFormat="0" applyProtection="0">
      <alignment horizontal="right" vertical="center"/>
    </xf>
    <xf numFmtId="4" fontId="51" fillId="12" borderId="147" applyNumberFormat="0" applyProtection="0">
      <alignment horizontal="right" vertical="center"/>
    </xf>
    <xf numFmtId="4" fontId="51" fillId="45" borderId="147" applyNumberFormat="0" applyProtection="0">
      <alignment horizontal="right" vertical="center"/>
    </xf>
    <xf numFmtId="4" fontId="51" fillId="15" borderId="147" applyNumberFormat="0" applyProtection="0">
      <alignment horizontal="right" vertical="center"/>
    </xf>
    <xf numFmtId="4" fontId="51" fillId="17" borderId="147" applyNumberFormat="0" applyProtection="0">
      <alignment horizontal="right" vertical="center"/>
    </xf>
    <xf numFmtId="4" fontId="51" fillId="16" borderId="147" applyNumberFormat="0" applyProtection="0">
      <alignment horizontal="right" vertical="center"/>
    </xf>
    <xf numFmtId="4" fontId="51" fillId="19" borderId="147" applyNumberFormat="0" applyProtection="0">
      <alignment horizontal="right" vertical="center"/>
    </xf>
    <xf numFmtId="4" fontId="53" fillId="46" borderId="147" applyNumberFormat="0" applyProtection="0">
      <alignment horizontal="left" vertical="center" indent="1"/>
    </xf>
    <xf numFmtId="4" fontId="51" fillId="47" borderId="149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" fillId="47" borderId="147" applyNumberFormat="0" applyProtection="0">
      <alignment horizontal="left" vertical="center" indent="1"/>
    </xf>
    <xf numFmtId="4" fontId="5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49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0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33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1" fillId="20" borderId="147" applyNumberFormat="0" applyProtection="0">
      <alignment vertical="center"/>
    </xf>
    <xf numFmtId="4" fontId="52" fillId="20" borderId="147" applyNumberFormat="0" applyProtection="0">
      <alignment vertical="center"/>
    </xf>
    <xf numFmtId="4" fontId="51" fillId="20" borderId="147" applyNumberFormat="0" applyProtection="0">
      <alignment horizontal="left" vertical="center" indent="1"/>
    </xf>
    <xf numFmtId="4" fontId="51" fillId="20" borderId="147" applyNumberFormat="0" applyProtection="0">
      <alignment horizontal="left" vertical="center" indent="1"/>
    </xf>
    <xf numFmtId="4" fontId="51" fillId="47" borderId="147" applyNumberFormat="0" applyProtection="0">
      <alignment horizontal="right" vertical="center"/>
    </xf>
    <xf numFmtId="4" fontId="52" fillId="47" borderId="147" applyNumberFormat="0" applyProtection="0">
      <alignment horizontal="right" vertical="center"/>
    </xf>
    <xf numFmtId="0" fontId="4" fillId="11" borderId="147" applyNumberFormat="0" applyProtection="0">
      <alignment horizontal="left" vertical="center" indent="1"/>
    </xf>
    <xf numFmtId="0" fontId="4" fillId="11" borderId="147" applyNumberFormat="0" applyProtection="0">
      <alignment horizontal="left" vertical="center" indent="1"/>
    </xf>
    <xf numFmtId="4" fontId="56" fillId="47" borderId="147" applyNumberFormat="0" applyProtection="0">
      <alignment horizontal="right" vertical="center"/>
    </xf>
    <xf numFmtId="0" fontId="4" fillId="49" borderId="155" applyNumberFormat="0" applyProtection="0">
      <alignment horizontal="left" vertical="center" indent="1"/>
    </xf>
    <xf numFmtId="4" fontId="51" fillId="13" borderId="156" applyNumberFormat="0" applyProtection="0">
      <alignment vertical="center"/>
    </xf>
    <xf numFmtId="4" fontId="52" fillId="13" borderId="156" applyNumberFormat="0" applyProtection="0">
      <alignment vertical="center"/>
    </xf>
    <xf numFmtId="4" fontId="51" fillId="13" borderId="156" applyNumberFormat="0" applyProtection="0">
      <alignment horizontal="left" vertical="center" indent="1"/>
    </xf>
    <xf numFmtId="4" fontId="51" fillId="13" borderId="156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1" fillId="35" borderId="156" applyNumberFormat="0" applyProtection="0">
      <alignment horizontal="right" vertical="center"/>
    </xf>
    <xf numFmtId="4" fontId="51" fillId="43" borderId="156" applyNumberFormat="0" applyProtection="0">
      <alignment horizontal="right" vertical="center"/>
    </xf>
    <xf numFmtId="4" fontId="51" fillId="47" borderId="150" applyNumberFormat="0" applyProtection="0">
      <alignment horizontal="left" vertical="center" indent="1"/>
    </xf>
    <xf numFmtId="4" fontId="51" fillId="47" borderId="157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" fillId="47" borderId="156" applyNumberFormat="0" applyProtection="0">
      <alignment horizontal="left" vertical="center" indent="1"/>
    </xf>
    <xf numFmtId="0" fontId="4" fillId="49" borderId="156" applyNumberFormat="0" applyProtection="0">
      <alignment horizontal="left" vertical="center" indent="1"/>
    </xf>
    <xf numFmtId="0" fontId="4" fillId="49" borderId="156" applyNumberFormat="0" applyProtection="0">
      <alignment horizontal="left" vertical="center" indent="1"/>
    </xf>
    <xf numFmtId="0" fontId="4" fillId="30" borderId="156" applyNumberFormat="0" applyProtection="0">
      <alignment horizontal="left" vertical="center" indent="1"/>
    </xf>
    <xf numFmtId="0" fontId="4" fillId="30" borderId="156" applyNumberFormat="0" applyProtection="0">
      <alignment horizontal="left" vertical="center" indent="1"/>
    </xf>
    <xf numFmtId="0" fontId="4" fillId="33" borderId="156" applyNumberFormat="0" applyProtection="0">
      <alignment horizontal="left" vertical="center" indent="1"/>
    </xf>
    <xf numFmtId="0" fontId="4" fillId="33" borderId="156" applyNumberFormat="0" applyProtection="0">
      <alignment horizontal="left" vertical="center" indent="1"/>
    </xf>
    <xf numFmtId="0" fontId="4" fillId="11" borderId="156" applyNumberFormat="0" applyProtection="0">
      <alignment horizontal="left" vertical="center" indent="1"/>
    </xf>
    <xf numFmtId="4" fontId="52" fillId="20" borderId="156" applyNumberFormat="0" applyProtection="0">
      <alignment vertical="center"/>
    </xf>
    <xf numFmtId="4" fontId="51" fillId="20" borderId="156" applyNumberFormat="0" applyProtection="0">
      <alignment horizontal="left" vertical="center" indent="1"/>
    </xf>
    <xf numFmtId="4" fontId="51" fillId="20" borderId="156" applyNumberFormat="0" applyProtection="0">
      <alignment horizontal="left" vertical="center" indent="1"/>
    </xf>
    <xf numFmtId="4" fontId="51" fillId="47" borderId="156" applyNumberFormat="0" applyProtection="0">
      <alignment horizontal="right" vertical="center"/>
    </xf>
    <xf numFmtId="4" fontId="52" fillId="47" borderId="156" applyNumberFormat="0" applyProtection="0">
      <alignment horizontal="right" vertical="center"/>
    </xf>
    <xf numFmtId="0" fontId="4" fillId="11" borderId="156" applyNumberFormat="0" applyProtection="0">
      <alignment horizontal="left" vertical="center" indent="1"/>
    </xf>
    <xf numFmtId="4" fontId="51" fillId="45" borderId="156" applyNumberFormat="0" applyProtection="0">
      <alignment horizontal="right" vertical="center"/>
    </xf>
    <xf numFmtId="0" fontId="4" fillId="11" borderId="156" applyNumberFormat="0" applyProtection="0">
      <alignment horizontal="left" vertical="center" indent="1"/>
    </xf>
    <xf numFmtId="4" fontId="51" fillId="15" borderId="156" applyNumberFormat="0" applyProtection="0">
      <alignment horizontal="right" vertical="center"/>
    </xf>
    <xf numFmtId="4" fontId="51" fillId="16" borderId="156" applyNumberFormat="0" applyProtection="0">
      <alignment horizontal="right" vertical="center"/>
    </xf>
    <xf numFmtId="4" fontId="51" fillId="44" borderId="156" applyNumberFormat="0" applyProtection="0">
      <alignment horizontal="right" vertical="center"/>
    </xf>
    <xf numFmtId="0" fontId="4" fillId="11" borderId="156" applyNumberFormat="0" applyProtection="0">
      <alignment horizontal="left" vertical="center" indent="1"/>
    </xf>
    <xf numFmtId="4" fontId="51" fillId="20" borderId="156" applyNumberFormat="0" applyProtection="0">
      <alignment vertical="center"/>
    </xf>
    <xf numFmtId="4" fontId="51" fillId="13" borderId="151" applyNumberFormat="0" applyProtection="0">
      <alignment vertical="center"/>
    </xf>
    <xf numFmtId="4" fontId="52" fillId="13" borderId="151" applyNumberFormat="0" applyProtection="0">
      <alignment vertical="center"/>
    </xf>
    <xf numFmtId="4" fontId="51" fillId="13" borderId="151" applyNumberFormat="0" applyProtection="0">
      <alignment horizontal="left" vertical="center" indent="1"/>
    </xf>
    <xf numFmtId="4" fontId="51" fillId="1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35" borderId="151" applyNumberFormat="0" applyProtection="0">
      <alignment horizontal="right" vertical="center"/>
    </xf>
    <xf numFmtId="4" fontId="51" fillId="43" borderId="151" applyNumberFormat="0" applyProtection="0">
      <alignment horizontal="right" vertical="center"/>
    </xf>
    <xf numFmtId="4" fontId="51" fillId="44" borderId="151" applyNumberFormat="0" applyProtection="0">
      <alignment horizontal="right" vertical="center"/>
    </xf>
    <xf numFmtId="4" fontId="51" fillId="12" borderId="151" applyNumberFormat="0" applyProtection="0">
      <alignment horizontal="right" vertical="center"/>
    </xf>
    <xf numFmtId="4" fontId="51" fillId="45" borderId="151" applyNumberFormat="0" applyProtection="0">
      <alignment horizontal="right" vertical="center"/>
    </xf>
    <xf numFmtId="4" fontId="51" fillId="15" borderId="151" applyNumberFormat="0" applyProtection="0">
      <alignment horizontal="right" vertical="center"/>
    </xf>
    <xf numFmtId="4" fontId="51" fillId="17" borderId="151" applyNumberFormat="0" applyProtection="0">
      <alignment horizontal="right" vertical="center"/>
    </xf>
    <xf numFmtId="4" fontId="51" fillId="16" borderId="151" applyNumberFormat="0" applyProtection="0">
      <alignment horizontal="right" vertical="center"/>
    </xf>
    <xf numFmtId="4" fontId="51" fillId="19" borderId="151" applyNumberFormat="0" applyProtection="0">
      <alignment horizontal="right" vertical="center"/>
    </xf>
    <xf numFmtId="4" fontId="53" fillId="46" borderId="151" applyNumberFormat="0" applyProtection="0">
      <alignment horizontal="left" vertical="center" indent="1"/>
    </xf>
    <xf numFmtId="4" fontId="51" fillId="47" borderId="152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" fillId="47" borderId="151" applyNumberFormat="0" applyProtection="0">
      <alignment horizontal="left" vertical="center" indent="1"/>
    </xf>
    <xf numFmtId="4" fontId="5" fillId="49" borderId="151" applyNumberFormat="0" applyProtection="0">
      <alignment horizontal="left" vertical="center" indent="1"/>
    </xf>
    <xf numFmtId="0" fontId="4" fillId="49" borderId="151" applyNumberFormat="0" applyProtection="0">
      <alignment horizontal="left" vertical="center" indent="1"/>
    </xf>
    <xf numFmtId="0" fontId="4" fillId="49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0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33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1" fillId="20" borderId="151" applyNumberFormat="0" applyProtection="0">
      <alignment vertical="center"/>
    </xf>
    <xf numFmtId="4" fontId="52" fillId="20" borderId="151" applyNumberFormat="0" applyProtection="0">
      <alignment vertical="center"/>
    </xf>
    <xf numFmtId="4" fontId="51" fillId="20" borderId="151" applyNumberFormat="0" applyProtection="0">
      <alignment horizontal="left" vertical="center" indent="1"/>
    </xf>
    <xf numFmtId="4" fontId="51" fillId="20" borderId="151" applyNumberFormat="0" applyProtection="0">
      <alignment horizontal="left" vertical="center" indent="1"/>
    </xf>
    <xf numFmtId="4" fontId="51" fillId="47" borderId="151" applyNumberFormat="0" applyProtection="0">
      <alignment horizontal="right" vertical="center"/>
    </xf>
    <xf numFmtId="4" fontId="52" fillId="47" borderId="151" applyNumberFormat="0" applyProtection="0">
      <alignment horizontal="right" vertical="center"/>
    </xf>
    <xf numFmtId="0" fontId="4" fillId="11" borderId="151" applyNumberFormat="0" applyProtection="0">
      <alignment horizontal="left" vertical="center" indent="1"/>
    </xf>
    <xf numFmtId="0" fontId="4" fillId="11" borderId="151" applyNumberFormat="0" applyProtection="0">
      <alignment horizontal="left" vertical="center" indent="1"/>
    </xf>
    <xf numFmtId="4" fontId="56" fillId="47" borderId="151" applyNumberFormat="0" applyProtection="0">
      <alignment horizontal="right" vertical="center"/>
    </xf>
    <xf numFmtId="4" fontId="51" fillId="47" borderId="160" applyNumberFormat="0" applyProtection="0">
      <alignment horizontal="left" vertical="center" indent="1"/>
    </xf>
    <xf numFmtId="4" fontId="51" fillId="47" borderId="154" applyNumberFormat="0" applyProtection="0">
      <alignment horizontal="left" vertical="center" indent="1"/>
    </xf>
    <xf numFmtId="4" fontId="51" fillId="19" borderId="156" applyNumberFormat="0" applyProtection="0">
      <alignment horizontal="right" vertical="center"/>
    </xf>
    <xf numFmtId="4" fontId="56" fillId="47" borderId="156" applyNumberFormat="0" applyProtection="0">
      <alignment horizontal="right" vertical="center"/>
    </xf>
    <xf numFmtId="4" fontId="51" fillId="13" borderId="158" applyNumberFormat="0" applyProtection="0">
      <alignment vertical="center"/>
    </xf>
    <xf numFmtId="4" fontId="52" fillId="13" borderId="158" applyNumberFormat="0" applyProtection="0">
      <alignment vertical="center"/>
    </xf>
    <xf numFmtId="4" fontId="51" fillId="13" borderId="158" applyNumberFormat="0" applyProtection="0">
      <alignment horizontal="left" vertical="center" indent="1"/>
    </xf>
    <xf numFmtId="4" fontId="51" fillId="13" borderId="158" applyNumberFormat="0" applyProtection="0">
      <alignment horizontal="left" vertical="center" indent="1"/>
    </xf>
    <xf numFmtId="0" fontId="4" fillId="11" borderId="158" applyNumberFormat="0" applyProtection="0">
      <alignment horizontal="left" vertical="center" indent="1"/>
    </xf>
    <xf numFmtId="4" fontId="51" fillId="35" borderId="158" applyNumberFormat="0" applyProtection="0">
      <alignment horizontal="right" vertical="center"/>
    </xf>
    <xf numFmtId="4" fontId="51" fillId="43" borderId="158" applyNumberFormat="0" applyProtection="0">
      <alignment horizontal="right" vertical="center"/>
    </xf>
    <xf numFmtId="4" fontId="51" fillId="44" borderId="158" applyNumberFormat="0" applyProtection="0">
      <alignment horizontal="right" vertical="center"/>
    </xf>
    <xf numFmtId="4" fontId="51" fillId="12" borderId="158" applyNumberFormat="0" applyProtection="0">
      <alignment horizontal="right" vertical="center"/>
    </xf>
    <xf numFmtId="4" fontId="51" fillId="45" borderId="158" applyNumberFormat="0" applyProtection="0">
      <alignment horizontal="right" vertical="center"/>
    </xf>
    <xf numFmtId="4" fontId="51" fillId="15" borderId="158" applyNumberFormat="0" applyProtection="0">
      <alignment horizontal="right" vertical="center"/>
    </xf>
    <xf numFmtId="4" fontId="51" fillId="17" borderId="158" applyNumberFormat="0" applyProtection="0">
      <alignment horizontal="right" vertical="center"/>
    </xf>
    <xf numFmtId="4" fontId="51" fillId="16" borderId="158" applyNumberFormat="0" applyProtection="0">
      <alignment horizontal="right" vertical="center"/>
    </xf>
    <xf numFmtId="4" fontId="51" fillId="19" borderId="158" applyNumberFormat="0" applyProtection="0">
      <alignment horizontal="right" vertical="center"/>
    </xf>
    <xf numFmtId="4" fontId="53" fillId="46" borderId="158" applyNumberFormat="0" applyProtection="0">
      <alignment horizontal="left" vertical="center" indent="1"/>
    </xf>
    <xf numFmtId="4" fontId="51" fillId="47" borderId="159" applyNumberFormat="0" applyProtection="0">
      <alignment horizontal="left" vertical="center" indent="1"/>
    </xf>
    <xf numFmtId="0" fontId="4" fillId="11" borderId="158" applyNumberFormat="0" applyProtection="0">
      <alignment horizontal="left" vertical="center" indent="1"/>
    </xf>
    <xf numFmtId="4" fontId="5" fillId="47" borderId="158" applyNumberFormat="0" applyProtection="0">
      <alignment horizontal="left" vertical="center" indent="1"/>
    </xf>
    <xf numFmtId="4" fontId="5" fillId="49" borderId="158" applyNumberFormat="0" applyProtection="0">
      <alignment horizontal="left" vertical="center" indent="1"/>
    </xf>
    <xf numFmtId="0" fontId="4" fillId="49" borderId="158" applyNumberFormat="0" applyProtection="0">
      <alignment horizontal="left" vertical="center" indent="1"/>
    </xf>
    <xf numFmtId="0" fontId="4" fillId="49" borderId="158" applyNumberFormat="0" applyProtection="0">
      <alignment horizontal="left" vertical="center" indent="1"/>
    </xf>
    <xf numFmtId="0" fontId="4" fillId="30" borderId="158" applyNumberFormat="0" applyProtection="0">
      <alignment horizontal="left" vertical="center" indent="1"/>
    </xf>
    <xf numFmtId="0" fontId="4" fillId="30" borderId="158" applyNumberFormat="0" applyProtection="0">
      <alignment horizontal="left" vertical="center" indent="1"/>
    </xf>
    <xf numFmtId="0" fontId="4" fillId="33" borderId="158" applyNumberFormat="0" applyProtection="0">
      <alignment horizontal="left" vertical="center" indent="1"/>
    </xf>
    <xf numFmtId="0" fontId="4" fillId="33" borderId="158" applyNumberFormat="0" applyProtection="0">
      <alignment horizontal="left" vertical="center" indent="1"/>
    </xf>
    <xf numFmtId="0" fontId="4" fillId="11" borderId="158" applyNumberFormat="0" applyProtection="0">
      <alignment horizontal="left" vertical="center" indent="1"/>
    </xf>
    <xf numFmtId="0" fontId="4" fillId="11" borderId="158" applyNumberFormat="0" applyProtection="0">
      <alignment horizontal="left" vertical="center" indent="1"/>
    </xf>
    <xf numFmtId="4" fontId="51" fillId="20" borderId="158" applyNumberFormat="0" applyProtection="0">
      <alignment vertical="center"/>
    </xf>
    <xf numFmtId="4" fontId="52" fillId="20" borderId="158" applyNumberFormat="0" applyProtection="0">
      <alignment vertical="center"/>
    </xf>
    <xf numFmtId="4" fontId="51" fillId="20" borderId="158" applyNumberFormat="0" applyProtection="0">
      <alignment horizontal="left" vertical="center" indent="1"/>
    </xf>
    <xf numFmtId="4" fontId="51" fillId="20" borderId="158" applyNumberFormat="0" applyProtection="0">
      <alignment horizontal="left" vertical="center" indent="1"/>
    </xf>
    <xf numFmtId="4" fontId="51" fillId="47" borderId="158" applyNumberFormat="0" applyProtection="0">
      <alignment horizontal="right" vertical="center"/>
    </xf>
    <xf numFmtId="4" fontId="52" fillId="47" borderId="158" applyNumberFormat="0" applyProtection="0">
      <alignment horizontal="right" vertical="center"/>
    </xf>
    <xf numFmtId="0" fontId="4" fillId="11" borderId="158" applyNumberFormat="0" applyProtection="0">
      <alignment horizontal="left" vertical="center" indent="1"/>
    </xf>
    <xf numFmtId="0" fontId="4" fillId="11" borderId="158" applyNumberFormat="0" applyProtection="0">
      <alignment horizontal="left" vertical="center" indent="1"/>
    </xf>
    <xf numFmtId="4" fontId="56" fillId="47" borderId="158" applyNumberFormat="0" applyProtection="0">
      <alignment horizontal="right" vertical="center"/>
    </xf>
    <xf numFmtId="4" fontId="52" fillId="13" borderId="161" applyNumberFormat="0" applyProtection="0">
      <alignment vertical="center"/>
    </xf>
    <xf numFmtId="4" fontId="51" fillId="13" borderId="161" applyNumberFormat="0" applyProtection="0">
      <alignment horizontal="left" vertical="center" indent="1"/>
    </xf>
    <xf numFmtId="4" fontId="51" fillId="1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35" borderId="161" applyNumberFormat="0" applyProtection="0">
      <alignment horizontal="right" vertical="center"/>
    </xf>
    <xf numFmtId="4" fontId="51" fillId="43" borderId="161" applyNumberFormat="0" applyProtection="0">
      <alignment horizontal="right" vertical="center"/>
    </xf>
    <xf numFmtId="4" fontId="51" fillId="44" borderId="161" applyNumberFormat="0" applyProtection="0">
      <alignment horizontal="right" vertical="center"/>
    </xf>
    <xf numFmtId="4" fontId="51" fillId="12" borderId="161" applyNumberFormat="0" applyProtection="0">
      <alignment horizontal="right" vertical="center"/>
    </xf>
    <xf numFmtId="4" fontId="51" fillId="45" borderId="161" applyNumberFormat="0" applyProtection="0">
      <alignment horizontal="right" vertical="center"/>
    </xf>
    <xf numFmtId="4" fontId="51" fillId="15" borderId="161" applyNumberFormat="0" applyProtection="0">
      <alignment horizontal="right" vertical="center"/>
    </xf>
    <xf numFmtId="4" fontId="51" fillId="17" borderId="161" applyNumberFormat="0" applyProtection="0">
      <alignment horizontal="right" vertical="center"/>
    </xf>
    <xf numFmtId="4" fontId="51" fillId="16" borderId="161" applyNumberFormat="0" applyProtection="0">
      <alignment horizontal="right" vertical="center"/>
    </xf>
    <xf numFmtId="4" fontId="51" fillId="19" borderId="161" applyNumberFormat="0" applyProtection="0">
      <alignment horizontal="right" vertical="center"/>
    </xf>
    <xf numFmtId="4" fontId="53" fillId="46" borderId="161" applyNumberFormat="0" applyProtection="0">
      <alignment horizontal="left" vertical="center" indent="1"/>
    </xf>
    <xf numFmtId="4" fontId="51" fillId="47" borderId="162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" fillId="47" borderId="161" applyNumberFormat="0" applyProtection="0">
      <alignment horizontal="left" vertical="center" indent="1"/>
    </xf>
    <xf numFmtId="4" fontId="5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49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0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33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1" fillId="20" borderId="161" applyNumberFormat="0" applyProtection="0">
      <alignment vertical="center"/>
    </xf>
    <xf numFmtId="4" fontId="52" fillId="20" borderId="161" applyNumberFormat="0" applyProtection="0">
      <alignment vertical="center"/>
    </xf>
    <xf numFmtId="4" fontId="51" fillId="20" borderId="161" applyNumberFormat="0" applyProtection="0">
      <alignment horizontal="left" vertical="center" indent="1"/>
    </xf>
    <xf numFmtId="4" fontId="51" fillId="20" borderId="161" applyNumberFormat="0" applyProtection="0">
      <alignment horizontal="left" vertical="center" indent="1"/>
    </xf>
    <xf numFmtId="4" fontId="51" fillId="47" borderId="161" applyNumberFormat="0" applyProtection="0">
      <alignment horizontal="right" vertical="center"/>
    </xf>
    <xf numFmtId="4" fontId="52" fillId="47" borderId="161" applyNumberFormat="0" applyProtection="0">
      <alignment horizontal="right" vertical="center"/>
    </xf>
    <xf numFmtId="0" fontId="4" fillId="11" borderId="161" applyNumberFormat="0" applyProtection="0">
      <alignment horizontal="left" vertical="center" indent="1"/>
    </xf>
    <xf numFmtId="0" fontId="4" fillId="11" borderId="161" applyNumberFormat="0" applyProtection="0">
      <alignment horizontal="left" vertical="center" indent="1"/>
    </xf>
    <xf numFmtId="4" fontId="56" fillId="47" borderId="161" applyNumberFormat="0" applyProtection="0">
      <alignment horizontal="right" vertical="center"/>
    </xf>
    <xf numFmtId="0" fontId="1" fillId="0" borderId="0"/>
    <xf numFmtId="4" fontId="51" fillId="13" borderId="175" applyNumberFormat="0" applyProtection="0">
      <alignment vertical="center"/>
    </xf>
    <xf numFmtId="4" fontId="52" fillId="13" borderId="175" applyNumberFormat="0" applyProtection="0">
      <alignment vertical="center"/>
    </xf>
    <xf numFmtId="4" fontId="51" fillId="13" borderId="175" applyNumberFormat="0" applyProtection="0">
      <alignment horizontal="left" vertical="center" indent="1"/>
    </xf>
    <xf numFmtId="4" fontId="51" fillId="13" borderId="175" applyNumberFormat="0" applyProtection="0">
      <alignment horizontal="left" vertical="center" indent="1"/>
    </xf>
    <xf numFmtId="0" fontId="4" fillId="11" borderId="175" applyNumberFormat="0" applyProtection="0">
      <alignment horizontal="left" vertical="center" indent="1"/>
    </xf>
    <xf numFmtId="4" fontId="51" fillId="35" borderId="175" applyNumberFormat="0" applyProtection="0">
      <alignment horizontal="right" vertical="center"/>
    </xf>
    <xf numFmtId="4" fontId="51" fillId="43" borderId="175" applyNumberFormat="0" applyProtection="0">
      <alignment horizontal="right" vertical="center"/>
    </xf>
    <xf numFmtId="4" fontId="51" fillId="44" borderId="175" applyNumberFormat="0" applyProtection="0">
      <alignment horizontal="right" vertical="center"/>
    </xf>
    <xf numFmtId="4" fontId="51" fillId="12" borderId="175" applyNumberFormat="0" applyProtection="0">
      <alignment horizontal="right" vertical="center"/>
    </xf>
    <xf numFmtId="4" fontId="51" fillId="45" borderId="175" applyNumberFormat="0" applyProtection="0">
      <alignment horizontal="right" vertical="center"/>
    </xf>
    <xf numFmtId="4" fontId="51" fillId="15" borderId="175" applyNumberFormat="0" applyProtection="0">
      <alignment horizontal="right" vertical="center"/>
    </xf>
    <xf numFmtId="4" fontId="51" fillId="17" borderId="175" applyNumberFormat="0" applyProtection="0">
      <alignment horizontal="right" vertical="center"/>
    </xf>
    <xf numFmtId="4" fontId="51" fillId="16" borderId="175" applyNumberFormat="0" applyProtection="0">
      <alignment horizontal="right" vertical="center"/>
    </xf>
    <xf numFmtId="4" fontId="51" fillId="19" borderId="175" applyNumberFormat="0" applyProtection="0">
      <alignment horizontal="right" vertical="center"/>
    </xf>
    <xf numFmtId="4" fontId="53" fillId="46" borderId="175" applyNumberFormat="0" applyProtection="0">
      <alignment horizontal="left" vertical="center" indent="1"/>
    </xf>
    <xf numFmtId="4" fontId="51" fillId="47" borderId="176" applyNumberFormat="0" applyProtection="0">
      <alignment horizontal="left" vertical="center" indent="1"/>
    </xf>
    <xf numFmtId="0" fontId="4" fillId="11" borderId="175" applyNumberFormat="0" applyProtection="0">
      <alignment horizontal="left" vertical="center" indent="1"/>
    </xf>
    <xf numFmtId="4" fontId="5" fillId="47" borderId="175" applyNumberFormat="0" applyProtection="0">
      <alignment horizontal="left" vertical="center" indent="1"/>
    </xf>
    <xf numFmtId="4" fontId="5" fillId="49" borderId="175" applyNumberFormat="0" applyProtection="0">
      <alignment horizontal="left" vertical="center" indent="1"/>
    </xf>
    <xf numFmtId="0" fontId="4" fillId="49" borderId="175" applyNumberFormat="0" applyProtection="0">
      <alignment horizontal="left" vertical="center" indent="1"/>
    </xf>
    <xf numFmtId="0" fontId="4" fillId="49" borderId="175" applyNumberFormat="0" applyProtection="0">
      <alignment horizontal="left" vertical="center" indent="1"/>
    </xf>
    <xf numFmtId="0" fontId="4" fillId="30" borderId="175" applyNumberFormat="0" applyProtection="0">
      <alignment horizontal="left" vertical="center" indent="1"/>
    </xf>
    <xf numFmtId="0" fontId="4" fillId="30" borderId="175" applyNumberFormat="0" applyProtection="0">
      <alignment horizontal="left" vertical="center" indent="1"/>
    </xf>
    <xf numFmtId="0" fontId="4" fillId="33" borderId="175" applyNumberFormat="0" applyProtection="0">
      <alignment horizontal="left" vertical="center" indent="1"/>
    </xf>
    <xf numFmtId="0" fontId="4" fillId="33" borderId="175" applyNumberFormat="0" applyProtection="0">
      <alignment horizontal="left" vertical="center" indent="1"/>
    </xf>
    <xf numFmtId="0" fontId="4" fillId="11" borderId="175" applyNumberFormat="0" applyProtection="0">
      <alignment horizontal="left" vertical="center" indent="1"/>
    </xf>
    <xf numFmtId="0" fontId="4" fillId="11" borderId="175" applyNumberFormat="0" applyProtection="0">
      <alignment horizontal="left" vertical="center" indent="1"/>
    </xf>
    <xf numFmtId="4" fontId="51" fillId="20" borderId="175" applyNumberFormat="0" applyProtection="0">
      <alignment vertical="center"/>
    </xf>
    <xf numFmtId="4" fontId="52" fillId="20" borderId="175" applyNumberFormat="0" applyProtection="0">
      <alignment vertical="center"/>
    </xf>
    <xf numFmtId="4" fontId="51" fillId="20" borderId="175" applyNumberFormat="0" applyProtection="0">
      <alignment horizontal="left" vertical="center" indent="1"/>
    </xf>
    <xf numFmtId="4" fontId="51" fillId="20" borderId="175" applyNumberFormat="0" applyProtection="0">
      <alignment horizontal="left" vertical="center" indent="1"/>
    </xf>
    <xf numFmtId="4" fontId="51" fillId="47" borderId="175" applyNumberFormat="0" applyProtection="0">
      <alignment horizontal="right" vertical="center"/>
    </xf>
    <xf numFmtId="4" fontId="52" fillId="47" borderId="175" applyNumberFormat="0" applyProtection="0">
      <alignment horizontal="right" vertical="center"/>
    </xf>
    <xf numFmtId="0" fontId="4" fillId="11" borderId="175" applyNumberFormat="0" applyProtection="0">
      <alignment horizontal="left" vertical="center" indent="1"/>
    </xf>
    <xf numFmtId="0" fontId="4" fillId="11" borderId="175" applyNumberFormat="0" applyProtection="0">
      <alignment horizontal="left" vertical="center" indent="1"/>
    </xf>
    <xf numFmtId="4" fontId="56" fillId="47" borderId="175" applyNumberFormat="0" applyProtection="0">
      <alignment horizontal="right" vertical="center"/>
    </xf>
    <xf numFmtId="4" fontId="51" fillId="13" borderId="177" applyNumberFormat="0" applyProtection="0">
      <alignment horizontal="left" vertical="center" indent="1"/>
    </xf>
    <xf numFmtId="4" fontId="51" fillId="12" borderId="177" applyNumberFormat="0" applyProtection="0">
      <alignment horizontal="right" vertical="center"/>
    </xf>
    <xf numFmtId="4" fontId="51" fillId="13" borderId="177" applyNumberFormat="0" applyProtection="0">
      <alignment horizontal="left" vertical="center" indent="1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vertical="center"/>
    </xf>
    <xf numFmtId="4" fontId="51" fillId="17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0" fontId="1" fillId="0" borderId="0"/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4" fontId="51" fillId="13" borderId="177" applyNumberFormat="0" applyProtection="0">
      <alignment vertical="center"/>
    </xf>
    <xf numFmtId="4" fontId="56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  <xf numFmtId="0" fontId="4" fillId="30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  <xf numFmtId="0" fontId="4" fillId="49" borderId="177" applyNumberFormat="0" applyProtection="0">
      <alignment horizontal="left" vertical="center" indent="1"/>
    </xf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7" borderId="178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4" fontId="51" fillId="45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4" fontId="51" fillId="15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  <xf numFmtId="4" fontId="51" fillId="47" borderId="178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4" fontId="51" fillId="19" borderId="177" applyNumberFormat="0" applyProtection="0">
      <alignment horizontal="right" vertical="center"/>
    </xf>
    <xf numFmtId="4" fontId="56" fillId="47" borderId="177" applyNumberFormat="0" applyProtection="0">
      <alignment horizontal="right" vertical="center"/>
    </xf>
    <xf numFmtId="4" fontId="51" fillId="13" borderId="177" applyNumberFormat="0" applyProtection="0">
      <alignment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  <xf numFmtId="4" fontId="52" fillId="13" borderId="177" applyNumberFormat="0" applyProtection="0">
      <alignment vertical="center"/>
    </xf>
    <xf numFmtId="4" fontId="51" fillId="13" borderId="177" applyNumberFormat="0" applyProtection="0">
      <alignment horizontal="left" vertical="center" indent="1"/>
    </xf>
    <xf numFmtId="4" fontId="51" fillId="1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35" borderId="177" applyNumberFormat="0" applyProtection="0">
      <alignment horizontal="right" vertical="center"/>
    </xf>
    <xf numFmtId="4" fontId="51" fillId="43" borderId="177" applyNumberFormat="0" applyProtection="0">
      <alignment horizontal="right" vertical="center"/>
    </xf>
    <xf numFmtId="4" fontId="51" fillId="44" borderId="177" applyNumberFormat="0" applyProtection="0">
      <alignment horizontal="right" vertical="center"/>
    </xf>
    <xf numFmtId="4" fontId="51" fillId="12" borderId="177" applyNumberFormat="0" applyProtection="0">
      <alignment horizontal="right" vertical="center"/>
    </xf>
    <xf numFmtId="4" fontId="51" fillId="45" borderId="177" applyNumberFormat="0" applyProtection="0">
      <alignment horizontal="right" vertical="center"/>
    </xf>
    <xf numFmtId="4" fontId="51" fillId="15" borderId="177" applyNumberFormat="0" applyProtection="0">
      <alignment horizontal="right" vertical="center"/>
    </xf>
    <xf numFmtId="4" fontId="51" fillId="17" borderId="177" applyNumberFormat="0" applyProtection="0">
      <alignment horizontal="right" vertical="center"/>
    </xf>
    <xf numFmtId="4" fontId="51" fillId="16" borderId="177" applyNumberFormat="0" applyProtection="0">
      <alignment horizontal="right" vertical="center"/>
    </xf>
    <xf numFmtId="4" fontId="51" fillId="19" borderId="177" applyNumberFormat="0" applyProtection="0">
      <alignment horizontal="right" vertical="center"/>
    </xf>
    <xf numFmtId="4" fontId="53" fillId="46" borderId="177" applyNumberFormat="0" applyProtection="0">
      <alignment horizontal="left" vertical="center" indent="1"/>
    </xf>
    <xf numFmtId="4" fontId="51" fillId="47" borderId="178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" fillId="47" borderId="177" applyNumberFormat="0" applyProtection="0">
      <alignment horizontal="left" vertical="center" indent="1"/>
    </xf>
    <xf numFmtId="4" fontId="5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49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0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33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1" fillId="20" borderId="177" applyNumberFormat="0" applyProtection="0">
      <alignment vertical="center"/>
    </xf>
    <xf numFmtId="4" fontId="52" fillId="20" borderId="177" applyNumberFormat="0" applyProtection="0">
      <alignment vertical="center"/>
    </xf>
    <xf numFmtId="4" fontId="51" fillId="20" borderId="177" applyNumberFormat="0" applyProtection="0">
      <alignment horizontal="left" vertical="center" indent="1"/>
    </xf>
    <xf numFmtId="4" fontId="51" fillId="20" borderId="177" applyNumberFormat="0" applyProtection="0">
      <alignment horizontal="left" vertical="center" indent="1"/>
    </xf>
    <xf numFmtId="4" fontId="51" fillId="47" borderId="177" applyNumberFormat="0" applyProtection="0">
      <alignment horizontal="right" vertical="center"/>
    </xf>
    <xf numFmtId="4" fontId="52" fillId="47" borderId="177" applyNumberFormat="0" applyProtection="0">
      <alignment horizontal="right" vertical="center"/>
    </xf>
    <xf numFmtId="0" fontId="4" fillId="11" borderId="177" applyNumberFormat="0" applyProtection="0">
      <alignment horizontal="left" vertical="center" indent="1"/>
    </xf>
    <xf numFmtId="0" fontId="4" fillId="11" borderId="177" applyNumberFormat="0" applyProtection="0">
      <alignment horizontal="left" vertical="center" indent="1"/>
    </xf>
    <xf numFmtId="4" fontId="56" fillId="47" borderId="177" applyNumberFormat="0" applyProtection="0">
      <alignment horizontal="right" vertical="center"/>
    </xf>
  </cellStyleXfs>
  <cellXfs count="4460">
    <xf numFmtId="0" fontId="0" fillId="0" borderId="0" xfId="0"/>
    <xf numFmtId="0" fontId="7" fillId="6" borderId="20" xfId="0" applyFont="1" applyFill="1" applyBorder="1" applyAlignment="1">
      <alignment vertical="center" wrapText="1"/>
    </xf>
    <xf numFmtId="3" fontId="8" fillId="6" borderId="68" xfId="0" applyNumberFormat="1" applyFont="1" applyFill="1" applyBorder="1"/>
    <xf numFmtId="3" fontId="8" fillId="6" borderId="30" xfId="0" applyNumberFormat="1" applyFont="1" applyFill="1" applyBorder="1"/>
    <xf numFmtId="3" fontId="8" fillId="6" borderId="29" xfId="0" applyNumberFormat="1" applyFont="1" applyFill="1" applyBorder="1"/>
    <xf numFmtId="3" fontId="6" fillId="6" borderId="47" xfId="0" applyNumberFormat="1" applyFont="1" applyFill="1" applyBorder="1"/>
    <xf numFmtId="0" fontId="14" fillId="2" borderId="0" xfId="3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right" vertical="center"/>
    </xf>
    <xf numFmtId="0" fontId="18" fillId="0" borderId="52" xfId="4" applyFont="1" applyBorder="1" applyAlignment="1">
      <alignment horizontal="center" vertical="center"/>
    </xf>
    <xf numFmtId="0" fontId="18" fillId="0" borderId="78" xfId="4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1" xfId="6" applyFont="1" applyBorder="1" applyAlignment="1">
      <alignment horizontal="center" vertical="center" wrapText="1"/>
    </xf>
    <xf numFmtId="0" fontId="22" fillId="0" borderId="50" xfId="6" applyFont="1" applyBorder="1" applyAlignment="1">
      <alignment horizontal="center" vertical="center"/>
    </xf>
    <xf numFmtId="0" fontId="22" fillId="0" borderId="39" xfId="6" applyFont="1" applyBorder="1" applyAlignment="1">
      <alignment horizontal="center" vertical="center"/>
    </xf>
    <xf numFmtId="0" fontId="22" fillId="19" borderId="39" xfId="0" applyFont="1" applyFill="1" applyBorder="1" applyAlignment="1">
      <alignment horizontal="center" vertical="center" wrapText="1"/>
    </xf>
    <xf numFmtId="0" fontId="21" fillId="0" borderId="78" xfId="4" applyFont="1" applyBorder="1" applyAlignment="1">
      <alignment horizontal="center" vertical="center" wrapText="1"/>
    </xf>
    <xf numFmtId="3" fontId="27" fillId="21" borderId="68" xfId="4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vertical="top" wrapText="1"/>
    </xf>
    <xf numFmtId="3" fontId="27" fillId="21" borderId="13" xfId="4" applyNumberFormat="1" applyFont="1" applyFill="1" applyBorder="1" applyAlignment="1">
      <alignment horizontal="right" vertical="center"/>
    </xf>
    <xf numFmtId="0" fontId="25" fillId="6" borderId="45" xfId="4" applyFont="1" applyFill="1" applyBorder="1" applyAlignment="1">
      <alignment horizontal="left" vertical="center"/>
    </xf>
    <xf numFmtId="0" fontId="25" fillId="6" borderId="18" xfId="4" applyFont="1" applyFill="1" applyBorder="1" applyAlignment="1">
      <alignment horizontal="left" vertical="center"/>
    </xf>
    <xf numFmtId="0" fontId="25" fillId="6" borderId="32" xfId="4" applyFont="1" applyFill="1" applyBorder="1" applyAlignment="1">
      <alignment horizontal="left" vertical="center"/>
    </xf>
    <xf numFmtId="0" fontId="25" fillId="6" borderId="28" xfId="4" applyFont="1" applyFill="1" applyBorder="1" applyAlignment="1">
      <alignment horizontal="left" vertical="center"/>
    </xf>
    <xf numFmtId="0" fontId="7" fillId="8" borderId="21" xfId="4" applyFont="1" applyFill="1" applyBorder="1" applyAlignment="1">
      <alignment horizontal="left" vertical="center"/>
    </xf>
    <xf numFmtId="0" fontId="7" fillId="8" borderId="20" xfId="4" applyFont="1" applyFill="1" applyBorder="1" applyAlignment="1">
      <alignment horizontal="left" vertical="center"/>
    </xf>
    <xf numFmtId="3" fontId="7" fillId="8" borderId="20" xfId="4" applyNumberFormat="1" applyFont="1" applyFill="1" applyBorder="1" applyAlignment="1">
      <alignment horizontal="left" vertical="center"/>
    </xf>
    <xf numFmtId="0" fontId="7" fillId="8" borderId="75" xfId="4" applyFont="1" applyFill="1" applyBorder="1" applyAlignment="1">
      <alignment vertical="center"/>
    </xf>
    <xf numFmtId="0" fontId="7" fillId="8" borderId="22" xfId="4" applyFont="1" applyFill="1" applyBorder="1" applyAlignment="1">
      <alignment vertical="center"/>
    </xf>
    <xf numFmtId="0" fontId="25" fillId="6" borderId="34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horizontal="right" vertical="center"/>
    </xf>
    <xf numFmtId="3" fontId="24" fillId="22" borderId="30" xfId="4" applyNumberFormat="1" applyFont="1" applyFill="1" applyBorder="1" applyAlignment="1">
      <alignment horizontal="right" vertical="center"/>
    </xf>
    <xf numFmtId="3" fontId="29" fillId="13" borderId="29" xfId="4" applyNumberFormat="1" applyFont="1" applyFill="1" applyBorder="1" applyAlignment="1">
      <alignment horizontal="right" vertical="center"/>
    </xf>
    <xf numFmtId="3" fontId="29" fillId="24" borderId="29" xfId="4" applyNumberFormat="1" applyFont="1" applyFill="1" applyBorder="1" applyAlignment="1">
      <alignment horizontal="right" vertical="center"/>
    </xf>
    <xf numFmtId="3" fontId="7" fillId="13" borderId="29" xfId="4" applyNumberFormat="1" applyFont="1" applyFill="1" applyBorder="1" applyAlignment="1">
      <alignment horizontal="right" vertical="center"/>
    </xf>
    <xf numFmtId="3" fontId="31" fillId="25" borderId="29" xfId="4" applyNumberFormat="1" applyFont="1" applyFill="1" applyBorder="1" applyAlignment="1">
      <alignment horizontal="right" vertical="center"/>
    </xf>
    <xf numFmtId="3" fontId="33" fillId="13" borderId="9" xfId="6" applyNumberFormat="1" applyFont="1" applyFill="1" applyBorder="1" applyAlignment="1">
      <alignment vertical="center"/>
    </xf>
    <xf numFmtId="0" fontId="7" fillId="13" borderId="36" xfId="4" applyFont="1" applyFill="1" applyBorder="1" applyAlignment="1">
      <alignment horizontal="left" vertical="center"/>
    </xf>
    <xf numFmtId="0" fontId="7" fillId="13" borderId="20" xfId="4" applyFont="1" applyFill="1" applyBorder="1" applyAlignment="1">
      <alignment horizontal="left" vertical="center"/>
    </xf>
    <xf numFmtId="0" fontId="7" fillId="13" borderId="75" xfId="4" applyFont="1" applyFill="1" applyBorder="1" applyAlignment="1">
      <alignment vertical="center"/>
    </xf>
    <xf numFmtId="0" fontId="7" fillId="13" borderId="37" xfId="4" applyFont="1" applyFill="1" applyBorder="1" applyAlignment="1">
      <alignment vertical="center"/>
    </xf>
    <xf numFmtId="3" fontId="24" fillId="8" borderId="68" xfId="4" applyNumberFormat="1" applyFont="1" applyFill="1" applyBorder="1" applyAlignment="1">
      <alignment horizontal="right" vertical="center"/>
    </xf>
    <xf numFmtId="3" fontId="24" fillId="8" borderId="17" xfId="4" applyNumberFormat="1" applyFont="1" applyFill="1" applyBorder="1" applyAlignment="1">
      <alignment horizontal="right" vertical="center"/>
    </xf>
    <xf numFmtId="3" fontId="24" fillId="8" borderId="2" xfId="4" applyNumberFormat="1" applyFont="1" applyFill="1" applyBorder="1" applyAlignment="1">
      <alignment horizontal="right" vertical="center"/>
    </xf>
    <xf numFmtId="3" fontId="24" fillId="23" borderId="2" xfId="4" applyNumberFormat="1" applyFont="1" applyFill="1" applyBorder="1" applyAlignment="1">
      <alignment horizontal="right" vertical="center"/>
    </xf>
    <xf numFmtId="0" fontId="20" fillId="0" borderId="42" xfId="4" applyFont="1" applyFill="1" applyBorder="1" applyAlignment="1">
      <alignment horizontal="center" vertical="center" wrapText="1"/>
    </xf>
    <xf numFmtId="3" fontId="7" fillId="0" borderId="30" xfId="4" applyNumberFormat="1" applyFont="1" applyFill="1" applyBorder="1" applyAlignment="1">
      <alignment horizontal="right" vertical="center"/>
    </xf>
    <xf numFmtId="3" fontId="7" fillId="0" borderId="29" xfId="4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vertical="center"/>
    </xf>
    <xf numFmtId="3" fontId="33" fillId="0" borderId="30" xfId="6" applyNumberFormat="1" applyFont="1" applyFill="1" applyBorder="1" applyAlignment="1">
      <alignment vertical="center"/>
    </xf>
    <xf numFmtId="3" fontId="7" fillId="0" borderId="63" xfId="4" applyNumberFormat="1" applyFont="1" applyFill="1" applyBorder="1" applyAlignment="1">
      <alignment horizontal="right" vertical="center"/>
    </xf>
    <xf numFmtId="3" fontId="33" fillId="0" borderId="9" xfId="6" applyNumberFormat="1" applyFont="1" applyFill="1" applyBorder="1" applyAlignment="1">
      <alignment vertical="center"/>
    </xf>
    <xf numFmtId="3" fontId="32" fillId="0" borderId="29" xfId="6" applyNumberFormat="1" applyFont="1" applyFill="1" applyBorder="1" applyAlignment="1">
      <alignment vertical="center"/>
    </xf>
    <xf numFmtId="3" fontId="32" fillId="0" borderId="30" xfId="6" applyNumberFormat="1" applyFont="1" applyFill="1" applyBorder="1" applyAlignment="1">
      <alignment vertical="center"/>
    </xf>
    <xf numFmtId="0" fontId="31" fillId="0" borderId="81" xfId="4" applyFont="1" applyFill="1" applyBorder="1" applyAlignment="1">
      <alignment vertical="center"/>
    </xf>
    <xf numFmtId="3" fontId="7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horizontal="right" vertical="center"/>
    </xf>
    <xf numFmtId="0" fontId="24" fillId="8" borderId="14" xfId="4" applyFont="1" applyFill="1" applyBorder="1" applyAlignment="1">
      <alignment horizontal="center" vertical="center" wrapText="1"/>
    </xf>
    <xf numFmtId="3" fontId="7" fillId="8" borderId="4" xfId="4" applyNumberFormat="1" applyFont="1" applyFill="1" applyBorder="1" applyAlignment="1">
      <alignment horizontal="right" vertical="center"/>
    </xf>
    <xf numFmtId="3" fontId="7" fillId="8" borderId="17" xfId="4" applyNumberFormat="1" applyFont="1" applyFill="1" applyBorder="1" applyAlignment="1">
      <alignment horizontal="right" vertical="center"/>
    </xf>
    <xf numFmtId="3" fontId="7" fillId="8" borderId="68" xfId="4" applyNumberFormat="1" applyFont="1" applyFill="1" applyBorder="1" applyAlignment="1">
      <alignment horizontal="right" vertical="center"/>
    </xf>
    <xf numFmtId="3" fontId="24" fillId="23" borderId="3" xfId="4" applyNumberFormat="1" applyFont="1" applyFill="1" applyBorder="1" applyAlignment="1">
      <alignment horizontal="right" vertical="center"/>
    </xf>
    <xf numFmtId="3" fontId="25" fillId="6" borderId="29" xfId="4" applyNumberFormat="1" applyFont="1" applyFill="1" applyBorder="1" applyAlignment="1">
      <alignment horizontal="right" vertical="center"/>
    </xf>
    <xf numFmtId="3" fontId="25" fillId="6" borderId="30" xfId="4" applyNumberFormat="1" applyFont="1" applyFill="1" applyBorder="1" applyAlignment="1">
      <alignment horizontal="right" vertical="center"/>
    </xf>
    <xf numFmtId="3" fontId="25" fillId="22" borderId="30" xfId="4" applyNumberFormat="1" applyFont="1" applyFill="1" applyBorder="1" applyAlignment="1">
      <alignment horizontal="right" vertical="center"/>
    </xf>
    <xf numFmtId="3" fontId="27" fillId="0" borderId="29" xfId="4" applyNumberFormat="1" applyFont="1" applyFill="1" applyBorder="1" applyAlignment="1">
      <alignment horizontal="right" vertical="center"/>
    </xf>
    <xf numFmtId="3" fontId="27" fillId="25" borderId="30" xfId="4" applyNumberFormat="1" applyFont="1" applyFill="1" applyBorder="1" applyAlignment="1">
      <alignment horizontal="right" vertical="center"/>
    </xf>
    <xf numFmtId="3" fontId="27" fillId="25" borderId="0" xfId="4" applyNumberFormat="1" applyFont="1" applyFill="1" applyBorder="1" applyAlignment="1">
      <alignment horizontal="right" vertical="center"/>
    </xf>
    <xf numFmtId="3" fontId="31" fillId="25" borderId="0" xfId="4" applyNumberFormat="1" applyFont="1" applyFill="1" applyBorder="1" applyAlignment="1">
      <alignment horizontal="right" vertical="center"/>
    </xf>
    <xf numFmtId="3" fontId="31" fillId="0" borderId="61" xfId="4" applyNumberFormat="1" applyFont="1" applyFill="1" applyBorder="1" applyAlignment="1">
      <alignment horizontal="right" vertical="center"/>
    </xf>
    <xf numFmtId="0" fontId="7" fillId="0" borderId="81" xfId="4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right" vertical="center"/>
    </xf>
    <xf numFmtId="3" fontId="7" fillId="0" borderId="70" xfId="4" applyNumberFormat="1" applyFont="1" applyFill="1" applyBorder="1" applyAlignment="1">
      <alignment horizontal="right" vertical="center"/>
    </xf>
    <xf numFmtId="0" fontId="24" fillId="8" borderId="45" xfId="4" applyFont="1" applyFill="1" applyBorder="1" applyAlignment="1">
      <alignment vertical="center" wrapText="1"/>
    </xf>
    <xf numFmtId="3" fontId="31" fillId="0" borderId="30" xfId="4" applyNumberFormat="1" applyFont="1" applyFill="1" applyBorder="1" applyAlignment="1">
      <alignment horizontal="right" vertical="center"/>
    </xf>
    <xf numFmtId="0" fontId="7" fillId="0" borderId="75" xfId="4" applyFont="1" applyFill="1" applyBorder="1" applyAlignment="1">
      <alignment vertical="center"/>
    </xf>
    <xf numFmtId="3" fontId="31" fillId="0" borderId="47" xfId="4" applyNumberFormat="1" applyFont="1" applyFill="1" applyBorder="1" applyAlignment="1">
      <alignment horizontal="right" vertical="center"/>
    </xf>
    <xf numFmtId="3" fontId="27" fillId="0" borderId="27" xfId="4" applyNumberFormat="1" applyFont="1" applyFill="1" applyBorder="1" applyAlignment="1">
      <alignment horizontal="right" vertical="center"/>
    </xf>
    <xf numFmtId="3" fontId="27" fillId="25" borderId="29" xfId="4" applyNumberFormat="1" applyFont="1" applyFill="1" applyBorder="1" applyAlignment="1">
      <alignment horizontal="right" vertical="center"/>
    </xf>
    <xf numFmtId="0" fontId="24" fillId="6" borderId="32" xfId="4" applyFont="1" applyFill="1" applyBorder="1" applyAlignment="1">
      <alignment horizontal="left" vertical="center"/>
    </xf>
    <xf numFmtId="0" fontId="7" fillId="0" borderId="75" xfId="4" applyFont="1" applyFill="1" applyBorder="1" applyAlignment="1">
      <alignment vertical="top"/>
    </xf>
    <xf numFmtId="0" fontId="25" fillId="6" borderId="21" xfId="4" applyFont="1" applyFill="1" applyBorder="1" applyAlignment="1">
      <alignment horizontal="left" vertical="center"/>
    </xf>
    <xf numFmtId="0" fontId="27" fillId="2" borderId="32" xfId="4" applyFont="1" applyFill="1" applyBorder="1" applyAlignment="1">
      <alignment vertical="top"/>
    </xf>
    <xf numFmtId="3" fontId="7" fillId="8" borderId="9" xfId="4" applyNumberFormat="1" applyFont="1" applyFill="1" applyBorder="1" applyAlignment="1">
      <alignment horizontal="right" vertical="center"/>
    </xf>
    <xf numFmtId="3" fontId="7" fillId="8" borderId="35" xfId="4" applyNumberFormat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horizontal="right" vertical="center"/>
    </xf>
    <xf numFmtId="3" fontId="32" fillId="0" borderId="70" xfId="6" applyNumberFormat="1" applyFont="1" applyFill="1" applyBorder="1" applyAlignment="1">
      <alignment vertical="center"/>
    </xf>
    <xf numFmtId="3" fontId="32" fillId="0" borderId="47" xfId="6" applyNumberFormat="1" applyFont="1" applyFill="1" applyBorder="1" applyAlignment="1">
      <alignment vertical="center"/>
    </xf>
    <xf numFmtId="0" fontId="18" fillId="0" borderId="42" xfId="4" applyFont="1" applyFill="1" applyBorder="1" applyAlignment="1">
      <alignment vertical="center" wrapText="1"/>
    </xf>
    <xf numFmtId="0" fontId="25" fillId="6" borderId="20" xfId="4" applyFont="1" applyFill="1" applyBorder="1" applyAlignment="1">
      <alignment horizontal="left" vertical="center"/>
    </xf>
    <xf numFmtId="3" fontId="25" fillId="22" borderId="10" xfId="4" applyNumberFormat="1" applyFont="1" applyFill="1" applyBorder="1" applyAlignment="1">
      <alignment horizontal="right" vertical="center"/>
    </xf>
    <xf numFmtId="0" fontId="7" fillId="0" borderId="36" xfId="4" applyFont="1" applyFill="1" applyBorder="1" applyAlignment="1">
      <alignment horizontal="left" vertical="center"/>
    </xf>
    <xf numFmtId="0" fontId="25" fillId="6" borderId="36" xfId="4" applyFont="1" applyFill="1" applyBorder="1" applyAlignment="1">
      <alignment horizontal="left" vertical="center"/>
    </xf>
    <xf numFmtId="3" fontId="25" fillId="8" borderId="68" xfId="4" applyNumberFormat="1" applyFont="1" applyFill="1" applyBorder="1" applyAlignment="1">
      <alignment horizontal="right" vertical="center"/>
    </xf>
    <xf numFmtId="3" fontId="25" fillId="8" borderId="2" xfId="4" applyNumberFormat="1" applyFont="1" applyFill="1" applyBorder="1" applyAlignment="1">
      <alignment horizontal="right" vertical="center"/>
    </xf>
    <xf numFmtId="3" fontId="27" fillId="0" borderId="30" xfId="4" applyNumberFormat="1" applyFont="1" applyFill="1" applyBorder="1" applyAlignment="1">
      <alignment horizontal="right" vertical="center"/>
    </xf>
    <xf numFmtId="3" fontId="24" fillId="8" borderId="4" xfId="4" applyNumberFormat="1" applyFont="1" applyFill="1" applyBorder="1" applyAlignment="1">
      <alignment horizontal="right" vertical="center"/>
    </xf>
    <xf numFmtId="3" fontId="24" fillId="8" borderId="15" xfId="4" applyNumberFormat="1" applyFont="1" applyFill="1" applyBorder="1" applyAlignment="1">
      <alignment horizontal="right" vertical="center"/>
    </xf>
    <xf numFmtId="3" fontId="27" fillId="0" borderId="6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vertical="center"/>
    </xf>
    <xf numFmtId="3" fontId="24" fillId="8" borderId="4" xfId="0" applyNumberFormat="1" applyFont="1" applyFill="1" applyBorder="1" applyAlignment="1">
      <alignment vertical="center"/>
    </xf>
    <xf numFmtId="3" fontId="24" fillId="8" borderId="68" xfId="0" applyNumberFormat="1" applyFont="1" applyFill="1" applyBorder="1" applyAlignment="1">
      <alignment vertical="center"/>
    </xf>
    <xf numFmtId="3" fontId="24" fillId="8" borderId="15" xfId="0" applyNumberFormat="1" applyFont="1" applyFill="1" applyBorder="1" applyAlignment="1">
      <alignment vertical="center"/>
    </xf>
    <xf numFmtId="3" fontId="24" fillId="6" borderId="30" xfId="0" applyNumberFormat="1" applyFont="1" applyFill="1" applyBorder="1" applyAlignment="1">
      <alignment horizontal="right" vertical="center"/>
    </xf>
    <xf numFmtId="3" fontId="27" fillId="0" borderId="30" xfId="0" applyNumberFormat="1" applyFont="1" applyFill="1" applyBorder="1" applyAlignment="1">
      <alignment horizontal="right" vertical="center"/>
    </xf>
    <xf numFmtId="3" fontId="29" fillId="0" borderId="30" xfId="0" applyNumberFormat="1" applyFont="1" applyFill="1" applyBorder="1" applyAlignment="1">
      <alignment horizontal="right" vertical="center"/>
    </xf>
    <xf numFmtId="3" fontId="27" fillId="0" borderId="29" xfId="0" applyNumberFormat="1" applyFont="1" applyFill="1" applyBorder="1" applyAlignment="1">
      <alignment horizontal="right" vertical="center"/>
    </xf>
    <xf numFmtId="3" fontId="29" fillId="25" borderId="29" xfId="4" applyNumberFormat="1" applyFont="1" applyFill="1" applyBorder="1" applyAlignment="1">
      <alignment horizontal="right" vertical="center"/>
    </xf>
    <xf numFmtId="3" fontId="27" fillId="0" borderId="27" xfId="0" applyNumberFormat="1" applyFont="1" applyFill="1" applyBorder="1" applyAlignment="1">
      <alignment horizontal="right" vertical="center"/>
    </xf>
    <xf numFmtId="3" fontId="7" fillId="0" borderId="35" xfId="0" applyNumberFormat="1" applyFont="1" applyFill="1" applyBorder="1" applyAlignment="1">
      <alignment horizontal="right" vertical="center"/>
    </xf>
    <xf numFmtId="3" fontId="31" fillId="0" borderId="27" xfId="0" applyNumberFormat="1" applyFont="1" applyFill="1" applyBorder="1" applyAlignment="1">
      <alignment horizontal="right" vertical="center"/>
    </xf>
    <xf numFmtId="3" fontId="31" fillId="0" borderId="12" xfId="0" applyNumberFormat="1" applyFont="1" applyFill="1" applyBorder="1" applyAlignment="1">
      <alignment horizontal="right" vertical="center"/>
    </xf>
    <xf numFmtId="0" fontId="24" fillId="13" borderId="19" xfId="4" applyFont="1" applyFill="1" applyBorder="1" applyAlignment="1">
      <alignment vertical="center" wrapText="1"/>
    </xf>
    <xf numFmtId="0" fontId="7" fillId="13" borderId="17" xfId="4" applyFont="1" applyFill="1" applyBorder="1" applyAlignment="1">
      <alignment horizontal="right" vertical="center"/>
    </xf>
    <xf numFmtId="3" fontId="7" fillId="13" borderId="68" xfId="4" applyNumberFormat="1" applyFont="1" applyFill="1" applyBorder="1" applyAlignment="1">
      <alignment horizontal="right" vertical="center"/>
    </xf>
    <xf numFmtId="3" fontId="7" fillId="24" borderId="3" xfId="4" applyNumberFormat="1" applyFont="1" applyFill="1" applyBorder="1" applyAlignment="1">
      <alignment horizontal="right" vertical="center"/>
    </xf>
    <xf numFmtId="3" fontId="24" fillId="6" borderId="9" xfId="4" applyNumberFormat="1" applyFont="1" applyFill="1" applyBorder="1" applyAlignment="1">
      <alignment horizontal="right" vertical="center"/>
    </xf>
    <xf numFmtId="0" fontId="29" fillId="13" borderId="36" xfId="4" applyFont="1" applyFill="1" applyBorder="1" applyAlignment="1">
      <alignment horizontal="left" vertical="center"/>
    </xf>
    <xf numFmtId="0" fontId="29" fillId="13" borderId="20" xfId="4" applyFont="1" applyFill="1" applyBorder="1" applyAlignment="1">
      <alignment horizontal="left" vertical="center"/>
    </xf>
    <xf numFmtId="3" fontId="27" fillId="13" borderId="29" xfId="4" applyNumberFormat="1" applyFont="1" applyFill="1" applyBorder="1" applyAlignment="1">
      <alignment horizontal="right" vertical="center"/>
    </xf>
    <xf numFmtId="3" fontId="18" fillId="13" borderId="43" xfId="4" applyNumberFormat="1" applyFont="1" applyFill="1" applyBorder="1" applyAlignment="1">
      <alignment horizontal="center" vertical="center" wrapText="1"/>
    </xf>
    <xf numFmtId="3" fontId="7" fillId="13" borderId="23" xfId="4" applyNumberFormat="1" applyFont="1" applyFill="1" applyBorder="1" applyAlignment="1">
      <alignment horizontal="right" vertical="center"/>
    </xf>
    <xf numFmtId="0" fontId="18" fillId="13" borderId="41" xfId="4" applyFont="1" applyFill="1" applyBorder="1" applyAlignment="1">
      <alignment horizontal="center" vertical="center" wrapText="1"/>
    </xf>
    <xf numFmtId="3" fontId="23" fillId="6" borderId="29" xfId="6" applyNumberFormat="1" applyFont="1" applyFill="1" applyBorder="1" applyAlignment="1">
      <alignment horizontal="right" vertical="center"/>
    </xf>
    <xf numFmtId="3" fontId="33" fillId="0" borderId="29" xfId="6" applyNumberFormat="1" applyFont="1" applyFill="1" applyBorder="1" applyAlignment="1">
      <alignment horizontal="right" vertical="center"/>
    </xf>
    <xf numFmtId="3" fontId="33" fillId="8" borderId="3" xfId="6" applyNumberFormat="1" applyFont="1" applyFill="1" applyBorder="1" applyAlignment="1">
      <alignment horizontal="right" vertical="center"/>
    </xf>
    <xf numFmtId="0" fontId="24" fillId="27" borderId="45" xfId="4" applyFont="1" applyFill="1" applyBorder="1" applyAlignment="1">
      <alignment vertical="center" wrapText="1"/>
    </xf>
    <xf numFmtId="3" fontId="24" fillId="6" borderId="29" xfId="0" applyNumberFormat="1" applyFont="1" applyFill="1" applyBorder="1" applyAlignment="1">
      <alignment horizontal="right" vertical="center"/>
    </xf>
    <xf numFmtId="3" fontId="25" fillId="25" borderId="29" xfId="4" applyNumberFormat="1" applyFont="1" applyFill="1" applyBorder="1" applyAlignment="1">
      <alignment horizontal="right" vertical="center"/>
    </xf>
    <xf numFmtId="0" fontId="7" fillId="13" borderId="28" xfId="4" applyFont="1" applyFill="1" applyBorder="1" applyAlignment="1">
      <alignment horizontal="left" vertical="center"/>
    </xf>
    <xf numFmtId="3" fontId="29" fillId="13" borderId="9" xfId="4" applyNumberFormat="1" applyFont="1" applyFill="1" applyBorder="1" applyAlignment="1">
      <alignment horizontal="right" vertical="center"/>
    </xf>
    <xf numFmtId="0" fontId="7" fillId="0" borderId="21" xfId="0" applyFont="1" applyFill="1" applyBorder="1" applyAlignment="1">
      <alignment horizontal="left" vertical="center"/>
    </xf>
    <xf numFmtId="3" fontId="31" fillId="0" borderId="13" xfId="0" applyNumberFormat="1" applyFont="1" applyFill="1" applyBorder="1" applyAlignment="1">
      <alignment horizontal="right" vertical="center"/>
    </xf>
    <xf numFmtId="0" fontId="25" fillId="6" borderId="82" xfId="4" applyFont="1" applyFill="1" applyBorder="1" applyAlignment="1">
      <alignment horizontal="left" vertical="center"/>
    </xf>
    <xf numFmtId="3" fontId="24" fillId="6" borderId="28" xfId="0" applyNumberFormat="1" applyFont="1" applyFill="1" applyBorder="1" applyAlignment="1">
      <alignment horizontal="right" vertical="center"/>
    </xf>
    <xf numFmtId="3" fontId="27" fillId="13" borderId="28" xfId="4" applyNumberFormat="1" applyFont="1" applyFill="1" applyBorder="1" applyAlignment="1">
      <alignment horizontal="right" vertical="center"/>
    </xf>
    <xf numFmtId="3" fontId="7" fillId="13" borderId="28" xfId="4" applyNumberFormat="1" applyFont="1" applyFill="1" applyBorder="1" applyAlignment="1">
      <alignment horizontal="right" vertical="center"/>
    </xf>
    <xf numFmtId="3" fontId="29" fillId="13" borderId="28" xfId="4" applyNumberFormat="1" applyFont="1" applyFill="1" applyBorder="1" applyAlignment="1">
      <alignment horizontal="right" vertical="center"/>
    </xf>
    <xf numFmtId="0" fontId="16" fillId="2" borderId="25" xfId="4" applyFont="1" applyFill="1" applyBorder="1" applyAlignment="1">
      <alignment vertical="center"/>
    </xf>
    <xf numFmtId="0" fontId="34" fillId="2" borderId="66" xfId="4" applyFont="1" applyFill="1" applyBorder="1" applyAlignment="1">
      <alignment vertical="center"/>
    </xf>
    <xf numFmtId="0" fontId="34" fillId="2" borderId="24" xfId="4" applyFont="1" applyFill="1" applyBorder="1" applyAlignment="1">
      <alignment vertical="center"/>
    </xf>
    <xf numFmtId="3" fontId="34" fillId="2" borderId="24" xfId="4" applyNumberFormat="1" applyFont="1" applyFill="1" applyBorder="1" applyAlignment="1">
      <alignment vertical="center"/>
    </xf>
    <xf numFmtId="0" fontId="34" fillId="2" borderId="67" xfId="4" applyFont="1" applyFill="1" applyBorder="1" applyAlignment="1">
      <alignment horizontal="right" vertical="center" wrapText="1"/>
    </xf>
    <xf numFmtId="3" fontId="32" fillId="8" borderId="29" xfId="6" applyNumberFormat="1" applyFont="1" applyFill="1" applyBorder="1" applyAlignment="1">
      <alignment vertical="center"/>
    </xf>
    <xf numFmtId="0" fontId="20" fillId="2" borderId="5" xfId="0" applyFont="1" applyFill="1" applyBorder="1" applyAlignment="1">
      <alignment horizontal="center" vertical="top"/>
    </xf>
    <xf numFmtId="0" fontId="20" fillId="2" borderId="11" xfId="0" applyFont="1" applyFill="1" applyBorder="1" applyAlignment="1">
      <alignment horizontal="center" vertical="top"/>
    </xf>
    <xf numFmtId="0" fontId="17" fillId="8" borderId="11" xfId="0" applyFont="1" applyFill="1" applyBorder="1" applyAlignment="1">
      <alignment vertical="center"/>
    </xf>
    <xf numFmtId="3" fontId="27" fillId="21" borderId="35" xfId="4" applyNumberFormat="1" applyFont="1" applyFill="1" applyBorder="1" applyAlignment="1">
      <alignment horizontal="right" vertical="center"/>
    </xf>
    <xf numFmtId="3" fontId="7" fillId="28" borderId="65" xfId="0" applyNumberFormat="1" applyFont="1" applyFill="1" applyBorder="1" applyAlignment="1">
      <alignment horizontal="center" vertical="top" wrapText="1"/>
    </xf>
    <xf numFmtId="3" fontId="27" fillId="21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top"/>
    </xf>
    <xf numFmtId="0" fontId="24" fillId="6" borderId="19" xfId="4" applyFont="1" applyFill="1" applyBorder="1" applyAlignment="1">
      <alignment horizontal="left" vertical="center"/>
    </xf>
    <xf numFmtId="0" fontId="24" fillId="6" borderId="16" xfId="4" applyFont="1" applyFill="1" applyBorder="1" applyAlignment="1">
      <alignment horizontal="left" vertical="center"/>
    </xf>
    <xf numFmtId="3" fontId="24" fillId="29" borderId="68" xfId="0" applyNumberFormat="1" applyFont="1" applyFill="1" applyBorder="1" applyAlignment="1">
      <alignment vertical="center"/>
    </xf>
    <xf numFmtId="0" fontId="29" fillId="8" borderId="36" xfId="4" applyFont="1" applyFill="1" applyBorder="1" applyAlignment="1">
      <alignment vertical="center"/>
    </xf>
    <xf numFmtId="0" fontId="7" fillId="8" borderId="28" xfId="0" applyFont="1" applyFill="1" applyBorder="1" applyAlignment="1">
      <alignment vertical="center" wrapText="1"/>
    </xf>
    <xf numFmtId="0" fontId="17" fillId="28" borderId="11" xfId="0" applyFont="1" applyFill="1" applyBorder="1" applyAlignment="1">
      <alignment vertical="top"/>
    </xf>
    <xf numFmtId="0" fontId="7" fillId="8" borderId="36" xfId="4" applyFont="1" applyFill="1" applyBorder="1" applyAlignment="1">
      <alignment vertical="center"/>
    </xf>
    <xf numFmtId="3" fontId="7" fillId="28" borderId="8" xfId="0" applyNumberFormat="1" applyFont="1" applyFill="1" applyBorder="1" applyAlignment="1">
      <alignment vertical="center" wrapText="1"/>
    </xf>
    <xf numFmtId="0" fontId="29" fillId="8" borderId="32" xfId="4" applyFont="1" applyFill="1" applyBorder="1" applyAlignment="1">
      <alignment vertical="center"/>
    </xf>
    <xf numFmtId="0" fontId="24" fillId="8" borderId="28" xfId="0" applyFont="1" applyFill="1" applyBorder="1" applyAlignment="1">
      <alignment vertical="center"/>
    </xf>
    <xf numFmtId="3" fontId="29" fillId="8" borderId="9" xfId="0" applyNumberFormat="1" applyFont="1" applyFill="1" applyBorder="1" applyAlignment="1">
      <alignment vertical="center"/>
    </xf>
    <xf numFmtId="0" fontId="17" fillId="8" borderId="11" xfId="0" applyFont="1" applyFill="1" applyBorder="1" applyAlignment="1">
      <alignment vertical="top"/>
    </xf>
    <xf numFmtId="0" fontId="17" fillId="8" borderId="25" xfId="0" applyFont="1" applyFill="1" applyBorder="1" applyAlignment="1">
      <alignment vertical="top"/>
    </xf>
    <xf numFmtId="0" fontId="7" fillId="8" borderId="37" xfId="0" applyFont="1" applyFill="1" applyBorder="1" applyAlignment="1">
      <alignment vertical="top" wrapText="1"/>
    </xf>
    <xf numFmtId="3" fontId="7" fillId="28" borderId="47" xfId="0" applyNumberFormat="1" applyFont="1" applyFill="1" applyBorder="1" applyAlignment="1">
      <alignment vertical="center"/>
    </xf>
    <xf numFmtId="0" fontId="25" fillId="8" borderId="5" xfId="0" applyFont="1" applyFill="1" applyBorder="1" applyAlignment="1">
      <alignment vertical="center" wrapText="1"/>
    </xf>
    <xf numFmtId="0" fontId="25" fillId="8" borderId="14" xfId="0" applyFont="1" applyFill="1" applyBorder="1" applyAlignment="1">
      <alignment horizontal="center" vertical="center" wrapText="1"/>
    </xf>
    <xf numFmtId="3" fontId="27" fillId="2" borderId="32" xfId="4" applyNumberFormat="1" applyFont="1" applyFill="1" applyBorder="1" applyAlignment="1">
      <alignment vertical="center" wrapText="1"/>
    </xf>
    <xf numFmtId="0" fontId="31" fillId="0" borderId="21" xfId="0" applyFont="1" applyFill="1" applyBorder="1" applyAlignment="1">
      <alignment vertical="top"/>
    </xf>
    <xf numFmtId="3" fontId="31" fillId="0" borderId="9" xfId="0" applyNumberFormat="1" applyFont="1" applyFill="1" applyBorder="1" applyAlignment="1">
      <alignment vertical="top"/>
    </xf>
    <xf numFmtId="0" fontId="7" fillId="6" borderId="28" xfId="0" applyFont="1" applyFill="1" applyBorder="1" applyAlignment="1">
      <alignment horizontal="left" vertical="center" wrapText="1"/>
    </xf>
    <xf numFmtId="3" fontId="27" fillId="2" borderId="82" xfId="4" applyNumberFormat="1" applyFont="1" applyFill="1" applyBorder="1" applyAlignment="1">
      <alignment vertical="center" wrapText="1"/>
    </xf>
    <xf numFmtId="0" fontId="31" fillId="0" borderId="83" xfId="0" applyFont="1" applyFill="1" applyBorder="1" applyAlignment="1">
      <alignment vertical="top"/>
    </xf>
    <xf numFmtId="3" fontId="31" fillId="0" borderId="47" xfId="0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horizontal="left" vertical="center" wrapText="1"/>
    </xf>
    <xf numFmtId="3" fontId="21" fillId="0" borderId="0" xfId="0" applyNumberFormat="1" applyFont="1" applyFill="1" applyBorder="1" applyAlignment="1">
      <alignment vertical="top"/>
    </xf>
    <xf numFmtId="3" fontId="21" fillId="0" borderId="0" xfId="0" applyNumberFormat="1" applyFont="1" applyFill="1" applyBorder="1" applyAlignment="1">
      <alignment horizontal="right" vertical="center"/>
    </xf>
    <xf numFmtId="0" fontId="25" fillId="6" borderId="19" xfId="4" applyFont="1" applyFill="1" applyBorder="1" applyAlignment="1">
      <alignment horizontal="left" vertical="center"/>
    </xf>
    <xf numFmtId="0" fontId="25" fillId="6" borderId="16" xfId="4" applyFont="1" applyFill="1" applyBorder="1" applyAlignment="1">
      <alignment horizontal="left" vertical="center"/>
    </xf>
    <xf numFmtId="0" fontId="27" fillId="8" borderId="36" xfId="4" applyFont="1" applyFill="1" applyBorder="1" applyAlignment="1">
      <alignment vertical="center"/>
    </xf>
    <xf numFmtId="0" fontId="24" fillId="8" borderId="19" xfId="0" applyFont="1" applyFill="1" applyBorder="1" applyAlignment="1">
      <alignment vertical="center" wrapText="1"/>
    </xf>
    <xf numFmtId="0" fontId="7" fillId="8" borderId="18" xfId="0" applyFont="1" applyFill="1" applyBorder="1" applyAlignment="1">
      <alignment vertical="top"/>
    </xf>
    <xf numFmtId="3" fontId="7" fillId="8" borderId="77" xfId="0" applyNumberFormat="1" applyFont="1" applyFill="1" applyBorder="1" applyAlignment="1">
      <alignment vertical="top"/>
    </xf>
    <xf numFmtId="0" fontId="24" fillId="6" borderId="21" xfId="4" applyFont="1" applyFill="1" applyBorder="1" applyAlignment="1">
      <alignment horizontal="left" vertical="center"/>
    </xf>
    <xf numFmtId="0" fontId="25" fillId="6" borderId="9" xfId="4" applyFont="1" applyFill="1" applyBorder="1" applyAlignment="1">
      <alignment horizontal="left" vertical="center"/>
    </xf>
    <xf numFmtId="0" fontId="30" fillId="8" borderId="11" xfId="0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center"/>
    </xf>
    <xf numFmtId="0" fontId="16" fillId="2" borderId="85" xfId="0" applyFont="1" applyFill="1" applyBorder="1" applyAlignment="1">
      <alignment vertical="center"/>
    </xf>
    <xf numFmtId="0" fontId="34" fillId="2" borderId="51" xfId="0" applyFont="1" applyFill="1" applyBorder="1" applyAlignment="1">
      <alignment vertical="top"/>
    </xf>
    <xf numFmtId="0" fontId="34" fillId="0" borderId="78" xfId="0" applyFont="1" applyFill="1" applyBorder="1" applyAlignment="1">
      <alignment vertical="top"/>
    </xf>
    <xf numFmtId="3" fontId="24" fillId="29" borderId="35" xfId="0" applyNumberFormat="1" applyFont="1" applyFill="1" applyBorder="1" applyAlignment="1">
      <alignment vertical="center"/>
    </xf>
    <xf numFmtId="0" fontId="20" fillId="8" borderId="11" xfId="0" applyFont="1" applyFill="1" applyBorder="1" applyAlignment="1">
      <alignment vertical="center"/>
    </xf>
    <xf numFmtId="0" fontId="25" fillId="6" borderId="8" xfId="4" applyFont="1" applyFill="1" applyBorder="1" applyAlignment="1">
      <alignment horizontal="left" vertical="center"/>
    </xf>
    <xf numFmtId="3" fontId="24" fillId="6" borderId="29" xfId="4" applyNumberFormat="1" applyFont="1" applyFill="1" applyBorder="1" applyAlignment="1">
      <alignment vertical="center"/>
    </xf>
    <xf numFmtId="3" fontId="24" fillId="6" borderId="30" xfId="4" applyNumberFormat="1" applyFont="1" applyFill="1" applyBorder="1" applyAlignment="1">
      <alignment vertical="center"/>
    </xf>
    <xf numFmtId="3" fontId="32" fillId="8" borderId="28" xfId="6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3" fontId="18" fillId="0" borderId="0" xfId="0" applyNumberFormat="1" applyFont="1" applyAlignment="1">
      <alignment vertical="center"/>
    </xf>
    <xf numFmtId="3" fontId="7" fillId="0" borderId="35" xfId="4" applyNumberFormat="1" applyFont="1" applyFill="1" applyBorder="1" applyAlignment="1">
      <alignment horizontal="right" vertical="center"/>
    </xf>
    <xf numFmtId="3" fontId="7" fillId="0" borderId="0" xfId="4" applyNumberFormat="1" applyFont="1" applyFill="1" applyBorder="1" applyAlignment="1">
      <alignment horizontal="right" vertical="center"/>
    </xf>
    <xf numFmtId="3" fontId="7" fillId="0" borderId="39" xfId="4" applyNumberFormat="1" applyFont="1" applyFill="1" applyBorder="1" applyAlignment="1">
      <alignment horizontal="right" vertical="center"/>
    </xf>
    <xf numFmtId="3" fontId="7" fillId="0" borderId="50" xfId="4" applyNumberFormat="1" applyFont="1" applyFill="1" applyBorder="1" applyAlignment="1">
      <alignment horizontal="right" vertical="center"/>
    </xf>
    <xf numFmtId="3" fontId="25" fillId="6" borderId="9" xfId="4" applyNumberFormat="1" applyFont="1" applyFill="1" applyBorder="1" applyAlignment="1">
      <alignment horizontal="right" vertical="center"/>
    </xf>
    <xf numFmtId="0" fontId="24" fillId="27" borderId="5" xfId="4" applyFont="1" applyFill="1" applyBorder="1" applyAlignment="1">
      <alignment vertical="center" wrapText="1"/>
    </xf>
    <xf numFmtId="0" fontId="27" fillId="50" borderId="45" xfId="4" applyFont="1" applyFill="1" applyBorder="1" applyAlignment="1">
      <alignment horizontal="left" vertical="center"/>
    </xf>
    <xf numFmtId="0" fontId="27" fillId="50" borderId="16" xfId="4" applyFont="1" applyFill="1" applyBorder="1" applyAlignment="1">
      <alignment horizontal="left" vertical="center"/>
    </xf>
    <xf numFmtId="3" fontId="27" fillId="50" borderId="17" xfId="4" applyNumberFormat="1" applyFont="1" applyFill="1" applyBorder="1" applyAlignment="1">
      <alignment horizontal="right" vertical="center"/>
    </xf>
    <xf numFmtId="0" fontId="27" fillId="50" borderId="65" xfId="4" applyFont="1" applyFill="1" applyBorder="1" applyAlignment="1">
      <alignment horizontal="left" vertical="center"/>
    </xf>
    <xf numFmtId="0" fontId="27" fillId="50" borderId="6" xfId="4" applyFont="1" applyFill="1" applyBorder="1" applyAlignment="1">
      <alignment horizontal="left" vertical="center"/>
    </xf>
    <xf numFmtId="3" fontId="27" fillId="50" borderId="27" xfId="4" applyNumberFormat="1" applyFont="1" applyFill="1" applyBorder="1" applyAlignment="1">
      <alignment horizontal="right" vertical="center"/>
    </xf>
    <xf numFmtId="0" fontId="27" fillId="50" borderId="65" xfId="0" applyFont="1" applyFill="1" applyBorder="1" applyAlignment="1">
      <alignment horizontal="left" vertical="top"/>
    </xf>
    <xf numFmtId="0" fontId="28" fillId="50" borderId="6" xfId="0" quotePrefix="1" applyFont="1" applyFill="1" applyBorder="1" applyAlignment="1">
      <alignment horizontal="center" vertical="top"/>
    </xf>
    <xf numFmtId="3" fontId="27" fillId="50" borderId="27" xfId="0" quotePrefix="1" applyNumberFormat="1" applyFont="1" applyFill="1" applyBorder="1" applyAlignment="1">
      <alignment horizontal="right" vertical="top"/>
    </xf>
    <xf numFmtId="0" fontId="27" fillId="50" borderId="34" xfId="4" applyFont="1" applyFill="1" applyBorder="1" applyAlignment="1">
      <alignment horizontal="left" vertical="center"/>
    </xf>
    <xf numFmtId="3" fontId="27" fillId="50" borderId="29" xfId="4" applyNumberFormat="1" applyFont="1" applyFill="1" applyBorder="1" applyAlignment="1">
      <alignment horizontal="right" vertical="center"/>
    </xf>
    <xf numFmtId="0" fontId="27" fillId="50" borderId="36" xfId="4" applyFont="1" applyFill="1" applyBorder="1" applyAlignment="1">
      <alignment horizontal="left" vertical="center"/>
    </xf>
    <xf numFmtId="0" fontId="27" fillId="50" borderId="20" xfId="4" applyFont="1" applyFill="1" applyBorder="1" applyAlignment="1">
      <alignment horizontal="left" vertical="center"/>
    </xf>
    <xf numFmtId="3" fontId="27" fillId="50" borderId="9" xfId="4" applyNumberFormat="1" applyFont="1" applyFill="1" applyBorder="1" applyAlignment="1">
      <alignment horizontal="right" vertical="center"/>
    </xf>
    <xf numFmtId="0" fontId="27" fillId="50" borderId="46" xfId="0" applyFont="1" applyFill="1" applyBorder="1" applyAlignment="1">
      <alignment horizontal="left" vertical="top"/>
    </xf>
    <xf numFmtId="3" fontId="27" fillId="50" borderId="23" xfId="0" quotePrefix="1" applyNumberFormat="1" applyFont="1" applyFill="1" applyBorder="1" applyAlignment="1">
      <alignment horizontal="right" vertical="top"/>
    </xf>
    <xf numFmtId="0" fontId="27" fillId="50" borderId="11" xfId="4" applyFont="1" applyFill="1" applyBorder="1" applyAlignment="1">
      <alignment horizontal="left" vertical="center"/>
    </xf>
    <xf numFmtId="0" fontId="27" fillId="50" borderId="25" xfId="0" applyFont="1" applyFill="1" applyBorder="1" applyAlignment="1">
      <alignment horizontal="left" vertical="top"/>
    </xf>
    <xf numFmtId="3" fontId="29" fillId="2" borderId="32" xfId="4" applyNumberFormat="1" applyFont="1" applyFill="1" applyBorder="1" applyAlignment="1">
      <alignment vertical="center" wrapText="1"/>
    </xf>
    <xf numFmtId="3" fontId="31" fillId="0" borderId="13" xfId="0" applyNumberFormat="1" applyFont="1" applyFill="1" applyBorder="1" applyAlignment="1">
      <alignment vertical="top"/>
    </xf>
    <xf numFmtId="0" fontId="0" fillId="0" borderId="24" xfId="0" applyFont="1" applyBorder="1" applyAlignment="1">
      <alignment vertical="center"/>
    </xf>
    <xf numFmtId="3" fontId="33" fillId="8" borderId="29" xfId="6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3" fontId="24" fillId="6" borderId="35" xfId="4" applyNumberFormat="1" applyFont="1" applyFill="1" applyBorder="1" applyAlignment="1">
      <alignment vertical="center"/>
    </xf>
    <xf numFmtId="3" fontId="25" fillId="6" borderId="30" xfId="4" applyNumberFormat="1" applyFont="1" applyFill="1" applyBorder="1" applyAlignment="1">
      <alignment vertical="center"/>
    </xf>
    <xf numFmtId="0" fontId="27" fillId="50" borderId="19" xfId="4" applyFont="1" applyFill="1" applyBorder="1" applyAlignment="1">
      <alignment horizontal="left" vertical="center"/>
    </xf>
    <xf numFmtId="3" fontId="24" fillId="8" borderId="3" xfId="4" applyNumberFormat="1" applyFont="1" applyFill="1" applyBorder="1" applyAlignment="1">
      <alignment horizontal="right" vertical="center"/>
    </xf>
    <xf numFmtId="3" fontId="31" fillId="0" borderId="70" xfId="4" applyNumberFormat="1" applyFont="1" applyFill="1" applyBorder="1" applyAlignment="1">
      <alignment horizontal="right" vertical="center"/>
    </xf>
    <xf numFmtId="3" fontId="25" fillId="22" borderId="69" xfId="4" applyNumberFormat="1" applyFont="1" applyFill="1" applyBorder="1" applyAlignment="1">
      <alignment horizontal="right" vertical="center"/>
    </xf>
    <xf numFmtId="3" fontId="27" fillId="25" borderId="31" xfId="4" applyNumberFormat="1" applyFont="1" applyFill="1" applyBorder="1" applyAlignment="1">
      <alignment horizontal="right" vertical="center"/>
    </xf>
    <xf numFmtId="3" fontId="31" fillId="25" borderId="62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3" fontId="31" fillId="0" borderId="0" xfId="4" applyNumberFormat="1" applyFont="1" applyFill="1" applyBorder="1" applyAlignment="1">
      <alignment horizontal="right" vertical="center"/>
    </xf>
    <xf numFmtId="3" fontId="25" fillId="6" borderId="8" xfId="4" applyNumberFormat="1" applyFont="1" applyFill="1" applyBorder="1" applyAlignment="1">
      <alignment horizontal="right" vertical="center"/>
    </xf>
    <xf numFmtId="3" fontId="7" fillId="0" borderId="62" xfId="4" applyNumberFormat="1" applyFont="1" applyFill="1" applyBorder="1" applyAlignment="1">
      <alignment horizontal="right" vertical="center"/>
    </xf>
    <xf numFmtId="3" fontId="31" fillId="0" borderId="63" xfId="4" applyNumberFormat="1" applyFont="1" applyFill="1" applyBorder="1" applyAlignment="1">
      <alignment vertical="center"/>
    </xf>
    <xf numFmtId="3" fontId="32" fillId="8" borderId="70" xfId="6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 wrapText="1"/>
    </xf>
    <xf numFmtId="3" fontId="8" fillId="2" borderId="9" xfId="0" applyNumberFormat="1" applyFont="1" applyFill="1" applyBorder="1" applyAlignment="1">
      <alignment vertical="center" wrapText="1"/>
    </xf>
    <xf numFmtId="3" fontId="7" fillId="13" borderId="47" xfId="4" applyNumberFormat="1" applyFont="1" applyFill="1" applyBorder="1" applyAlignment="1">
      <alignment horizontal="right" vertical="center"/>
    </xf>
    <xf numFmtId="3" fontId="7" fillId="13" borderId="70" xfId="4" applyNumberFormat="1" applyFont="1" applyFill="1" applyBorder="1" applyAlignment="1">
      <alignment horizontal="right" vertical="center"/>
    </xf>
    <xf numFmtId="3" fontId="8" fillId="6" borderId="17" xfId="0" applyNumberFormat="1" applyFont="1" applyFill="1" applyBorder="1"/>
    <xf numFmtId="0" fontId="11" fillId="0" borderId="0" xfId="0" applyFont="1" applyFill="1" applyAlignment="1">
      <alignment vertical="center"/>
    </xf>
    <xf numFmtId="3" fontId="24" fillId="8" borderId="7" xfId="4" applyNumberFormat="1" applyFont="1" applyFill="1" applyBorder="1" applyAlignment="1">
      <alignment horizontal="right" vertical="center"/>
    </xf>
    <xf numFmtId="3" fontId="24" fillId="23" borderId="7" xfId="4" applyNumberFormat="1" applyFont="1" applyFill="1" applyBorder="1" applyAlignment="1">
      <alignment horizontal="right"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7" fillId="8" borderId="17" xfId="0" applyFont="1" applyFill="1" applyBorder="1" applyAlignment="1">
      <alignment vertical="top"/>
    </xf>
    <xf numFmtId="0" fontId="24" fillId="8" borderId="6" xfId="0" applyFont="1" applyFill="1" applyBorder="1" applyAlignment="1">
      <alignment horizontal="center" vertical="center" wrapText="1"/>
    </xf>
    <xf numFmtId="3" fontId="8" fillId="6" borderId="61" xfId="0" applyNumberFormat="1" applyFont="1" applyFill="1" applyBorder="1"/>
    <xf numFmtId="0" fontId="32" fillId="0" borderId="20" xfId="0" applyFont="1" applyBorder="1" applyAlignment="1">
      <alignment vertical="center" wrapText="1"/>
    </xf>
    <xf numFmtId="0" fontId="7" fillId="27" borderId="32" xfId="4" applyFont="1" applyFill="1" applyBorder="1" applyAlignment="1">
      <alignment vertical="center" wrapText="1"/>
    </xf>
    <xf numFmtId="0" fontId="7" fillId="13" borderId="21" xfId="4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43" fontId="33" fillId="0" borderId="9" xfId="1" applyFont="1" applyFill="1" applyBorder="1" applyAlignment="1">
      <alignment vertical="center"/>
    </xf>
    <xf numFmtId="0" fontId="24" fillId="8" borderId="83" xfId="0" applyFont="1" applyFill="1" applyBorder="1" applyAlignment="1">
      <alignment vertical="center" wrapText="1"/>
    </xf>
    <xf numFmtId="0" fontId="25" fillId="6" borderId="30" xfId="4" applyFont="1" applyFill="1" applyBorder="1" applyAlignment="1">
      <alignment vertical="center"/>
    </xf>
    <xf numFmtId="0" fontId="25" fillId="6" borderId="31" xfId="4" applyFont="1" applyFill="1" applyBorder="1" applyAlignment="1">
      <alignment vertical="center"/>
    </xf>
    <xf numFmtId="3" fontId="33" fillId="32" borderId="30" xfId="6" applyNumberFormat="1" applyFont="1" applyFill="1" applyBorder="1" applyAlignment="1">
      <alignment horizontal="right" vertical="center"/>
    </xf>
    <xf numFmtId="3" fontId="27" fillId="32" borderId="30" xfId="4" applyNumberFormat="1" applyFont="1" applyFill="1" applyBorder="1" applyAlignment="1">
      <alignment horizontal="right" vertical="center"/>
    </xf>
    <xf numFmtId="3" fontId="27" fillId="32" borderId="63" xfId="4" applyNumberFormat="1" applyFont="1" applyFill="1" applyBorder="1" applyAlignment="1">
      <alignment horizontal="right" vertical="center"/>
    </xf>
    <xf numFmtId="3" fontId="32" fillId="32" borderId="30" xfId="6" applyNumberFormat="1" applyFont="1" applyFill="1" applyBorder="1" applyAlignment="1">
      <alignment horizontal="right" vertical="center"/>
    </xf>
    <xf numFmtId="3" fontId="7" fillId="32" borderId="30" xfId="4" applyNumberFormat="1" applyFont="1" applyFill="1" applyBorder="1" applyAlignment="1">
      <alignment horizontal="right" vertical="center"/>
    </xf>
    <xf numFmtId="3" fontId="7" fillId="23" borderId="30" xfId="4" applyNumberFormat="1" applyFont="1" applyFill="1" applyBorder="1" applyAlignment="1">
      <alignment vertical="center"/>
    </xf>
    <xf numFmtId="0" fontId="25" fillId="6" borderId="83" xfId="4" applyFont="1" applyFill="1" applyBorder="1" applyAlignment="1">
      <alignment horizontal="left" vertical="center"/>
    </xf>
    <xf numFmtId="3" fontId="32" fillId="0" borderId="47" xfId="6" applyNumberFormat="1" applyFont="1" applyFill="1" applyBorder="1" applyAlignment="1">
      <alignment horizontal="right" vertical="center"/>
    </xf>
    <xf numFmtId="0" fontId="61" fillId="0" borderId="78" xfId="4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25" fillId="8" borderId="19" xfId="4" applyFont="1" applyFill="1" applyBorder="1" applyAlignment="1">
      <alignment horizontal="left" vertical="center" wrapText="1"/>
    </xf>
    <xf numFmtId="43" fontId="31" fillId="0" borderId="29" xfId="1" applyFont="1" applyFill="1" applyBorder="1" applyAlignment="1">
      <alignment horizontal="right" vertical="center"/>
    </xf>
    <xf numFmtId="3" fontId="31" fillId="0" borderId="29" xfId="4" applyNumberFormat="1" applyFont="1" applyFill="1" applyBorder="1" applyAlignment="1">
      <alignment vertical="center"/>
    </xf>
    <xf numFmtId="43" fontId="33" fillId="0" borderId="30" xfId="1" applyFont="1" applyFill="1" applyBorder="1" applyAlignment="1">
      <alignment vertical="center"/>
    </xf>
    <xf numFmtId="43" fontId="27" fillId="0" borderId="30" xfId="1" applyFont="1" applyFill="1" applyBorder="1" applyAlignment="1">
      <alignment horizontal="right" vertical="center"/>
    </xf>
    <xf numFmtId="3" fontId="24" fillId="8" borderId="0" xfId="4" applyNumberFormat="1" applyFont="1" applyFill="1" applyBorder="1" applyAlignment="1">
      <alignment horizontal="right" vertical="center"/>
    </xf>
    <xf numFmtId="3" fontId="24" fillId="23" borderId="0" xfId="4" applyNumberFormat="1" applyFont="1" applyFill="1" applyBorder="1" applyAlignment="1">
      <alignment horizontal="right" vertical="center"/>
    </xf>
    <xf numFmtId="3" fontId="25" fillId="26" borderId="51" xfId="4" applyNumberFormat="1" applyFont="1" applyFill="1" applyBorder="1" applyAlignment="1">
      <alignment horizontal="center" vertical="center"/>
    </xf>
    <xf numFmtId="43" fontId="23" fillId="6" borderId="29" xfId="1" applyFont="1" applyFill="1" applyBorder="1" applyAlignment="1">
      <alignment horizontal="right" vertical="center"/>
    </xf>
    <xf numFmtId="43" fontId="33" fillId="0" borderId="29" xfId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horizontal="right" vertical="center"/>
    </xf>
    <xf numFmtId="43" fontId="31" fillId="0" borderId="30" xfId="1" applyFont="1" applyFill="1" applyBorder="1" applyAlignment="1">
      <alignment horizontal="right" vertical="center"/>
    </xf>
    <xf numFmtId="43" fontId="27" fillId="0" borderId="69" xfId="1" applyFont="1" applyFill="1" applyBorder="1" applyAlignment="1">
      <alignment horizontal="right" vertical="center"/>
    </xf>
    <xf numFmtId="43" fontId="31" fillId="0" borderId="47" xfId="1" applyFont="1" applyFill="1" applyBorder="1" applyAlignment="1">
      <alignment horizontal="right" vertical="center"/>
    </xf>
    <xf numFmtId="43" fontId="31" fillId="0" borderId="73" xfId="1" applyFont="1" applyFill="1" applyBorder="1" applyAlignment="1">
      <alignment horizontal="right" vertical="center"/>
    </xf>
    <xf numFmtId="0" fontId="7" fillId="0" borderId="25" xfId="0" applyFont="1" applyFill="1" applyBorder="1" applyAlignment="1">
      <alignment horizontal="left" vertical="center"/>
    </xf>
    <xf numFmtId="3" fontId="33" fillId="0" borderId="13" xfId="6" applyNumberFormat="1" applyFont="1" applyFill="1" applyBorder="1" applyAlignment="1">
      <alignment vertical="center"/>
    </xf>
    <xf numFmtId="3" fontId="33" fillId="0" borderId="0" xfId="6" applyNumberFormat="1" applyFont="1" applyFill="1" applyBorder="1" applyAlignment="1">
      <alignment horizontal="right" vertical="center"/>
    </xf>
    <xf numFmtId="3" fontId="23" fillId="6" borderId="0" xfId="6" applyNumberFormat="1" applyFont="1" applyFill="1" applyBorder="1" applyAlignment="1">
      <alignment horizontal="right" vertical="center"/>
    </xf>
    <xf numFmtId="3" fontId="7" fillId="13" borderId="77" xfId="4" applyNumberFormat="1" applyFont="1" applyFill="1" applyBorder="1" applyAlignment="1">
      <alignment horizontal="right" vertical="center"/>
    </xf>
    <xf numFmtId="3" fontId="7" fillId="13" borderId="18" xfId="4" applyNumberFormat="1" applyFont="1" applyFill="1" applyBorder="1" applyAlignment="1">
      <alignment horizontal="right" vertical="center"/>
    </xf>
    <xf numFmtId="3" fontId="24" fillId="23" borderId="68" xfId="4" applyNumberFormat="1" applyFont="1" applyFill="1" applyBorder="1" applyAlignment="1">
      <alignment horizontal="right" vertical="center"/>
    </xf>
    <xf numFmtId="43" fontId="31" fillId="0" borderId="70" xfId="1" applyFont="1" applyFill="1" applyBorder="1" applyAlignment="1">
      <alignment horizontal="right" vertical="center"/>
    </xf>
    <xf numFmtId="3" fontId="27" fillId="25" borderId="90" xfId="4" applyNumberFormat="1" applyFont="1" applyFill="1" applyBorder="1" applyAlignment="1">
      <alignment horizontal="right" vertical="center"/>
    </xf>
    <xf numFmtId="3" fontId="7" fillId="0" borderId="92" xfId="4" applyNumberFormat="1" applyFont="1" applyFill="1" applyBorder="1" applyAlignment="1">
      <alignment horizontal="right" vertical="center"/>
    </xf>
    <xf numFmtId="3" fontId="33" fillId="0" borderId="90" xfId="6" applyNumberFormat="1" applyFont="1" applyFill="1" applyBorder="1" applyAlignment="1">
      <alignment vertical="center"/>
    </xf>
    <xf numFmtId="3" fontId="33" fillId="0" borderId="88" xfId="6" applyNumberFormat="1" applyFont="1" applyFill="1" applyBorder="1" applyAlignment="1">
      <alignment vertical="center"/>
    </xf>
    <xf numFmtId="3" fontId="27" fillId="0" borderId="92" xfId="4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vertical="top"/>
    </xf>
    <xf numFmtId="0" fontId="0" fillId="0" borderId="0" xfId="0" applyFont="1" applyBorder="1" applyAlignment="1">
      <alignment vertical="top"/>
    </xf>
    <xf numFmtId="0" fontId="28" fillId="0" borderId="0" xfId="0" applyFont="1" applyFill="1" applyBorder="1" applyAlignment="1"/>
    <xf numFmtId="0" fontId="37" fillId="32" borderId="0" xfId="0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28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34" fillId="0" borderId="0" xfId="0" applyFont="1" applyFill="1" applyBorder="1" applyAlignment="1">
      <alignment vertical="top"/>
    </xf>
    <xf numFmtId="0" fontId="21" fillId="0" borderId="0" xfId="0" applyFont="1" applyFill="1" applyBorder="1" applyAlignment="1">
      <alignment vertical="top"/>
    </xf>
    <xf numFmtId="0" fontId="21" fillId="0" borderId="0" xfId="0" applyFont="1" applyBorder="1" applyAlignment="1">
      <alignment vertical="top"/>
    </xf>
    <xf numFmtId="0" fontId="25" fillId="0" borderId="23" xfId="4" applyFont="1" applyBorder="1" applyAlignment="1">
      <alignment horizontal="center" vertical="center" wrapText="1"/>
    </xf>
    <xf numFmtId="3" fontId="0" fillId="0" borderId="0" xfId="0" applyNumberFormat="1" applyFont="1" applyBorder="1"/>
    <xf numFmtId="3" fontId="57" fillId="0" borderId="0" xfId="0" applyNumberFormat="1" applyFont="1" applyBorder="1" applyAlignment="1">
      <alignment vertical="top"/>
    </xf>
    <xf numFmtId="3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vertical="top"/>
    </xf>
    <xf numFmtId="3" fontId="29" fillId="8" borderId="88" xfId="0" applyNumberFormat="1" applyFont="1" applyFill="1" applyBorder="1" applyAlignment="1">
      <alignment vertical="center"/>
    </xf>
    <xf numFmtId="3" fontId="29" fillId="23" borderId="88" xfId="0" applyNumberFormat="1" applyFont="1" applyFill="1" applyBorder="1" applyAlignment="1">
      <alignment vertical="center"/>
    </xf>
    <xf numFmtId="3" fontId="18" fillId="8" borderId="4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18" fillId="33" borderId="0" xfId="0" applyFont="1" applyFill="1" applyBorder="1" applyAlignment="1">
      <alignment vertical="center"/>
    </xf>
    <xf numFmtId="3" fontId="7" fillId="28" borderId="88" xfId="0" applyNumberFormat="1" applyFont="1" applyFill="1" applyBorder="1" applyAlignment="1">
      <alignment vertical="center"/>
    </xf>
    <xf numFmtId="3" fontId="7" fillId="23" borderId="88" xfId="0" applyNumberFormat="1" applyFont="1" applyFill="1" applyBorder="1" applyAlignment="1">
      <alignment vertical="center"/>
    </xf>
    <xf numFmtId="0" fontId="57" fillId="0" borderId="0" xfId="0" applyFont="1" applyBorder="1" applyAlignment="1">
      <alignment vertical="top"/>
    </xf>
    <xf numFmtId="0" fontId="7" fillId="8" borderId="36" xfId="4" applyFont="1" applyFill="1" applyBorder="1" applyAlignment="1">
      <alignment horizontal="left" vertical="center"/>
    </xf>
    <xf numFmtId="3" fontId="7" fillId="28" borderId="28" xfId="0" applyNumberFormat="1" applyFont="1" applyFill="1" applyBorder="1" applyAlignment="1">
      <alignment vertical="center" wrapText="1"/>
    </xf>
    <xf numFmtId="3" fontId="7" fillId="28" borderId="9" xfId="0" applyNumberFormat="1" applyFont="1" applyFill="1" applyBorder="1" applyAlignment="1">
      <alignment vertical="center"/>
    </xf>
    <xf numFmtId="43" fontId="7" fillId="23" borderId="88" xfId="1" applyFont="1" applyFill="1" applyBorder="1" applyAlignment="1">
      <alignment vertical="center"/>
    </xf>
    <xf numFmtId="0" fontId="7" fillId="8" borderId="95" xfId="0" applyFont="1" applyFill="1" applyBorder="1" applyAlignment="1">
      <alignment vertical="top" wrapText="1"/>
    </xf>
    <xf numFmtId="0" fontId="7" fillId="8" borderId="89" xfId="0" applyFont="1" applyFill="1" applyBorder="1" applyAlignment="1">
      <alignment vertical="top" wrapText="1"/>
    </xf>
    <xf numFmtId="3" fontId="18" fillId="8" borderId="43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vertical="top"/>
    </xf>
    <xf numFmtId="0" fontId="18" fillId="33" borderId="0" xfId="0" applyFont="1" applyFill="1" applyBorder="1" applyAlignment="1">
      <alignment vertical="top"/>
    </xf>
    <xf numFmtId="0" fontId="7" fillId="8" borderId="28" xfId="0" applyFont="1" applyFill="1" applyBorder="1" applyAlignment="1">
      <alignment vertical="top" wrapText="1"/>
    </xf>
    <xf numFmtId="0" fontId="7" fillId="8" borderId="75" xfId="0" applyFont="1" applyFill="1" applyBorder="1" applyAlignment="1">
      <alignment vertical="top" wrapText="1"/>
    </xf>
    <xf numFmtId="3" fontId="18" fillId="8" borderId="41" xfId="0" applyNumberFormat="1" applyFont="1" applyFill="1" applyBorder="1" applyAlignment="1">
      <alignment horizontal="center" vertical="top" wrapText="1"/>
    </xf>
    <xf numFmtId="3" fontId="18" fillId="0" borderId="0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center"/>
    </xf>
    <xf numFmtId="3" fontId="25" fillId="6" borderId="90" xfId="0" applyNumberFormat="1" applyFont="1" applyFill="1" applyBorder="1" applyAlignment="1">
      <alignment vertical="top"/>
    </xf>
    <xf numFmtId="3" fontId="27" fillId="2" borderId="90" xfId="0" applyNumberFormat="1" applyFont="1" applyFill="1" applyBorder="1" applyAlignment="1">
      <alignment vertical="top"/>
    </xf>
    <xf numFmtId="3" fontId="25" fillId="25" borderId="88" xfId="0" applyNumberFormat="1" applyFont="1" applyFill="1" applyBorder="1" applyAlignment="1">
      <alignment vertical="top"/>
    </xf>
    <xf numFmtId="3" fontId="27" fillId="0" borderId="90" xfId="0" applyNumberFormat="1" applyFont="1" applyFill="1" applyBorder="1" applyAlignment="1">
      <alignment vertical="top"/>
    </xf>
    <xf numFmtId="3" fontId="31" fillId="0" borderId="88" xfId="0" applyNumberFormat="1" applyFont="1" applyFill="1" applyBorder="1" applyAlignment="1">
      <alignment vertical="top"/>
    </xf>
    <xf numFmtId="0" fontId="31" fillId="0" borderId="75" xfId="4" applyFont="1" applyFill="1" applyBorder="1" applyAlignment="1">
      <alignment vertical="center"/>
    </xf>
    <xf numFmtId="3" fontId="25" fillId="6" borderId="88" xfId="0" applyNumberFormat="1" applyFont="1" applyFill="1" applyBorder="1" applyAlignment="1">
      <alignment vertical="top"/>
    </xf>
    <xf numFmtId="3" fontId="27" fillId="2" borderId="88" xfId="0" applyNumberFormat="1" applyFont="1" applyFill="1" applyBorder="1" applyAlignment="1">
      <alignment vertical="top"/>
    </xf>
    <xf numFmtId="3" fontId="27" fillId="0" borderId="88" xfId="0" applyNumberFormat="1" applyFont="1" applyFill="1" applyBorder="1" applyAlignment="1">
      <alignment vertical="top"/>
    </xf>
    <xf numFmtId="0" fontId="7" fillId="23" borderId="2" xfId="0" applyFont="1" applyFill="1" applyBorder="1" applyAlignment="1">
      <alignment vertical="top"/>
    </xf>
    <xf numFmtId="3" fontId="21" fillId="0" borderId="47" xfId="0" applyNumberFormat="1" applyFont="1" applyFill="1" applyBorder="1" applyAlignment="1">
      <alignment horizontal="right" vertical="center"/>
    </xf>
    <xf numFmtId="0" fontId="39" fillId="0" borderId="0" xfId="0" applyFont="1" applyBorder="1"/>
    <xf numFmtId="3" fontId="13" fillId="0" borderId="0" xfId="0" applyNumberFormat="1" applyFont="1" applyFill="1" applyBorder="1" applyAlignment="1">
      <alignment horizontal="right" vertical="center"/>
    </xf>
    <xf numFmtId="3" fontId="25" fillId="6" borderId="90" xfId="0" applyNumberFormat="1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8" fillId="52" borderId="6" xfId="0" applyFont="1" applyFill="1" applyBorder="1" applyAlignment="1">
      <alignment vertical="top"/>
    </xf>
    <xf numFmtId="3" fontId="25" fillId="6" borderId="9" xfId="0" applyNumberFormat="1" applyFont="1" applyFill="1" applyBorder="1" applyAlignment="1">
      <alignment vertical="center"/>
    </xf>
    <xf numFmtId="3" fontId="27" fillId="50" borderId="12" xfId="4" applyNumberFormat="1" applyFont="1" applyFill="1" applyBorder="1" applyAlignment="1">
      <alignment horizontal="right" vertical="center"/>
    </xf>
    <xf numFmtId="0" fontId="24" fillId="28" borderId="11" xfId="0" applyFont="1" applyFill="1" applyBorder="1" applyAlignment="1">
      <alignment vertical="center"/>
    </xf>
    <xf numFmtId="3" fontId="25" fillId="22" borderId="35" xfId="0" applyNumberFormat="1" applyFont="1" applyFill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3" fontId="21" fillId="0" borderId="0" xfId="0" applyNumberFormat="1" applyFont="1" applyFill="1" applyBorder="1" applyAlignment="1">
      <alignment vertical="center"/>
    </xf>
    <xf numFmtId="0" fontId="21" fillId="33" borderId="0" xfId="0" applyFont="1" applyFill="1" applyBorder="1" applyAlignment="1">
      <alignment vertical="center"/>
    </xf>
    <xf numFmtId="3" fontId="31" fillId="28" borderId="13" xfId="0" applyNumberFormat="1" applyFont="1" applyFill="1" applyBorder="1" applyAlignment="1">
      <alignment vertical="center"/>
    </xf>
    <xf numFmtId="0" fontId="25" fillId="8" borderId="19" xfId="0" applyFont="1" applyFill="1" applyBorder="1" applyAlignment="1">
      <alignment vertical="center" wrapText="1"/>
    </xf>
    <xf numFmtId="0" fontId="25" fillId="8" borderId="16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37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19" fillId="0" borderId="1" xfId="0" applyFont="1" applyBorder="1" applyAlignment="1">
      <alignment vertical="top"/>
    </xf>
    <xf numFmtId="0" fontId="20" fillId="0" borderId="3" xfId="0" applyFont="1" applyBorder="1" applyAlignment="1">
      <alignment vertical="top" wrapText="1"/>
    </xf>
    <xf numFmtId="0" fontId="0" fillId="0" borderId="3" xfId="0" applyFont="1" applyBorder="1" applyAlignment="1">
      <alignment vertical="top"/>
    </xf>
    <xf numFmtId="0" fontId="0" fillId="0" borderId="64" xfId="0" applyFont="1" applyBorder="1" applyAlignment="1">
      <alignment horizontal="center" vertical="top" wrapText="1"/>
    </xf>
    <xf numFmtId="0" fontId="19" fillId="0" borderId="26" xfId="0" applyFont="1" applyBorder="1" applyAlignment="1">
      <alignment vertical="top"/>
    </xf>
    <xf numFmtId="0" fontId="0" fillId="0" borderId="65" xfId="0" applyFont="1" applyBorder="1" applyAlignment="1">
      <alignment horizontal="center" vertical="top" wrapText="1"/>
    </xf>
    <xf numFmtId="0" fontId="19" fillId="0" borderId="66" xfId="0" applyFont="1" applyBorder="1" applyAlignment="1">
      <alignment vertical="top"/>
    </xf>
    <xf numFmtId="0" fontId="0" fillId="0" borderId="24" xfId="0" applyFont="1" applyBorder="1" applyAlignment="1">
      <alignment vertical="top"/>
    </xf>
    <xf numFmtId="0" fontId="0" fillId="0" borderId="67" xfId="0" applyFont="1" applyBorder="1" applyAlignment="1">
      <alignment horizontal="center" vertical="top" wrapText="1"/>
    </xf>
    <xf numFmtId="3" fontId="31" fillId="8" borderId="18" xfId="0" applyNumberFormat="1" applyFont="1" applyFill="1" applyBorder="1" applyAlignment="1">
      <alignment vertical="top"/>
    </xf>
    <xf numFmtId="3" fontId="31" fillId="8" borderId="77" xfId="0" applyNumberFormat="1" applyFont="1" applyFill="1" applyBorder="1" applyAlignment="1">
      <alignment vertical="top"/>
    </xf>
    <xf numFmtId="3" fontId="7" fillId="8" borderId="18" xfId="0" applyNumberFormat="1" applyFont="1" applyFill="1" applyBorder="1" applyAlignment="1">
      <alignment vertical="top"/>
    </xf>
    <xf numFmtId="0" fontId="0" fillId="0" borderId="35" xfId="0" applyFont="1" applyBorder="1"/>
    <xf numFmtId="0" fontId="0" fillId="0" borderId="101" xfId="0" applyFont="1" applyBorder="1"/>
    <xf numFmtId="0" fontId="0" fillId="0" borderId="100" xfId="0" applyFont="1" applyBorder="1"/>
    <xf numFmtId="3" fontId="0" fillId="0" borderId="100" xfId="0" applyNumberFormat="1" applyFont="1" applyBorder="1"/>
    <xf numFmtId="0" fontId="39" fillId="0" borderId="100" xfId="0" applyFont="1" applyBorder="1"/>
    <xf numFmtId="0" fontId="0" fillId="0" borderId="100" xfId="0" applyFont="1" applyFill="1" applyBorder="1"/>
    <xf numFmtId="0" fontId="0" fillId="0" borderId="100" xfId="0" applyFont="1" applyBorder="1" applyAlignment="1">
      <alignment vertical="center"/>
    </xf>
    <xf numFmtId="0" fontId="27" fillId="50" borderId="28" xfId="4" applyFont="1" applyFill="1" applyBorder="1" applyAlignment="1">
      <alignment horizontal="left" vertical="center"/>
    </xf>
    <xf numFmtId="3" fontId="27" fillId="50" borderId="90" xfId="4" applyNumberFormat="1" applyFont="1" applyFill="1" applyBorder="1" applyAlignment="1">
      <alignment horizontal="right" vertical="center"/>
    </xf>
    <xf numFmtId="3" fontId="31" fillId="0" borderId="100" xfId="0" applyNumberFormat="1" applyFont="1" applyFill="1" applyBorder="1" applyAlignment="1">
      <alignment vertical="top"/>
    </xf>
    <xf numFmtId="0" fontId="20" fillId="0" borderId="0" xfId="0" applyFont="1" applyBorder="1" applyAlignment="1">
      <alignment vertical="top"/>
    </xf>
    <xf numFmtId="0" fontId="7" fillId="6" borderId="28" xfId="0" applyFont="1" applyFill="1" applyBorder="1" applyAlignment="1">
      <alignment vertical="center" wrapText="1"/>
    </xf>
    <xf numFmtId="3" fontId="24" fillId="6" borderId="35" xfId="0" applyNumberFormat="1" applyFont="1" applyFill="1" applyBorder="1" applyAlignment="1">
      <alignment vertical="center"/>
    </xf>
    <xf numFmtId="3" fontId="7" fillId="0" borderId="99" xfId="4" applyNumberFormat="1" applyFont="1" applyFill="1" applyBorder="1" applyAlignment="1">
      <alignment horizontal="right" vertical="center"/>
    </xf>
    <xf numFmtId="3" fontId="25" fillId="6" borderId="101" xfId="0" applyNumberFormat="1" applyFont="1" applyFill="1" applyBorder="1" applyAlignment="1">
      <alignment vertical="top"/>
    </xf>
    <xf numFmtId="3" fontId="27" fillId="2" borderId="101" xfId="0" applyNumberFormat="1" applyFont="1" applyFill="1" applyBorder="1" applyAlignment="1">
      <alignment vertical="top"/>
    </xf>
    <xf numFmtId="3" fontId="27" fillId="0" borderId="101" xfId="0" applyNumberFormat="1" applyFont="1" applyFill="1" applyBorder="1" applyAlignment="1">
      <alignment vertical="top"/>
    </xf>
    <xf numFmtId="0" fontId="15" fillId="2" borderId="9" xfId="0" applyFont="1" applyFill="1" applyBorder="1" applyAlignment="1">
      <alignment horizontal="right" vertical="center"/>
    </xf>
    <xf numFmtId="0" fontId="15" fillId="2" borderId="101" xfId="0" applyFont="1" applyFill="1" applyBorder="1" applyAlignment="1">
      <alignment horizontal="right" vertical="center"/>
    </xf>
    <xf numFmtId="0" fontId="24" fillId="8" borderId="19" xfId="4" applyFont="1" applyFill="1" applyBorder="1" applyAlignment="1">
      <alignment vertical="center" wrapText="1"/>
    </xf>
    <xf numFmtId="3" fontId="24" fillId="8" borderId="77" xfId="4" applyNumberFormat="1" applyFont="1" applyFill="1" applyBorder="1" applyAlignment="1">
      <alignment horizontal="right" vertical="center"/>
    </xf>
    <xf numFmtId="3" fontId="33" fillId="0" borderId="69" xfId="6" applyNumberFormat="1" applyFont="1" applyFill="1" applyBorder="1" applyAlignment="1">
      <alignment vertical="center"/>
    </xf>
    <xf numFmtId="0" fontId="27" fillId="50" borderId="91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vertical="center"/>
    </xf>
    <xf numFmtId="0" fontId="63" fillId="52" borderId="21" xfId="0" applyFont="1" applyFill="1" applyBorder="1"/>
    <xf numFmtId="0" fontId="31" fillId="6" borderId="28" xfId="0" applyFont="1" applyFill="1" applyBorder="1" applyAlignment="1">
      <alignment vertical="center"/>
    </xf>
    <xf numFmtId="3" fontId="25" fillId="22" borderId="90" xfId="0" applyNumberFormat="1" applyFont="1" applyFill="1" applyBorder="1" applyAlignment="1">
      <alignment vertical="center"/>
    </xf>
    <xf numFmtId="3" fontId="27" fillId="2" borderId="9" xfId="0" applyNumberFormat="1" applyFont="1" applyFill="1" applyBorder="1" applyAlignment="1">
      <alignment vertical="top"/>
    </xf>
    <xf numFmtId="3" fontId="7" fillId="23" borderId="100" xfId="0" applyNumberFormat="1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vertical="center"/>
    </xf>
    <xf numFmtId="3" fontId="27" fillId="50" borderId="6" xfId="4" applyNumberFormat="1" applyFont="1" applyFill="1" applyBorder="1" applyAlignment="1">
      <alignment horizontal="left" vertical="center"/>
    </xf>
    <xf numFmtId="3" fontId="29" fillId="8" borderId="30" xfId="4" applyNumberFormat="1" applyFont="1" applyFill="1" applyBorder="1" applyAlignment="1">
      <alignment horizontal="right" vertical="center"/>
    </xf>
    <xf numFmtId="3" fontId="7" fillId="8" borderId="29" xfId="4" applyNumberFormat="1" applyFont="1" applyFill="1" applyBorder="1" applyAlignment="1">
      <alignment horizontal="right" vertical="center"/>
    </xf>
    <xf numFmtId="0" fontId="7" fillId="8" borderId="71" xfId="4" applyFont="1" applyFill="1" applyBorder="1" applyAlignment="1">
      <alignment vertical="center"/>
    </xf>
    <xf numFmtId="0" fontId="24" fillId="8" borderId="36" xfId="4" applyFont="1" applyFill="1" applyBorder="1" applyAlignment="1">
      <alignment vertical="center" wrapText="1"/>
    </xf>
    <xf numFmtId="0" fontId="7" fillId="0" borderId="75" xfId="4" applyFont="1" applyFill="1" applyBorder="1" applyAlignment="1">
      <alignment horizontal="left" vertical="center"/>
    </xf>
    <xf numFmtId="0" fontId="7" fillId="0" borderId="32" xfId="4" applyFont="1" applyFill="1" applyBorder="1" applyAlignment="1">
      <alignment horizontal="left" vertical="center"/>
    </xf>
    <xf numFmtId="0" fontId="7" fillId="0" borderId="21" xfId="4" applyFont="1" applyFill="1" applyBorder="1" applyAlignment="1">
      <alignment horizontal="left" vertical="center"/>
    </xf>
    <xf numFmtId="0" fontId="31" fillId="0" borderId="75" xfId="4" applyFont="1" applyFill="1" applyBorder="1" applyAlignment="1">
      <alignment horizontal="left" vertical="center"/>
    </xf>
    <xf numFmtId="0" fontId="31" fillId="0" borderId="32" xfId="4" applyFont="1" applyFill="1" applyBorder="1" applyAlignment="1">
      <alignment horizontal="left" vertical="center"/>
    </xf>
    <xf numFmtId="0" fontId="23" fillId="0" borderId="71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3" fontId="0" fillId="0" borderId="0" xfId="0" applyNumberFormat="1" applyFont="1" applyAlignment="1">
      <alignment vertical="center"/>
    </xf>
    <xf numFmtId="3" fontId="27" fillId="2" borderId="38" xfId="4" applyNumberFormat="1" applyFont="1" applyFill="1" applyBorder="1" applyAlignment="1">
      <alignment horizontal="center" vertical="center" wrapText="1"/>
    </xf>
    <xf numFmtId="3" fontId="27" fillId="26" borderId="76" xfId="4" applyNumberFormat="1" applyFont="1" applyFill="1" applyBorder="1" applyAlignment="1">
      <alignment horizontal="center" vertical="center"/>
    </xf>
    <xf numFmtId="0" fontId="39" fillId="0" borderId="40" xfId="0" applyFont="1" applyBorder="1" applyAlignment="1">
      <alignment horizontal="center" vertical="center" wrapText="1"/>
    </xf>
    <xf numFmtId="0" fontId="27" fillId="2" borderId="32" xfId="4" applyFont="1" applyFill="1" applyBorder="1" applyAlignment="1">
      <alignment vertical="center"/>
    </xf>
    <xf numFmtId="0" fontId="0" fillId="0" borderId="118" xfId="0" applyFont="1" applyBorder="1" applyAlignment="1">
      <alignment vertical="center"/>
    </xf>
    <xf numFmtId="0" fontId="39" fillId="0" borderId="118" xfId="0" applyFont="1" applyBorder="1"/>
    <xf numFmtId="0" fontId="64" fillId="8" borderId="20" xfId="4" applyFont="1" applyFill="1" applyBorder="1" applyAlignment="1">
      <alignment vertical="center" wrapText="1"/>
    </xf>
    <xf numFmtId="3" fontId="64" fillId="8" borderId="29" xfId="0" applyNumberFormat="1" applyFont="1" applyFill="1" applyBorder="1" applyAlignment="1">
      <alignment vertical="center" wrapText="1"/>
    </xf>
    <xf numFmtId="43" fontId="64" fillId="8" borderId="29" xfId="1" applyFont="1" applyFill="1" applyBorder="1" applyAlignment="1">
      <alignment vertical="center" wrapText="1"/>
    </xf>
    <xf numFmtId="3" fontId="8" fillId="0" borderId="0" xfId="0" applyNumberFormat="1" applyFont="1" applyFill="1" applyAlignment="1">
      <alignment vertical="center"/>
    </xf>
    <xf numFmtId="3" fontId="8" fillId="0" borderId="10" xfId="0" applyNumberFormat="1" applyFont="1" applyBorder="1" applyAlignment="1">
      <alignment vertical="center"/>
    </xf>
    <xf numFmtId="3" fontId="8" fillId="0" borderId="27" xfId="0" applyNumberFormat="1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28" xfId="0" applyFont="1" applyFill="1" applyBorder="1" applyAlignment="1">
      <alignment vertical="center" wrapText="1"/>
    </xf>
    <xf numFmtId="43" fontId="8" fillId="0" borderId="35" xfId="1" applyFont="1" applyFill="1" applyBorder="1" applyAlignment="1">
      <alignment vertical="center" wrapText="1"/>
    </xf>
    <xf numFmtId="3" fontId="8" fillId="0" borderId="35" xfId="0" applyNumberFormat="1" applyFont="1" applyFill="1" applyBorder="1" applyAlignment="1">
      <alignment vertical="center" wrapText="1"/>
    </xf>
    <xf numFmtId="3" fontId="7" fillId="25" borderId="0" xfId="4" applyNumberFormat="1" applyFont="1" applyFill="1" applyBorder="1" applyAlignment="1">
      <alignment horizontal="right" vertical="center"/>
    </xf>
    <xf numFmtId="3" fontId="32" fillId="0" borderId="101" xfId="6" applyNumberFormat="1" applyFont="1" applyFill="1" applyBorder="1" applyAlignment="1">
      <alignment vertical="center"/>
    </xf>
    <xf numFmtId="3" fontId="7" fillId="0" borderId="47" xfId="4" applyNumberFormat="1" applyFont="1" applyFill="1" applyBorder="1" applyAlignment="1">
      <alignment horizontal="center" vertical="center"/>
    </xf>
    <xf numFmtId="3" fontId="31" fillId="2" borderId="72" xfId="4" applyNumberFormat="1" applyFont="1" applyFill="1" applyBorder="1" applyAlignment="1">
      <alignment vertical="center"/>
    </xf>
    <xf numFmtId="43" fontId="31" fillId="0" borderId="27" xfId="1" applyFont="1" applyFill="1" applyBorder="1" applyAlignment="1">
      <alignment horizontal="right" vertical="center"/>
    </xf>
    <xf numFmtId="3" fontId="7" fillId="0" borderId="124" xfId="4" applyNumberFormat="1" applyFont="1" applyFill="1" applyBorder="1" applyAlignment="1">
      <alignment horizontal="right" vertical="center"/>
    </xf>
    <xf numFmtId="3" fontId="31" fillId="0" borderId="124" xfId="4" applyNumberFormat="1" applyFont="1" applyFill="1" applyBorder="1" applyAlignment="1">
      <alignment horizontal="right" vertical="center"/>
    </xf>
    <xf numFmtId="0" fontId="27" fillId="50" borderId="17" xfId="4" applyFont="1" applyFill="1" applyBorder="1" applyAlignment="1">
      <alignment horizontal="left" vertical="center"/>
    </xf>
    <xf numFmtId="0" fontId="24" fillId="6" borderId="128" xfId="4" applyFont="1" applyFill="1" applyBorder="1" applyAlignment="1">
      <alignment horizontal="left" vertical="center"/>
    </xf>
    <xf numFmtId="3" fontId="31" fillId="0" borderId="130" xfId="0" applyNumberFormat="1" applyFont="1" applyFill="1" applyBorder="1" applyAlignment="1">
      <alignment vertical="top"/>
    </xf>
    <xf numFmtId="0" fontId="24" fillId="6" borderId="135" xfId="4" applyFont="1" applyFill="1" applyBorder="1" applyAlignment="1">
      <alignment horizontal="left" vertical="center"/>
    </xf>
    <xf numFmtId="3" fontId="31" fillId="0" borderId="130" xfId="0" applyNumberFormat="1" applyFont="1" applyFill="1" applyBorder="1" applyAlignment="1">
      <alignment vertical="center"/>
    </xf>
    <xf numFmtId="3" fontId="27" fillId="0" borderId="130" xfId="0" applyNumberFormat="1" applyFont="1" applyFill="1" applyBorder="1" applyAlignment="1">
      <alignment vertical="top"/>
    </xf>
    <xf numFmtId="3" fontId="7" fillId="0" borderId="132" xfId="4" applyNumberFormat="1" applyFont="1" applyFill="1" applyBorder="1" applyAlignment="1">
      <alignment horizontal="right" vertical="center"/>
    </xf>
    <xf numFmtId="0" fontId="0" fillId="0" borderId="132" xfId="0" applyFont="1" applyBorder="1"/>
    <xf numFmtId="3" fontId="0" fillId="0" borderId="132" xfId="0" applyNumberFormat="1" applyFont="1" applyBorder="1"/>
    <xf numFmtId="0" fontId="39" fillId="0" borderId="132" xfId="0" applyFont="1" applyBorder="1"/>
    <xf numFmtId="3" fontId="0" fillId="51" borderId="132" xfId="0" applyNumberFormat="1" applyFont="1" applyFill="1" applyBorder="1"/>
    <xf numFmtId="0" fontId="0" fillId="0" borderId="132" xfId="0" applyFont="1" applyBorder="1" applyAlignment="1">
      <alignment vertical="center"/>
    </xf>
    <xf numFmtId="0" fontId="25" fillId="6" borderId="130" xfId="4" applyFont="1" applyFill="1" applyBorder="1" applyAlignment="1">
      <alignment horizontal="left" vertical="center"/>
    </xf>
    <xf numFmtId="3" fontId="25" fillId="22" borderId="130" xfId="4" applyNumberFormat="1" applyFont="1" applyFill="1" applyBorder="1" applyAlignment="1">
      <alignment horizontal="right" vertical="center"/>
    </xf>
    <xf numFmtId="3" fontId="31" fillId="23" borderId="130" xfId="0" applyNumberFormat="1" applyFont="1" applyFill="1" applyBorder="1" applyAlignment="1">
      <alignment vertical="center"/>
    </xf>
    <xf numFmtId="3" fontId="24" fillId="6" borderId="130" xfId="4" applyNumberFormat="1" applyFont="1" applyFill="1" applyBorder="1" applyAlignment="1">
      <alignment vertical="center"/>
    </xf>
    <xf numFmtId="0" fontId="25" fillId="0" borderId="0" xfId="0" applyFont="1" applyBorder="1" applyAlignment="1">
      <alignment vertical="top"/>
    </xf>
    <xf numFmtId="3" fontId="21" fillId="0" borderId="0" xfId="0" applyNumberFormat="1" applyFont="1" applyBorder="1" applyAlignment="1">
      <alignment vertical="top"/>
    </xf>
    <xf numFmtId="0" fontId="59" fillId="0" borderId="0" xfId="0" applyFont="1" applyFill="1" applyBorder="1" applyAlignment="1">
      <alignment vertical="top"/>
    </xf>
    <xf numFmtId="0" fontId="59" fillId="30" borderId="0" xfId="0" applyFont="1" applyFill="1" applyBorder="1" applyAlignment="1">
      <alignment vertical="top"/>
    </xf>
    <xf numFmtId="0" fontId="21" fillId="0" borderId="0" xfId="0" applyFont="1" applyBorder="1" applyAlignment="1">
      <alignment horizontal="center" vertical="top" wrapText="1"/>
    </xf>
    <xf numFmtId="3" fontId="7" fillId="0" borderId="140" xfId="4" applyNumberFormat="1" applyFont="1" applyFill="1" applyBorder="1" applyAlignment="1">
      <alignment horizontal="right" vertical="center"/>
    </xf>
    <xf numFmtId="0" fontId="25" fillId="6" borderId="121" xfId="4" applyFont="1" applyFill="1" applyBorder="1" applyAlignment="1">
      <alignment horizontal="left" vertical="center"/>
    </xf>
    <xf numFmtId="0" fontId="21" fillId="0" borderId="65" xfId="0" applyFont="1" applyBorder="1" applyAlignment="1">
      <alignment vertical="top"/>
    </xf>
    <xf numFmtId="0" fontId="0" fillId="0" borderId="66" xfId="0" applyFont="1" applyBorder="1" applyAlignment="1">
      <alignment horizontal="center" vertical="center"/>
    </xf>
    <xf numFmtId="0" fontId="31" fillId="0" borderId="24" xfId="4" applyFont="1" applyFill="1" applyBorder="1" applyAlignment="1">
      <alignment vertical="center"/>
    </xf>
    <xf numFmtId="0" fontId="23" fillId="0" borderId="24" xfId="0" applyFont="1" applyBorder="1" applyAlignment="1">
      <alignment horizontal="center" vertical="center" wrapText="1"/>
    </xf>
    <xf numFmtId="3" fontId="31" fillId="0" borderId="24" xfId="0" applyNumberFormat="1" applyFont="1" applyFill="1" applyBorder="1" applyAlignment="1">
      <alignment vertical="top"/>
    </xf>
    <xf numFmtId="3" fontId="31" fillId="0" borderId="24" xfId="0" applyNumberFormat="1" applyFont="1" applyFill="1" applyBorder="1" applyAlignment="1">
      <alignment horizontal="right" vertical="center"/>
    </xf>
    <xf numFmtId="3" fontId="25" fillId="22" borderId="24" xfId="0" applyNumberFormat="1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wrapText="1"/>
    </xf>
    <xf numFmtId="0" fontId="59" fillId="2" borderId="0" xfId="0" applyFont="1" applyFill="1" applyBorder="1" applyAlignment="1">
      <alignment vertical="top"/>
    </xf>
    <xf numFmtId="0" fontId="59" fillId="2" borderId="0" xfId="0" applyFont="1" applyFill="1" applyBorder="1" applyAlignment="1"/>
    <xf numFmtId="0" fontId="40" fillId="2" borderId="0" xfId="0" applyFont="1" applyFill="1" applyBorder="1" applyAlignment="1"/>
    <xf numFmtId="3" fontId="59" fillId="2" borderId="0" xfId="0" applyNumberFormat="1" applyFont="1" applyFill="1" applyBorder="1" applyAlignment="1">
      <alignment vertical="top"/>
    </xf>
    <xf numFmtId="0" fontId="20" fillId="2" borderId="1" xfId="0" applyFont="1" applyFill="1" applyBorder="1" applyAlignment="1">
      <alignment horizontal="center" vertical="top"/>
    </xf>
    <xf numFmtId="0" fontId="20" fillId="2" borderId="26" xfId="0" applyFont="1" applyFill="1" applyBorder="1" applyAlignment="1">
      <alignment horizontal="center" vertical="top"/>
    </xf>
    <xf numFmtId="0" fontId="21" fillId="8" borderId="43" xfId="0" quotePrefix="1" applyFont="1" applyFill="1" applyBorder="1" applyAlignment="1">
      <alignment horizontal="center" vertical="top"/>
    </xf>
    <xf numFmtId="3" fontId="31" fillId="23" borderId="130" xfId="0" applyNumberFormat="1" applyFont="1" applyFill="1" applyBorder="1" applyAlignment="1">
      <alignment vertical="top"/>
    </xf>
    <xf numFmtId="3" fontId="25" fillId="6" borderId="130" xfId="0" applyNumberFormat="1" applyFont="1" applyFill="1" applyBorder="1" applyAlignment="1">
      <alignment vertical="top"/>
    </xf>
    <xf numFmtId="3" fontId="31" fillId="8" borderId="35" xfId="0" applyNumberFormat="1" applyFont="1" applyFill="1" applyBorder="1" applyAlignment="1">
      <alignment vertical="top"/>
    </xf>
    <xf numFmtId="3" fontId="31" fillId="23" borderId="10" xfId="0" applyNumberFormat="1" applyFont="1" applyFill="1" applyBorder="1" applyAlignment="1">
      <alignment vertical="top"/>
    </xf>
    <xf numFmtId="3" fontId="25" fillId="22" borderId="130" xfId="0" applyNumberFormat="1" applyFont="1" applyFill="1" applyBorder="1" applyAlignment="1">
      <alignment vertical="top"/>
    </xf>
    <xf numFmtId="3" fontId="27" fillId="2" borderId="130" xfId="4" applyNumberFormat="1" applyFont="1" applyFill="1" applyBorder="1" applyAlignment="1">
      <alignment vertical="top" wrapText="1"/>
    </xf>
    <xf numFmtId="3" fontId="25" fillId="25" borderId="130" xfId="0" applyNumberFormat="1" applyFont="1" applyFill="1" applyBorder="1" applyAlignment="1">
      <alignment vertical="top"/>
    </xf>
    <xf numFmtId="3" fontId="31" fillId="0" borderId="124" xfId="0" applyNumberFormat="1" applyFont="1" applyFill="1" applyBorder="1" applyAlignment="1">
      <alignment vertical="top"/>
    </xf>
    <xf numFmtId="0" fontId="27" fillId="2" borderId="35" xfId="4" applyFont="1" applyFill="1" applyBorder="1" applyAlignment="1">
      <alignment vertical="top"/>
    </xf>
    <xf numFmtId="3" fontId="27" fillId="0" borderId="35" xfId="0" applyNumberFormat="1" applyFont="1" applyFill="1" applyBorder="1" applyAlignment="1">
      <alignment vertical="top"/>
    </xf>
    <xf numFmtId="0" fontId="20" fillId="0" borderId="0" xfId="0" applyFont="1" applyFill="1" applyBorder="1" applyAlignment="1">
      <alignment vertical="top"/>
    </xf>
    <xf numFmtId="0" fontId="25" fillId="8" borderId="68" xfId="0" applyFont="1" applyFill="1" applyBorder="1" applyAlignment="1">
      <alignment vertical="center" wrapText="1"/>
    </xf>
    <xf numFmtId="0" fontId="31" fillId="6" borderId="130" xfId="0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horizontal="center" vertical="top"/>
    </xf>
    <xf numFmtId="0" fontId="20" fillId="0" borderId="0" xfId="0" applyFont="1" applyFill="1" applyBorder="1" applyAlignment="1">
      <alignment vertical="center"/>
    </xf>
    <xf numFmtId="3" fontId="20" fillId="0" borderId="0" xfId="0" applyNumberFormat="1" applyFont="1" applyFill="1" applyBorder="1" applyAlignment="1">
      <alignment vertical="center"/>
    </xf>
    <xf numFmtId="3" fontId="31" fillId="0" borderId="124" xfId="0" applyNumberFormat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horizontal="center" vertical="top"/>
    </xf>
    <xf numFmtId="3" fontId="25" fillId="0" borderId="130" xfId="0" applyNumberFormat="1" applyFont="1" applyFill="1" applyBorder="1" applyAlignment="1">
      <alignment vertical="top"/>
    </xf>
    <xf numFmtId="3" fontId="20" fillId="0" borderId="0" xfId="0" applyNumberFormat="1" applyFont="1" applyFill="1" applyBorder="1" applyAlignment="1">
      <alignment vertical="top"/>
    </xf>
    <xf numFmtId="3" fontId="31" fillId="23" borderId="2" xfId="0" applyNumberFormat="1" applyFont="1" applyFill="1" applyBorder="1" applyAlignment="1">
      <alignment vertical="top"/>
    </xf>
    <xf numFmtId="0" fontId="31" fillId="0" borderId="130" xfId="0" applyFont="1" applyFill="1" applyBorder="1" applyAlignment="1">
      <alignment horizontal="left" vertical="center" wrapText="1"/>
    </xf>
    <xf numFmtId="0" fontId="21" fillId="30" borderId="0" xfId="0" applyFont="1" applyFill="1" applyBorder="1" applyAlignment="1">
      <alignment vertical="top"/>
    </xf>
    <xf numFmtId="0" fontId="20" fillId="0" borderId="1" xfId="0" applyFont="1" applyBorder="1" applyAlignment="1">
      <alignment vertical="top"/>
    </xf>
    <xf numFmtId="0" fontId="21" fillId="0" borderId="3" xfId="0" applyFont="1" applyBorder="1" applyAlignment="1">
      <alignment vertical="top"/>
    </xf>
    <xf numFmtId="0" fontId="21" fillId="0" borderId="64" xfId="0" applyFont="1" applyBorder="1" applyAlignment="1">
      <alignment vertical="top"/>
    </xf>
    <xf numFmtId="0" fontId="21" fillId="0" borderId="64" xfId="0" applyFont="1" applyBorder="1" applyAlignment="1">
      <alignment horizontal="center" vertical="top" wrapText="1"/>
    </xf>
    <xf numFmtId="0" fontId="20" fillId="0" borderId="26" xfId="0" applyFont="1" applyBorder="1" applyAlignment="1">
      <alignment vertical="top"/>
    </xf>
    <xf numFmtId="0" fontId="21" fillId="0" borderId="65" xfId="0" applyFont="1" applyBorder="1" applyAlignment="1">
      <alignment horizontal="center" vertical="top" wrapText="1"/>
    </xf>
    <xf numFmtId="0" fontId="20" fillId="0" borderId="66" xfId="0" applyFont="1" applyBorder="1" applyAlignment="1">
      <alignment vertical="top"/>
    </xf>
    <xf numFmtId="0" fontId="21" fillId="0" borderId="24" xfId="0" applyFont="1" applyBorder="1" applyAlignment="1">
      <alignment vertical="top"/>
    </xf>
    <xf numFmtId="0" fontId="21" fillId="0" borderId="67" xfId="0" applyFont="1" applyBorder="1" applyAlignment="1">
      <alignment vertical="top"/>
    </xf>
    <xf numFmtId="0" fontId="21" fillId="0" borderId="67" xfId="0" applyFont="1" applyBorder="1" applyAlignment="1">
      <alignment horizontal="center" vertical="top" wrapText="1"/>
    </xf>
    <xf numFmtId="3" fontId="27" fillId="25" borderId="132" xfId="4" applyNumberFormat="1" applyFont="1" applyFill="1" applyBorder="1" applyAlignment="1">
      <alignment horizontal="right" vertical="center"/>
    </xf>
    <xf numFmtId="3" fontId="31" fillId="25" borderId="132" xfId="4" applyNumberFormat="1" applyFont="1" applyFill="1" applyBorder="1" applyAlignment="1">
      <alignment horizontal="right" vertical="center"/>
    </xf>
    <xf numFmtId="3" fontId="7" fillId="0" borderId="129" xfId="4" applyNumberFormat="1" applyFont="1" applyFill="1" applyBorder="1" applyAlignment="1">
      <alignment horizontal="right" vertical="center"/>
    </xf>
    <xf numFmtId="0" fontId="7" fillId="2" borderId="21" xfId="4" applyFont="1" applyFill="1" applyBorder="1" applyAlignment="1">
      <alignment vertical="center"/>
    </xf>
    <xf numFmtId="0" fontId="14" fillId="2" borderId="0" xfId="113" applyFont="1" applyFill="1" applyBorder="1" applyAlignment="1">
      <alignment horizontal="right" vertical="center"/>
    </xf>
    <xf numFmtId="0" fontId="15" fillId="2" borderId="0" xfId="112" applyFont="1" applyFill="1" applyBorder="1" applyAlignment="1">
      <alignment horizontal="right" vertical="center"/>
    </xf>
    <xf numFmtId="3" fontId="27" fillId="21" borderId="131" xfId="4" applyNumberFormat="1" applyFont="1" applyFill="1" applyBorder="1" applyAlignment="1">
      <alignment horizontal="right" vertical="center"/>
    </xf>
    <xf numFmtId="3" fontId="32" fillId="8" borderId="132" xfId="114" applyNumberFormat="1" applyFont="1" applyFill="1" applyBorder="1" applyAlignment="1">
      <alignment vertical="center"/>
    </xf>
    <xf numFmtId="0" fontId="31" fillId="8" borderId="128" xfId="4" applyFont="1" applyFill="1" applyBorder="1" applyAlignment="1">
      <alignment vertical="center"/>
    </xf>
    <xf numFmtId="3" fontId="24" fillId="6" borderId="132" xfId="4" applyNumberFormat="1" applyFont="1" applyFill="1" applyBorder="1" applyAlignment="1">
      <alignment horizontal="right" vertical="center"/>
    </xf>
    <xf numFmtId="0" fontId="27" fillId="8" borderId="135" xfId="4" applyFont="1" applyFill="1" applyBorder="1" applyAlignment="1">
      <alignment vertical="center"/>
    </xf>
    <xf numFmtId="0" fontId="27" fillId="8" borderId="121" xfId="4" applyFont="1" applyFill="1" applyBorder="1" applyAlignment="1">
      <alignment vertical="center"/>
    </xf>
    <xf numFmtId="3" fontId="33" fillId="8" borderId="132" xfId="114" applyNumberFormat="1" applyFont="1" applyFill="1" applyBorder="1" applyAlignment="1">
      <alignment vertical="center"/>
    </xf>
    <xf numFmtId="0" fontId="17" fillId="8" borderId="11" xfId="4" applyFont="1" applyFill="1" applyBorder="1" applyAlignment="1">
      <alignment horizontal="center" vertical="center"/>
    </xf>
    <xf numFmtId="0" fontId="31" fillId="8" borderId="121" xfId="4" applyFont="1" applyFill="1" applyBorder="1" applyAlignment="1">
      <alignment vertical="center"/>
    </xf>
    <xf numFmtId="3" fontId="31" fillId="8" borderId="130" xfId="112" applyNumberFormat="1" applyFont="1" applyFill="1" applyBorder="1" applyAlignment="1">
      <alignment vertical="center"/>
    </xf>
    <xf numFmtId="0" fontId="18" fillId="8" borderId="43" xfId="4" applyFont="1" applyFill="1" applyBorder="1" applyAlignment="1">
      <alignment vertical="center"/>
    </xf>
    <xf numFmtId="3" fontId="18" fillId="0" borderId="0" xfId="112" applyNumberFormat="1" applyFont="1" applyBorder="1" applyAlignment="1">
      <alignment vertical="center"/>
    </xf>
    <xf numFmtId="0" fontId="18" fillId="0" borderId="0" xfId="112" applyFont="1" applyBorder="1" applyAlignment="1">
      <alignment vertical="center"/>
    </xf>
    <xf numFmtId="0" fontId="17" fillId="8" borderId="11" xfId="4" applyFont="1" applyFill="1" applyBorder="1" applyAlignment="1">
      <alignment vertical="center"/>
    </xf>
    <xf numFmtId="0" fontId="27" fillId="8" borderId="20" xfId="4" applyFont="1" applyFill="1" applyBorder="1" applyAlignment="1">
      <alignment vertical="center"/>
    </xf>
    <xf numFmtId="3" fontId="33" fillId="8" borderId="9" xfId="11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vertical="center"/>
    </xf>
    <xf numFmtId="0" fontId="31" fillId="8" borderId="12" xfId="4" applyFont="1" applyFill="1" applyBorder="1" applyAlignment="1">
      <alignment vertical="center"/>
    </xf>
    <xf numFmtId="0" fontId="24" fillId="8" borderId="19" xfId="112" applyFont="1" applyFill="1" applyBorder="1" applyAlignment="1">
      <alignment vertical="center" wrapText="1"/>
    </xf>
    <xf numFmtId="0" fontId="24" fillId="8" borderId="14" xfId="112" applyFont="1" applyFill="1" applyBorder="1" applyAlignment="1">
      <alignment horizontal="center" vertical="center" wrapText="1"/>
    </xf>
    <xf numFmtId="3" fontId="27" fillId="0" borderId="131" xfId="4" applyNumberFormat="1" applyFont="1" applyFill="1" applyBorder="1" applyAlignment="1">
      <alignment horizontal="right" vertical="center"/>
    </xf>
    <xf numFmtId="3" fontId="33" fillId="0" borderId="130" xfId="114" applyNumberFormat="1" applyFont="1" applyFill="1" applyBorder="1" applyAlignment="1">
      <alignment vertical="center"/>
    </xf>
    <xf numFmtId="3" fontId="27" fillId="0" borderId="129" xfId="4" applyNumberFormat="1" applyFont="1" applyFill="1" applyBorder="1" applyAlignment="1">
      <alignment horizontal="right" vertical="center"/>
    </xf>
    <xf numFmtId="3" fontId="27" fillId="2" borderId="130" xfId="4" applyNumberFormat="1" applyFont="1" applyFill="1" applyBorder="1" applyAlignment="1">
      <alignment horizontal="right" vertical="center"/>
    </xf>
    <xf numFmtId="3" fontId="33" fillId="0" borderId="132" xfId="114" applyNumberFormat="1" applyFont="1" applyFill="1" applyBorder="1" applyAlignment="1">
      <alignment vertical="center"/>
    </xf>
    <xf numFmtId="3" fontId="27" fillId="8" borderId="130" xfId="0" applyNumberFormat="1" applyFont="1" applyFill="1" applyBorder="1" applyAlignment="1">
      <alignment vertical="center"/>
    </xf>
    <xf numFmtId="3" fontId="27" fillId="23" borderId="130" xfId="0" applyNumberFormat="1" applyFont="1" applyFill="1" applyBorder="1" applyAlignment="1">
      <alignment vertical="center"/>
    </xf>
    <xf numFmtId="3" fontId="31" fillId="28" borderId="130" xfId="0" applyNumberFormat="1" applyFont="1" applyFill="1" applyBorder="1" applyAlignment="1">
      <alignment vertical="center"/>
    </xf>
    <xf numFmtId="3" fontId="27" fillId="2" borderId="128" xfId="4" applyNumberFormat="1" applyFont="1" applyFill="1" applyBorder="1" applyAlignment="1">
      <alignment vertical="center" wrapText="1"/>
    </xf>
    <xf numFmtId="0" fontId="31" fillId="0" borderId="75" xfId="0" applyFont="1" applyFill="1" applyBorder="1" applyAlignment="1">
      <alignment vertical="center"/>
    </xf>
    <xf numFmtId="43" fontId="31" fillId="0" borderId="124" xfId="1" applyFont="1" applyFill="1" applyBorder="1" applyAlignment="1">
      <alignment vertical="center"/>
    </xf>
    <xf numFmtId="0" fontId="0" fillId="0" borderId="24" xfId="0" applyFont="1" applyBorder="1"/>
    <xf numFmtId="3" fontId="27" fillId="2" borderId="34" xfId="4" applyNumberFormat="1" applyFont="1" applyFill="1" applyBorder="1" applyAlignment="1">
      <alignment vertical="center" wrapText="1"/>
    </xf>
    <xf numFmtId="0" fontId="20" fillId="6" borderId="20" xfId="4" applyFont="1" applyFill="1" applyBorder="1" applyAlignment="1">
      <alignment horizontal="center" vertical="center" wrapText="1"/>
    </xf>
    <xf numFmtId="43" fontId="24" fillId="8" borderId="68" xfId="1" applyFont="1" applyFill="1" applyBorder="1" applyAlignment="1">
      <alignment horizontal="right" vertical="center"/>
    </xf>
    <xf numFmtId="3" fontId="25" fillId="22" borderId="164" xfId="4" applyNumberFormat="1" applyFont="1" applyFill="1" applyBorder="1" applyAlignment="1">
      <alignment horizontal="right" vertical="center"/>
    </xf>
    <xf numFmtId="3" fontId="27" fillId="25" borderId="164" xfId="4" applyNumberFormat="1" applyFont="1" applyFill="1" applyBorder="1" applyAlignment="1">
      <alignment horizontal="right" vertical="center"/>
    </xf>
    <xf numFmtId="3" fontId="33" fillId="0" borderId="164" xfId="6" applyNumberFormat="1" applyFont="1" applyFill="1" applyBorder="1" applyAlignment="1">
      <alignment vertical="center"/>
    </xf>
    <xf numFmtId="0" fontId="24" fillId="8" borderId="19" xfId="0" applyFont="1" applyFill="1" applyBorder="1" applyAlignment="1">
      <alignment horizontal="left" vertical="center" wrapText="1"/>
    </xf>
    <xf numFmtId="3" fontId="24" fillId="8" borderId="3" xfId="0" applyNumberFormat="1" applyFont="1" applyFill="1" applyBorder="1" applyAlignment="1">
      <alignment vertical="center"/>
    </xf>
    <xf numFmtId="3" fontId="31" fillId="0" borderId="30" xfId="0" applyNumberFormat="1" applyFont="1" applyFill="1" applyBorder="1" applyAlignment="1">
      <alignment horizontal="right" vertical="center"/>
    </xf>
    <xf numFmtId="3" fontId="31" fillId="0" borderId="29" xfId="0" applyNumberFormat="1" applyFont="1" applyFill="1" applyBorder="1" applyAlignment="1">
      <alignment horizontal="right" vertical="center"/>
    </xf>
    <xf numFmtId="0" fontId="33" fillId="0" borderId="6" xfId="0" applyFont="1" applyBorder="1" applyAlignment="1">
      <alignment horizontal="center" vertical="center"/>
    </xf>
    <xf numFmtId="3" fontId="29" fillId="0" borderId="29" xfId="4" applyNumberFormat="1" applyFont="1" applyFill="1" applyBorder="1" applyAlignment="1">
      <alignment horizontal="right" vertical="center"/>
    </xf>
    <xf numFmtId="3" fontId="31" fillId="0" borderId="69" xfId="0" applyNumberFormat="1" applyFont="1" applyFill="1" applyBorder="1" applyAlignment="1">
      <alignment horizontal="right" vertical="center"/>
    </xf>
    <xf numFmtId="3" fontId="31" fillId="0" borderId="72" xfId="0" applyNumberFormat="1" applyFont="1" applyFill="1" applyBorder="1" applyAlignment="1">
      <alignment horizontal="right" vertical="center"/>
    </xf>
    <xf numFmtId="3" fontId="31" fillId="0" borderId="73" xfId="0" applyNumberFormat="1" applyFont="1" applyFill="1" applyBorder="1" applyAlignment="1">
      <alignment horizontal="right" vertical="center"/>
    </xf>
    <xf numFmtId="3" fontId="24" fillId="22" borderId="68" xfId="4" applyNumberFormat="1" applyFont="1" applyFill="1" applyBorder="1" applyAlignment="1">
      <alignment horizontal="right" vertical="center"/>
    </xf>
    <xf numFmtId="0" fontId="7" fillId="0" borderId="124" xfId="4" applyFont="1" applyFill="1" applyBorder="1" applyAlignment="1">
      <alignment vertical="top"/>
    </xf>
    <xf numFmtId="3" fontId="31" fillId="0" borderId="124" xfId="0" applyNumberFormat="1" applyFont="1" applyFill="1" applyBorder="1" applyAlignment="1">
      <alignment horizontal="right" vertical="center"/>
    </xf>
    <xf numFmtId="0" fontId="28" fillId="50" borderId="22" xfId="0" quotePrefix="1" applyFont="1" applyFill="1" applyBorder="1" applyAlignment="1">
      <alignment horizontal="center" vertical="top"/>
    </xf>
    <xf numFmtId="3" fontId="18" fillId="8" borderId="65" xfId="0" applyNumberFormat="1" applyFont="1" applyFill="1" applyBorder="1" applyAlignment="1">
      <alignment horizontal="center" vertical="top" wrapText="1"/>
    </xf>
    <xf numFmtId="3" fontId="18" fillId="8" borderId="65" xfId="0" applyNumberFormat="1" applyFont="1" applyFill="1" applyBorder="1" applyAlignment="1">
      <alignment horizontal="center" vertical="center" wrapText="1"/>
    </xf>
    <xf numFmtId="0" fontId="30" fillId="8" borderId="11" xfId="0" applyFont="1" applyFill="1" applyBorder="1" applyAlignment="1">
      <alignment vertical="center"/>
    </xf>
    <xf numFmtId="0" fontId="25" fillId="6" borderId="128" xfId="4" applyFont="1" applyFill="1" applyBorder="1" applyAlignment="1">
      <alignment horizontal="left" vertical="center"/>
    </xf>
    <xf numFmtId="3" fontId="25" fillId="6" borderId="163" xfId="0" applyNumberFormat="1" applyFont="1" applyFill="1" applyBorder="1" applyAlignment="1">
      <alignment vertical="top"/>
    </xf>
    <xf numFmtId="43" fontId="25" fillId="6" borderId="163" xfId="1" applyFont="1" applyFill="1" applyBorder="1" applyAlignment="1">
      <alignment vertical="top"/>
    </xf>
    <xf numFmtId="0" fontId="24" fillId="8" borderId="17" xfId="0" applyFont="1" applyFill="1" applyBorder="1" applyAlignment="1">
      <alignment horizontal="center" vertical="center" wrapText="1"/>
    </xf>
    <xf numFmtId="0" fontId="24" fillId="6" borderId="169" xfId="4" applyFont="1" applyFill="1" applyBorder="1" applyAlignment="1">
      <alignment horizontal="left" vertical="center"/>
    </xf>
    <xf numFmtId="3" fontId="25" fillId="6" borderId="163" xfId="0" applyNumberFormat="1" applyFont="1" applyFill="1" applyBorder="1" applyAlignment="1"/>
    <xf numFmtId="3" fontId="29" fillId="2" borderId="128" xfId="4" applyNumberFormat="1" applyFont="1" applyFill="1" applyBorder="1" applyAlignment="1">
      <alignment vertical="center" wrapText="1"/>
    </xf>
    <xf numFmtId="3" fontId="31" fillId="0" borderId="163" xfId="0" applyNumberFormat="1" applyFont="1" applyFill="1" applyBorder="1" applyAlignment="1">
      <alignment vertical="top"/>
    </xf>
    <xf numFmtId="0" fontId="29" fillId="2" borderId="128" xfId="4" applyFont="1" applyFill="1" applyBorder="1" applyAlignment="1">
      <alignment vertical="center"/>
    </xf>
    <xf numFmtId="3" fontId="27" fillId="0" borderId="163" xfId="0" applyNumberFormat="1" applyFont="1" applyFill="1" applyBorder="1" applyAlignment="1">
      <alignment vertical="top"/>
    </xf>
    <xf numFmtId="3" fontId="27" fillId="0" borderId="13" xfId="0" applyNumberFormat="1" applyFont="1" applyFill="1" applyBorder="1" applyAlignment="1">
      <alignment vertical="top"/>
    </xf>
    <xf numFmtId="43" fontId="31" fillId="0" borderId="163" xfId="1" applyFont="1" applyFill="1" applyBorder="1" applyAlignment="1">
      <alignment vertical="center"/>
    </xf>
    <xf numFmtId="43" fontId="31" fillId="0" borderId="164" xfId="1" applyFont="1" applyFill="1" applyBorder="1" applyAlignment="1">
      <alignment vertical="center"/>
    </xf>
    <xf numFmtId="0" fontId="29" fillId="2" borderId="169" xfId="4" applyFont="1" applyFill="1" applyBorder="1" applyAlignment="1">
      <alignment vertical="center"/>
    </xf>
    <xf numFmtId="0" fontId="7" fillId="0" borderId="136" xfId="4" applyFont="1" applyFill="1" applyBorder="1" applyAlignment="1">
      <alignment vertical="center"/>
    </xf>
    <xf numFmtId="43" fontId="31" fillId="0" borderId="140" xfId="1" applyFont="1" applyFill="1" applyBorder="1" applyAlignment="1">
      <alignment vertical="center"/>
    </xf>
    <xf numFmtId="3" fontId="25" fillId="6" borderId="163" xfId="0" applyNumberFormat="1" applyFont="1" applyFill="1" applyBorder="1" applyAlignment="1">
      <alignment vertical="center"/>
    </xf>
    <xf numFmtId="43" fontId="31" fillId="0" borderId="124" xfId="1" applyFont="1" applyFill="1" applyBorder="1" applyAlignment="1">
      <alignment vertical="top"/>
    </xf>
    <xf numFmtId="43" fontId="27" fillId="2" borderId="164" xfId="1" applyFont="1" applyFill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7" fillId="8" borderId="37" xfId="0" applyFont="1" applyFill="1" applyBorder="1" applyAlignment="1">
      <alignment vertical="center" wrapText="1"/>
    </xf>
    <xf numFmtId="3" fontId="25" fillId="6" borderId="164" xfId="0" applyNumberFormat="1" applyFont="1" applyFill="1" applyBorder="1" applyAlignment="1">
      <alignment vertical="top"/>
    </xf>
    <xf numFmtId="3" fontId="25" fillId="25" borderId="163" xfId="0" applyNumberFormat="1" applyFont="1" applyFill="1" applyBorder="1" applyAlignment="1">
      <alignment vertical="top"/>
    </xf>
    <xf numFmtId="0" fontId="27" fillId="2" borderId="128" xfId="4" applyFont="1" applyFill="1" applyBorder="1" applyAlignment="1">
      <alignment vertical="top"/>
    </xf>
    <xf numFmtId="0" fontId="31" fillId="0" borderId="138" xfId="0" applyFont="1" applyFill="1" applyBorder="1" applyAlignment="1">
      <alignment horizontal="left" vertical="center" wrapText="1"/>
    </xf>
    <xf numFmtId="0" fontId="7" fillId="6" borderId="168" xfId="0" applyFont="1" applyFill="1" applyBorder="1" applyAlignment="1">
      <alignment horizontal="left" vertical="center" wrapText="1"/>
    </xf>
    <xf numFmtId="3" fontId="27" fillId="2" borderId="170" xfId="4" applyNumberFormat="1" applyFont="1" applyFill="1" applyBorder="1" applyAlignment="1">
      <alignment vertical="center" wrapText="1"/>
    </xf>
    <xf numFmtId="3" fontId="27" fillId="2" borderId="163" xfId="0" applyNumberFormat="1" applyFont="1" applyFill="1" applyBorder="1" applyAlignment="1">
      <alignment vertical="top"/>
    </xf>
    <xf numFmtId="0" fontId="27" fillId="2" borderId="137" xfId="4" applyFont="1" applyFill="1" applyBorder="1" applyAlignment="1">
      <alignment vertical="top"/>
    </xf>
    <xf numFmtId="0" fontId="31" fillId="6" borderId="168" xfId="0" applyFont="1" applyFill="1" applyBorder="1" applyAlignment="1">
      <alignment vertical="top"/>
    </xf>
    <xf numFmtId="43" fontId="25" fillId="6" borderId="164" xfId="1" applyFont="1" applyFill="1" applyBorder="1" applyAlignment="1">
      <alignment vertical="top"/>
    </xf>
    <xf numFmtId="3" fontId="31" fillId="0" borderId="140" xfId="0" applyNumberFormat="1" applyFont="1" applyFill="1" applyBorder="1" applyAlignment="1">
      <alignment vertical="top"/>
    </xf>
    <xf numFmtId="3" fontId="25" fillId="6" borderId="163" xfId="4" applyNumberFormat="1" applyFont="1" applyFill="1" applyBorder="1" applyAlignment="1">
      <alignment horizontal="right" vertical="center"/>
    </xf>
    <xf numFmtId="3" fontId="31" fillId="25" borderId="130" xfId="0" applyNumberFormat="1" applyFont="1" applyFill="1" applyBorder="1" applyAlignment="1">
      <alignment vertical="top"/>
    </xf>
    <xf numFmtId="43" fontId="27" fillId="2" borderId="35" xfId="1" applyFont="1" applyFill="1" applyBorder="1" applyAlignment="1">
      <alignment vertical="center"/>
    </xf>
    <xf numFmtId="43" fontId="27" fillId="2" borderId="9" xfId="1" applyFont="1" applyFill="1" applyBorder="1" applyAlignment="1">
      <alignment vertical="center"/>
    </xf>
    <xf numFmtId="43" fontId="32" fillId="0" borderId="124" xfId="1" applyFont="1" applyBorder="1"/>
    <xf numFmtId="43" fontId="32" fillId="0" borderId="12" xfId="1" applyFont="1" applyBorder="1"/>
    <xf numFmtId="0" fontId="20" fillId="2" borderId="6" xfId="0" applyFont="1" applyFill="1" applyBorder="1" applyAlignment="1">
      <alignment vertical="top"/>
    </xf>
    <xf numFmtId="0" fontId="20" fillId="2" borderId="22" xfId="0" applyFont="1" applyFill="1" applyBorder="1" applyAlignment="1">
      <alignment vertical="top"/>
    </xf>
    <xf numFmtId="0" fontId="27" fillId="50" borderId="21" xfId="4" applyFont="1" applyFill="1" applyBorder="1" applyAlignment="1">
      <alignment horizontal="left" vertical="center"/>
    </xf>
    <xf numFmtId="0" fontId="29" fillId="8" borderId="128" xfId="4" applyFont="1" applyFill="1" applyBorder="1" applyAlignment="1">
      <alignment vertical="top"/>
    </xf>
    <xf numFmtId="0" fontId="7" fillId="8" borderId="128" xfId="4" applyFont="1" applyFill="1" applyBorder="1" applyAlignment="1">
      <alignment vertical="top"/>
    </xf>
    <xf numFmtId="0" fontId="7" fillId="8" borderId="128" xfId="4" applyFont="1" applyFill="1" applyBorder="1" applyAlignment="1">
      <alignment vertical="top" wrapText="1"/>
    </xf>
    <xf numFmtId="0" fontId="7" fillId="8" borderId="11" xfId="4" applyFont="1" applyFill="1" applyBorder="1" applyAlignment="1">
      <alignment vertical="top"/>
    </xf>
    <xf numFmtId="3" fontId="24" fillId="6" borderId="164" xfId="4" applyNumberFormat="1" applyFont="1" applyFill="1" applyBorder="1" applyAlignment="1">
      <alignment vertical="center"/>
    </xf>
    <xf numFmtId="3" fontId="24" fillId="6" borderId="163" xfId="4" applyNumberFormat="1" applyFont="1" applyFill="1" applyBorder="1" applyAlignment="1">
      <alignment vertical="center"/>
    </xf>
    <xf numFmtId="0" fontId="29" fillId="0" borderId="128" xfId="4" applyFont="1" applyFill="1" applyBorder="1" applyAlignment="1">
      <alignment vertical="top"/>
    </xf>
    <xf numFmtId="3" fontId="29" fillId="0" borderId="164" xfId="4" applyNumberFormat="1" applyFont="1" applyFill="1" applyBorder="1" applyAlignment="1">
      <alignment horizontal="right" vertical="center"/>
    </xf>
    <xf numFmtId="0" fontId="7" fillId="0" borderId="128" xfId="4" applyFont="1" applyFill="1" applyBorder="1" applyAlignment="1">
      <alignment vertical="top"/>
    </xf>
    <xf numFmtId="3" fontId="7" fillId="0" borderId="164" xfId="4" applyNumberFormat="1" applyFont="1" applyFill="1" applyBorder="1" applyAlignment="1">
      <alignment horizontal="right" vertical="center"/>
    </xf>
    <xf numFmtId="3" fontId="7" fillId="0" borderId="163" xfId="4" applyNumberFormat="1" applyFont="1" applyFill="1" applyBorder="1" applyAlignment="1">
      <alignment horizontal="right" vertical="center"/>
    </xf>
    <xf numFmtId="3" fontId="31" fillId="0" borderId="163" xfId="4" applyNumberFormat="1" applyFont="1" applyFill="1" applyBorder="1" applyAlignment="1">
      <alignment horizontal="right" vertical="center"/>
    </xf>
    <xf numFmtId="0" fontId="24" fillId="8" borderId="21" xfId="4" applyFont="1" applyFill="1" applyBorder="1" applyAlignment="1">
      <alignment horizontal="left" vertical="center" wrapText="1"/>
    </xf>
    <xf numFmtId="3" fontId="7" fillId="23" borderId="35" xfId="4" applyNumberFormat="1" applyFont="1" applyFill="1" applyBorder="1" applyAlignment="1">
      <alignment horizontal="right" vertical="center"/>
    </xf>
    <xf numFmtId="43" fontId="24" fillId="6" borderId="163" xfId="1" applyFont="1" applyFill="1" applyBorder="1" applyAlignment="1">
      <alignment vertical="center"/>
    </xf>
    <xf numFmtId="43" fontId="7" fillId="0" borderId="163" xfId="1" applyFont="1" applyFill="1" applyBorder="1" applyAlignment="1">
      <alignment horizontal="right" vertical="center"/>
    </xf>
    <xf numFmtId="3" fontId="7" fillId="8" borderId="163" xfId="4" applyNumberFormat="1" applyFont="1" applyFill="1" applyBorder="1" applyAlignment="1">
      <alignment horizontal="right" vertical="center"/>
    </xf>
    <xf numFmtId="0" fontId="31" fillId="0" borderId="0" xfId="0" applyFont="1" applyBorder="1" applyAlignment="1">
      <alignment vertical="top"/>
    </xf>
    <xf numFmtId="3" fontId="25" fillId="6" borderId="164" xfId="4" applyNumberFormat="1" applyFont="1" applyFill="1" applyBorder="1" applyAlignment="1">
      <alignment vertical="center"/>
    </xf>
    <xf numFmtId="3" fontId="27" fillId="25" borderId="163" xfId="4" applyNumberFormat="1" applyFont="1" applyFill="1" applyBorder="1" applyAlignment="1">
      <alignment horizontal="right" vertical="center"/>
    </xf>
    <xf numFmtId="0" fontId="7" fillId="0" borderId="128" xfId="4" applyFont="1" applyFill="1" applyBorder="1" applyAlignment="1">
      <alignment vertical="center"/>
    </xf>
    <xf numFmtId="3" fontId="27" fillId="0" borderId="163" xfId="4" applyNumberFormat="1" applyFont="1" applyFill="1" applyBorder="1" applyAlignment="1">
      <alignment horizontal="right" vertical="center"/>
    </xf>
    <xf numFmtId="0" fontId="31" fillId="0" borderId="0" xfId="0" applyFont="1" applyBorder="1" applyAlignment="1"/>
    <xf numFmtId="3" fontId="27" fillId="0" borderId="164" xfId="4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top"/>
    </xf>
    <xf numFmtId="3" fontId="25" fillId="8" borderId="9" xfId="4" applyNumberFormat="1" applyFont="1" applyFill="1" applyBorder="1" applyAlignment="1">
      <alignment horizontal="center" vertical="center"/>
    </xf>
    <xf numFmtId="3" fontId="7" fillId="8" borderId="7" xfId="4" applyNumberFormat="1" applyFont="1" applyFill="1" applyBorder="1" applyAlignment="1">
      <alignment horizontal="right" vertical="center"/>
    </xf>
    <xf numFmtId="3" fontId="29" fillId="25" borderId="164" xfId="4" applyNumberFormat="1" applyFont="1" applyFill="1" applyBorder="1" applyAlignment="1">
      <alignment horizontal="right" vertical="center"/>
    </xf>
    <xf numFmtId="0" fontId="7" fillId="0" borderId="11" xfId="4" applyFont="1" applyFill="1" applyBorder="1" applyAlignment="1">
      <alignment vertical="top"/>
    </xf>
    <xf numFmtId="3" fontId="18" fillId="0" borderId="13" xfId="4" applyNumberFormat="1" applyFont="1" applyFill="1" applyBorder="1" applyAlignment="1">
      <alignment horizontal="right" vertical="center"/>
    </xf>
    <xf numFmtId="3" fontId="18" fillId="25" borderId="10" xfId="4" applyNumberFormat="1" applyFont="1" applyFill="1" applyBorder="1" applyAlignment="1">
      <alignment vertical="top"/>
    </xf>
    <xf numFmtId="0" fontId="21" fillId="0" borderId="0" xfId="0" applyFont="1" applyBorder="1" applyAlignment="1">
      <alignment vertical="center"/>
    </xf>
    <xf numFmtId="0" fontId="25" fillId="6" borderId="168" xfId="4" applyFont="1" applyFill="1" applyBorder="1" applyAlignment="1">
      <alignment horizontal="left" vertical="center"/>
    </xf>
    <xf numFmtId="43" fontId="24" fillId="6" borderId="164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20" fillId="2" borderId="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3" fontId="18" fillId="8" borderId="43" xfId="4" applyNumberFormat="1" applyFont="1" applyFill="1" applyBorder="1" applyAlignment="1">
      <alignment vertical="center" wrapText="1"/>
    </xf>
    <xf numFmtId="3" fontId="27" fillId="50" borderId="23" xfId="0" quotePrefix="1" applyNumberFormat="1" applyFont="1" applyFill="1" applyBorder="1" applyAlignment="1">
      <alignment horizontal="right" vertical="center"/>
    </xf>
    <xf numFmtId="3" fontId="18" fillId="8" borderId="43" xfId="4" applyNumberFormat="1" applyFont="1" applyFill="1" applyBorder="1" applyAlignment="1">
      <alignment horizontal="center" vertical="center"/>
    </xf>
    <xf numFmtId="3" fontId="29" fillId="8" borderId="31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horizontal="center" vertical="center"/>
    </xf>
    <xf numFmtId="3" fontId="31" fillId="23" borderId="30" xfId="4" applyNumberFormat="1" applyFont="1" applyFill="1" applyBorder="1" applyAlignment="1">
      <alignment vertical="center"/>
    </xf>
    <xf numFmtId="0" fontId="17" fillId="8" borderId="25" xfId="4" applyFont="1" applyFill="1" applyBorder="1" applyAlignment="1">
      <alignment horizontal="center" vertical="center"/>
    </xf>
    <xf numFmtId="3" fontId="7" fillId="8" borderId="74" xfId="4" applyNumberFormat="1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/>
    </xf>
    <xf numFmtId="0" fontId="7" fillId="8" borderId="77" xfId="0" applyFont="1" applyFill="1" applyBorder="1" applyAlignment="1">
      <alignment vertical="center"/>
    </xf>
    <xf numFmtId="3" fontId="7" fillId="8" borderId="77" xfId="0" applyNumberFormat="1" applyFont="1" applyFill="1" applyBorder="1" applyAlignment="1">
      <alignment vertical="center"/>
    </xf>
    <xf numFmtId="3" fontId="7" fillId="23" borderId="68" xfId="0" applyNumberFormat="1" applyFont="1" applyFill="1" applyBorder="1" applyAlignment="1">
      <alignment vertical="center"/>
    </xf>
    <xf numFmtId="3" fontId="27" fillId="2" borderId="29" xfId="4" applyNumberFormat="1" applyFont="1" applyFill="1" applyBorder="1" applyAlignment="1">
      <alignment vertical="center"/>
    </xf>
    <xf numFmtId="0" fontId="7" fillId="0" borderId="34" xfId="4" applyFont="1" applyFill="1" applyBorder="1" applyAlignment="1">
      <alignment vertical="center"/>
    </xf>
    <xf numFmtId="3" fontId="27" fillId="2" borderId="30" xfId="4" applyNumberFormat="1" applyFont="1" applyFill="1" applyBorder="1" applyAlignment="1">
      <alignment vertical="center"/>
    </xf>
    <xf numFmtId="3" fontId="24" fillId="6" borderId="90" xfId="4" applyNumberFormat="1" applyFont="1" applyFill="1" applyBorder="1" applyAlignment="1">
      <alignment vertical="center"/>
    </xf>
    <xf numFmtId="3" fontId="27" fillId="2" borderId="94" xfId="4" applyNumberFormat="1" applyFont="1" applyFill="1" applyBorder="1" applyAlignment="1">
      <alignment vertical="center" wrapText="1"/>
    </xf>
    <xf numFmtId="0" fontId="7" fillId="0" borderId="94" xfId="4" applyFont="1" applyFill="1" applyBorder="1" applyAlignment="1">
      <alignment vertical="center"/>
    </xf>
    <xf numFmtId="0" fontId="34" fillId="2" borderId="51" xfId="0" applyFont="1" applyFill="1" applyBorder="1" applyAlignment="1">
      <alignment vertical="center"/>
    </xf>
    <xf numFmtId="0" fontId="34" fillId="0" borderId="51" xfId="0" applyFont="1" applyFill="1" applyBorder="1" applyAlignment="1">
      <alignment vertical="center"/>
    </xf>
    <xf numFmtId="0" fontId="34" fillId="0" borderId="78" xfId="0" applyFont="1" applyFill="1" applyBorder="1" applyAlignment="1">
      <alignment vertical="center"/>
    </xf>
    <xf numFmtId="0" fontId="30" fillId="8" borderId="5" xfId="0" applyFont="1" applyFill="1" applyBorder="1" applyAlignment="1">
      <alignment vertical="center"/>
    </xf>
    <xf numFmtId="0" fontId="27" fillId="50" borderId="25" xfId="0" applyFont="1" applyFill="1" applyBorder="1" applyAlignment="1">
      <alignment horizontal="left" vertical="center"/>
    </xf>
    <xf numFmtId="0" fontId="17" fillId="28" borderId="11" xfId="0" applyFont="1" applyFill="1" applyBorder="1" applyAlignment="1">
      <alignment vertical="center"/>
    </xf>
    <xf numFmtId="0" fontId="7" fillId="8" borderId="0" xfId="0" applyFont="1" applyFill="1" applyBorder="1" applyAlignment="1">
      <alignment vertical="center"/>
    </xf>
    <xf numFmtId="0" fontId="7" fillId="8" borderId="7" xfId="0" applyFont="1" applyFill="1" applyBorder="1" applyAlignment="1">
      <alignment vertical="center"/>
    </xf>
    <xf numFmtId="3" fontId="7" fillId="8" borderId="7" xfId="0" applyNumberFormat="1" applyFont="1" applyFill="1" applyBorder="1" applyAlignment="1">
      <alignment vertical="center"/>
    </xf>
    <xf numFmtId="3" fontId="7" fillId="23" borderId="35" xfId="0" applyNumberFormat="1" applyFont="1" applyFill="1" applyBorder="1" applyAlignment="1">
      <alignment vertical="center"/>
    </xf>
    <xf numFmtId="3" fontId="24" fillId="6" borderId="27" xfId="4" applyNumberFormat="1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0" xfId="112" applyFont="1" applyBorder="1" applyAlignment="1">
      <alignment vertical="center"/>
    </xf>
    <xf numFmtId="0" fontId="11" fillId="0" borderId="0" xfId="112" applyFont="1" applyFill="1" applyBorder="1" applyAlignment="1">
      <alignment vertical="center"/>
    </xf>
    <xf numFmtId="0" fontId="20" fillId="2" borderId="5" xfId="112" applyFont="1" applyFill="1" applyBorder="1" applyAlignment="1">
      <alignment horizontal="center" vertical="center"/>
    </xf>
    <xf numFmtId="0" fontId="20" fillId="2" borderId="11" xfId="112" applyFont="1" applyFill="1" applyBorder="1" applyAlignment="1">
      <alignment horizontal="center" vertical="center"/>
    </xf>
    <xf numFmtId="3" fontId="4" fillId="0" borderId="0" xfId="112" applyNumberFormat="1" applyFont="1" applyBorder="1" applyAlignment="1">
      <alignment vertical="center"/>
    </xf>
    <xf numFmtId="0" fontId="4" fillId="0" borderId="0" xfId="112" applyFont="1" applyBorder="1" applyAlignment="1">
      <alignment vertical="center"/>
    </xf>
    <xf numFmtId="0" fontId="27" fillId="50" borderId="25" xfId="112" applyFont="1" applyFill="1" applyBorder="1" applyAlignment="1">
      <alignment horizontal="left" vertical="center"/>
    </xf>
    <xf numFmtId="0" fontId="28" fillId="50" borderId="22" xfId="112" quotePrefix="1" applyFont="1" applyFill="1" applyBorder="1" applyAlignment="1">
      <alignment horizontal="center" vertical="center"/>
    </xf>
    <xf numFmtId="3" fontId="27" fillId="50" borderId="23" xfId="112" quotePrefix="1" applyNumberFormat="1" applyFont="1" applyFill="1" applyBorder="1" applyAlignment="1">
      <alignment horizontal="right" vertical="center"/>
    </xf>
    <xf numFmtId="3" fontId="29" fillId="8" borderId="135" xfId="4" applyNumberFormat="1" applyFont="1" applyFill="1" applyBorder="1" applyAlignment="1">
      <alignment vertical="center" wrapText="1"/>
    </xf>
    <xf numFmtId="3" fontId="29" fillId="8" borderId="121" xfId="4" applyNumberFormat="1" applyFont="1" applyFill="1" applyBorder="1" applyAlignment="1">
      <alignment vertical="center" wrapText="1"/>
    </xf>
    <xf numFmtId="3" fontId="27" fillId="8" borderId="130" xfId="112" applyNumberFormat="1" applyFont="1" applyFill="1" applyBorder="1" applyAlignment="1">
      <alignment vertical="center"/>
    </xf>
    <xf numFmtId="3" fontId="27" fillId="23" borderId="130" xfId="112" applyNumberFormat="1" applyFont="1" applyFill="1" applyBorder="1" applyAlignment="1">
      <alignment vertical="center"/>
    </xf>
    <xf numFmtId="3" fontId="7" fillId="8" borderId="135" xfId="4" applyNumberFormat="1" applyFont="1" applyFill="1" applyBorder="1" applyAlignment="1">
      <alignment vertical="center" wrapText="1"/>
    </xf>
    <xf numFmtId="3" fontId="7" fillId="8" borderId="121" xfId="4" applyNumberFormat="1" applyFont="1" applyFill="1" applyBorder="1" applyAlignment="1">
      <alignment vertical="center" wrapText="1"/>
    </xf>
    <xf numFmtId="3" fontId="7" fillId="8" borderId="130" xfId="112" applyNumberFormat="1" applyFont="1" applyFill="1" applyBorder="1" applyAlignment="1">
      <alignment vertical="center"/>
    </xf>
    <xf numFmtId="0" fontId="29" fillId="8" borderId="135" xfId="4" applyFont="1" applyFill="1" applyBorder="1" applyAlignment="1">
      <alignment vertical="center"/>
    </xf>
    <xf numFmtId="0" fontId="29" fillId="8" borderId="121" xfId="4" applyFont="1" applyFill="1" applyBorder="1" applyAlignment="1">
      <alignment vertical="center"/>
    </xf>
    <xf numFmtId="0" fontId="7" fillId="8" borderId="121" xfId="4" applyFont="1" applyFill="1" applyBorder="1" applyAlignment="1">
      <alignment vertical="center" wrapText="1"/>
    </xf>
    <xf numFmtId="0" fontId="27" fillId="8" borderId="6" xfId="4" applyFont="1" applyFill="1" applyBorder="1" applyAlignment="1">
      <alignment vertical="center"/>
    </xf>
    <xf numFmtId="0" fontId="18" fillId="8" borderId="41" xfId="4" applyFont="1" applyFill="1" applyBorder="1" applyAlignment="1">
      <alignment vertical="center"/>
    </xf>
    <xf numFmtId="0" fontId="7" fillId="8" borderId="77" xfId="112" applyFont="1" applyFill="1" applyBorder="1" applyAlignment="1">
      <alignment vertical="center"/>
    </xf>
    <xf numFmtId="3" fontId="7" fillId="23" borderId="68" xfId="112" applyNumberFormat="1" applyFont="1" applyFill="1" applyBorder="1" applyAlignment="1">
      <alignment vertical="center"/>
    </xf>
    <xf numFmtId="3" fontId="29" fillId="2" borderId="135" xfId="4" applyNumberFormat="1" applyFont="1" applyFill="1" applyBorder="1" applyAlignment="1">
      <alignment vertical="center" wrapText="1"/>
    </xf>
    <xf numFmtId="0" fontId="7" fillId="0" borderId="135" xfId="4" applyFont="1" applyFill="1" applyBorder="1" applyAlignment="1">
      <alignment vertical="center"/>
    </xf>
    <xf numFmtId="0" fontId="29" fillId="2" borderId="135" xfId="4" applyFont="1" applyFill="1" applyBorder="1" applyAlignment="1">
      <alignment vertical="center"/>
    </xf>
    <xf numFmtId="0" fontId="31" fillId="0" borderId="136" xfId="4" applyFont="1" applyFill="1" applyBorder="1" applyAlignment="1">
      <alignment vertical="center"/>
    </xf>
    <xf numFmtId="3" fontId="24" fillId="6" borderId="132" xfId="4" applyNumberFormat="1" applyFont="1" applyFill="1" applyBorder="1" applyAlignment="1">
      <alignment vertical="center"/>
    </xf>
    <xf numFmtId="3" fontId="27" fillId="2" borderId="132" xfId="4" applyNumberFormat="1" applyFont="1" applyFill="1" applyBorder="1" applyAlignment="1">
      <alignment vertical="center"/>
    </xf>
    <xf numFmtId="3" fontId="24" fillId="32" borderId="9" xfId="4" applyNumberFormat="1" applyFont="1" applyFill="1" applyBorder="1" applyAlignment="1">
      <alignment vertical="center"/>
    </xf>
    <xf numFmtId="3" fontId="24" fillId="8" borderId="4" xfId="4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31" fillId="0" borderId="142" xfId="4" applyFont="1" applyFill="1" applyBorder="1" applyAlignment="1">
      <alignment vertical="center"/>
    </xf>
    <xf numFmtId="0" fontId="27" fillId="50" borderId="46" xfId="0" applyFont="1" applyFill="1" applyBorder="1" applyAlignment="1">
      <alignment horizontal="left" vertical="center"/>
    </xf>
    <xf numFmtId="3" fontId="31" fillId="8" borderId="17" xfId="0" applyNumberFormat="1" applyFont="1" applyFill="1" applyBorder="1" applyAlignment="1">
      <alignment vertical="center"/>
    </xf>
    <xf numFmtId="0" fontId="31" fillId="8" borderId="2" xfId="0" applyFont="1" applyFill="1" applyBorder="1" applyAlignment="1">
      <alignment vertical="center"/>
    </xf>
    <xf numFmtId="0" fontId="18" fillId="0" borderId="0" xfId="112" applyFont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0" fillId="0" borderId="64" xfId="0" applyFont="1" applyBorder="1" applyAlignment="1">
      <alignment vertical="center"/>
    </xf>
    <xf numFmtId="3" fontId="18" fillId="8" borderId="65" xfId="4" applyNumberFormat="1" applyFont="1" applyFill="1" applyBorder="1" applyAlignment="1">
      <alignment vertical="center" wrapText="1"/>
    </xf>
    <xf numFmtId="0" fontId="27" fillId="50" borderId="65" xfId="0" applyFont="1" applyFill="1" applyBorder="1" applyAlignment="1">
      <alignment horizontal="left" vertical="center"/>
    </xf>
    <xf numFmtId="0" fontId="28" fillId="50" borderId="6" xfId="0" quotePrefix="1" applyFont="1" applyFill="1" applyBorder="1" applyAlignment="1">
      <alignment horizontal="center" vertical="center"/>
    </xf>
    <xf numFmtId="3" fontId="27" fillId="50" borderId="27" xfId="0" quotePrefix="1" applyNumberFormat="1" applyFont="1" applyFill="1" applyBorder="1" applyAlignment="1">
      <alignment horizontal="right" vertical="center"/>
    </xf>
    <xf numFmtId="3" fontId="24" fillId="6" borderId="68" xfId="4" applyNumberFormat="1" applyFont="1" applyFill="1" applyBorder="1" applyAlignment="1">
      <alignment vertical="center"/>
    </xf>
    <xf numFmtId="3" fontId="24" fillId="22" borderId="68" xfId="4" applyNumberFormat="1" applyFont="1" applyFill="1" applyBorder="1" applyAlignment="1">
      <alignment vertical="center"/>
    </xf>
    <xf numFmtId="3" fontId="39" fillId="0" borderId="0" xfId="0" applyNumberFormat="1" applyFont="1" applyAlignment="1">
      <alignment vertical="center"/>
    </xf>
    <xf numFmtId="3" fontId="30" fillId="8" borderId="43" xfId="4" applyNumberFormat="1" applyFont="1" applyFill="1" applyBorder="1" applyAlignment="1">
      <alignment vertical="center" wrapText="1"/>
    </xf>
    <xf numFmtId="3" fontId="60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7" fillId="8" borderId="20" xfId="4" applyFont="1" applyFill="1" applyBorder="1" applyAlignment="1">
      <alignment vertical="center"/>
    </xf>
    <xf numFmtId="3" fontId="7" fillId="8" borderId="34" xfId="4" applyNumberFormat="1" applyFont="1" applyFill="1" applyBorder="1" applyAlignment="1">
      <alignment vertical="center" wrapText="1"/>
    </xf>
    <xf numFmtId="3" fontId="7" fillId="8" borderId="28" xfId="4" applyNumberFormat="1" applyFont="1" applyFill="1" applyBorder="1" applyAlignment="1">
      <alignment vertical="center" wrapText="1"/>
    </xf>
    <xf numFmtId="0" fontId="18" fillId="8" borderId="43" xfId="4" applyFont="1" applyFill="1" applyBorder="1" applyAlignment="1">
      <alignment vertical="center" wrapText="1"/>
    </xf>
    <xf numFmtId="0" fontId="29" fillId="8" borderId="20" xfId="4" applyFont="1" applyFill="1" applyBorder="1" applyAlignment="1">
      <alignment vertical="center"/>
    </xf>
    <xf numFmtId="0" fontId="30" fillId="8" borderId="43" xfId="4" applyFont="1" applyFill="1" applyBorder="1" applyAlignment="1">
      <alignment vertical="center" wrapText="1"/>
    </xf>
    <xf numFmtId="3" fontId="27" fillId="8" borderId="20" xfId="4" applyNumberFormat="1" applyFont="1" applyFill="1" applyBorder="1" applyAlignment="1">
      <alignment vertical="center" wrapText="1"/>
    </xf>
    <xf numFmtId="0" fontId="27" fillId="8" borderId="28" xfId="4" applyFont="1" applyFill="1" applyBorder="1" applyAlignment="1">
      <alignment vertical="center"/>
    </xf>
    <xf numFmtId="3" fontId="7" fillId="8" borderId="12" xfId="4" applyNumberFormat="1" applyFont="1" applyFill="1" applyBorder="1" applyAlignment="1">
      <alignment vertical="center"/>
    </xf>
    <xf numFmtId="0" fontId="17" fillId="13" borderId="11" xfId="4" applyFont="1" applyFill="1" applyBorder="1" applyAlignment="1">
      <alignment horizontal="center" vertical="center"/>
    </xf>
    <xf numFmtId="3" fontId="18" fillId="13" borderId="43" xfId="4" applyNumberFormat="1" applyFont="1" applyFill="1" applyBorder="1" applyAlignment="1">
      <alignment horizontal="center" vertical="center"/>
    </xf>
    <xf numFmtId="3" fontId="7" fillId="13" borderId="34" xfId="4" applyNumberFormat="1" applyFont="1" applyFill="1" applyBorder="1" applyAlignment="1">
      <alignment vertical="center" wrapText="1"/>
    </xf>
    <xf numFmtId="3" fontId="7" fillId="13" borderId="28" xfId="4" applyNumberFormat="1" applyFont="1" applyFill="1" applyBorder="1" applyAlignment="1">
      <alignment vertical="center" wrapText="1"/>
    </xf>
    <xf numFmtId="0" fontId="18" fillId="13" borderId="43" xfId="4" applyFont="1" applyFill="1" applyBorder="1" applyAlignment="1">
      <alignment horizontal="center" vertical="center"/>
    </xf>
    <xf numFmtId="0" fontId="29" fillId="13" borderId="34" xfId="4" applyFont="1" applyFill="1" applyBorder="1" applyAlignment="1">
      <alignment vertical="center"/>
    </xf>
    <xf numFmtId="3" fontId="7" fillId="13" borderId="79" xfId="4" applyNumberFormat="1" applyFont="1" applyFill="1" applyBorder="1" applyAlignment="1">
      <alignment vertical="center" wrapText="1"/>
    </xf>
    <xf numFmtId="3" fontId="27" fillId="13" borderId="20" xfId="4" applyNumberFormat="1" applyFont="1" applyFill="1" applyBorder="1" applyAlignment="1">
      <alignment vertical="center" wrapText="1"/>
    </xf>
    <xf numFmtId="0" fontId="17" fillId="13" borderId="25" xfId="4" applyFont="1" applyFill="1" applyBorder="1" applyAlignment="1">
      <alignment horizontal="center" vertical="center"/>
    </xf>
    <xf numFmtId="3" fontId="18" fillId="13" borderId="41" xfId="4" applyNumberFormat="1" applyFont="1" applyFill="1" applyBorder="1" applyAlignment="1">
      <alignment horizontal="center" vertical="center"/>
    </xf>
    <xf numFmtId="3" fontId="29" fillId="2" borderId="34" xfId="4" applyNumberFormat="1" applyFont="1" applyFill="1" applyBorder="1" applyAlignment="1">
      <alignment vertical="center" wrapText="1"/>
    </xf>
    <xf numFmtId="0" fontId="29" fillId="2" borderId="32" xfId="4" applyFont="1" applyFill="1" applyBorder="1" applyAlignment="1">
      <alignment vertical="center"/>
    </xf>
    <xf numFmtId="3" fontId="29" fillId="2" borderId="29" xfId="4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7" fillId="0" borderId="33" xfId="4" applyFont="1" applyFill="1" applyBorder="1" applyAlignment="1">
      <alignment vertical="center"/>
    </xf>
    <xf numFmtId="3" fontId="25" fillId="8" borderId="4" xfId="4" applyNumberFormat="1" applyFont="1" applyFill="1" applyBorder="1" applyAlignment="1">
      <alignment vertical="center"/>
    </xf>
    <xf numFmtId="3" fontId="31" fillId="0" borderId="70" xfId="4" applyNumberFormat="1" applyFont="1" applyFill="1" applyBorder="1" applyAlignment="1">
      <alignment vertical="center"/>
    </xf>
    <xf numFmtId="0" fontId="31" fillId="0" borderId="79" xfId="4" applyFont="1" applyFill="1" applyBorder="1" applyAlignment="1">
      <alignment vertical="center"/>
    </xf>
    <xf numFmtId="43" fontId="24" fillId="6" borderId="29" xfId="1" applyFont="1" applyFill="1" applyBorder="1" applyAlignment="1">
      <alignment vertical="center"/>
    </xf>
    <xf numFmtId="3" fontId="28" fillId="0" borderId="50" xfId="4" applyNumberFormat="1" applyFont="1" applyFill="1" applyBorder="1" applyAlignment="1">
      <alignment vertical="center"/>
    </xf>
    <xf numFmtId="3" fontId="28" fillId="2" borderId="76" xfId="4" applyNumberFormat="1" applyFont="1" applyFill="1" applyBorder="1" applyAlignment="1">
      <alignment vertical="center"/>
    </xf>
    <xf numFmtId="3" fontId="0" fillId="2" borderId="0" xfId="0" applyNumberFormat="1" applyFont="1" applyFill="1" applyAlignment="1">
      <alignment vertical="center"/>
    </xf>
    <xf numFmtId="43" fontId="24" fillId="6" borderId="9" xfId="1" applyFont="1" applyFill="1" applyBorder="1" applyAlignment="1">
      <alignment vertical="center"/>
    </xf>
    <xf numFmtId="0" fontId="24" fillId="13" borderId="16" xfId="4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39" fillId="0" borderId="0" xfId="0" applyFont="1" applyFill="1" applyAlignment="1">
      <alignment vertical="center"/>
    </xf>
    <xf numFmtId="0" fontId="7" fillId="13" borderId="25" xfId="4" applyFont="1" applyFill="1" applyBorder="1" applyAlignment="1">
      <alignment vertical="center"/>
    </xf>
    <xf numFmtId="0" fontId="7" fillId="13" borderId="22" xfId="4" applyFont="1" applyFill="1" applyBorder="1" applyAlignment="1">
      <alignment vertical="center"/>
    </xf>
    <xf numFmtId="3" fontId="31" fillId="0" borderId="51" xfId="4" applyNumberFormat="1" applyFont="1" applyFill="1" applyBorder="1" applyAlignment="1">
      <alignment vertical="center"/>
    </xf>
    <xf numFmtId="3" fontId="7" fillId="0" borderId="76" xfId="4" applyNumberFormat="1" applyFont="1" applyFill="1" applyBorder="1" applyAlignment="1">
      <alignment horizontal="right" vertical="center"/>
    </xf>
    <xf numFmtId="3" fontId="7" fillId="0" borderId="51" xfId="4" applyNumberFormat="1" applyFont="1" applyFill="1" applyBorder="1" applyAlignment="1">
      <alignment horizontal="right" vertical="center"/>
    </xf>
    <xf numFmtId="3" fontId="27" fillId="2" borderId="164" xfId="4" applyNumberFormat="1" applyFont="1" applyFill="1" applyBorder="1" applyAlignment="1">
      <alignment vertical="center"/>
    </xf>
    <xf numFmtId="0" fontId="24" fillId="27" borderId="14" xfId="4" applyFont="1" applyFill="1" applyBorder="1" applyAlignment="1">
      <alignment vertical="center" wrapText="1"/>
    </xf>
    <xf numFmtId="0" fontId="7" fillId="27" borderId="4" xfId="4" applyFont="1" applyFill="1" applyBorder="1" applyAlignment="1">
      <alignment vertical="center"/>
    </xf>
    <xf numFmtId="3" fontId="7" fillId="27" borderId="68" xfId="4" applyNumberFormat="1" applyFont="1" applyFill="1" applyBorder="1" applyAlignment="1">
      <alignment vertical="center"/>
    </xf>
    <xf numFmtId="3" fontId="7" fillId="27" borderId="2" xfId="4" applyNumberFormat="1" applyFont="1" applyFill="1" applyBorder="1" applyAlignment="1">
      <alignment vertical="center"/>
    </xf>
    <xf numFmtId="3" fontId="7" fillId="24" borderId="2" xfId="4" applyNumberFormat="1" applyFont="1" applyFill="1" applyBorder="1" applyAlignment="1">
      <alignment vertical="center"/>
    </xf>
    <xf numFmtId="0" fontId="29" fillId="27" borderId="34" xfId="4" applyFont="1" applyFill="1" applyBorder="1" applyAlignment="1">
      <alignment vertical="center" wrapText="1"/>
    </xf>
    <xf numFmtId="3" fontId="29" fillId="27" borderId="28" xfId="4" applyNumberFormat="1" applyFont="1" applyFill="1" applyBorder="1" applyAlignment="1">
      <alignment vertical="center" wrapText="1"/>
    </xf>
    <xf numFmtId="0" fontId="7" fillId="27" borderId="34" xfId="4" applyFont="1" applyFill="1" applyBorder="1" applyAlignment="1">
      <alignment vertical="center" wrapText="1"/>
    </xf>
    <xf numFmtId="0" fontId="7" fillId="27" borderId="28" xfId="4" applyFont="1" applyFill="1" applyBorder="1" applyAlignment="1">
      <alignment vertical="center" wrapText="1"/>
    </xf>
    <xf numFmtId="0" fontId="7" fillId="13" borderId="36" xfId="4" applyFont="1" applyFill="1" applyBorder="1" applyAlignment="1">
      <alignment vertical="center"/>
    </xf>
    <xf numFmtId="0" fontId="7" fillId="13" borderId="20" xfId="4" applyFont="1" applyFill="1" applyBorder="1" applyAlignment="1">
      <alignment vertical="center"/>
    </xf>
    <xf numFmtId="0" fontId="29" fillId="13" borderId="20" xfId="4" applyFont="1" applyFill="1" applyBorder="1" applyAlignment="1">
      <alignment vertical="center"/>
    </xf>
    <xf numFmtId="0" fontId="60" fillId="0" borderId="0" xfId="0" applyFont="1" applyAlignment="1">
      <alignment vertical="center"/>
    </xf>
    <xf numFmtId="3" fontId="27" fillId="13" borderId="32" xfId="4" applyNumberFormat="1" applyFont="1" applyFill="1" applyBorder="1" applyAlignment="1">
      <alignment vertical="center" wrapText="1"/>
    </xf>
    <xf numFmtId="3" fontId="27" fillId="13" borderId="28" xfId="4" applyNumberFormat="1" applyFont="1" applyFill="1" applyBorder="1" applyAlignment="1">
      <alignment vertical="center" wrapText="1"/>
    </xf>
    <xf numFmtId="0" fontId="7" fillId="13" borderId="32" xfId="4" applyFont="1" applyFill="1" applyBorder="1" applyAlignment="1">
      <alignment vertical="center"/>
    </xf>
    <xf numFmtId="0" fontId="29" fillId="13" borderId="36" xfId="4" applyFont="1" applyFill="1" applyBorder="1" applyAlignment="1">
      <alignment vertical="center"/>
    </xf>
    <xf numFmtId="3" fontId="7" fillId="13" borderId="32" xfId="4" applyNumberFormat="1" applyFont="1" applyFill="1" applyBorder="1" applyAlignment="1">
      <alignment vertical="center" wrapText="1"/>
    </xf>
    <xf numFmtId="3" fontId="7" fillId="13" borderId="67" xfId="4" applyNumberFormat="1" applyFont="1" applyFill="1" applyBorder="1" applyAlignment="1">
      <alignment vertical="center" wrapText="1"/>
    </xf>
    <xf numFmtId="3" fontId="18" fillId="27" borderId="41" xfId="4" applyNumberFormat="1" applyFont="1" applyFill="1" applyBorder="1" applyAlignment="1">
      <alignment horizontal="center" vertical="center" wrapText="1"/>
    </xf>
    <xf numFmtId="0" fontId="60" fillId="2" borderId="0" xfId="0" applyFont="1" applyFill="1" applyAlignment="1">
      <alignment vertical="center"/>
    </xf>
    <xf numFmtId="3" fontId="31" fillId="2" borderId="63" xfId="4" applyNumberFormat="1" applyFont="1" applyFill="1" applyBorder="1" applyAlignment="1">
      <alignment vertical="center"/>
    </xf>
    <xf numFmtId="0" fontId="31" fillId="2" borderId="36" xfId="4" applyFont="1" applyFill="1" applyBorder="1" applyAlignment="1">
      <alignment vertical="center"/>
    </xf>
    <xf numFmtId="0" fontId="27" fillId="2" borderId="36" xfId="4" applyFont="1" applyFill="1" applyBorder="1" applyAlignment="1">
      <alignment vertical="center"/>
    </xf>
    <xf numFmtId="3" fontId="27" fillId="2" borderId="69" xfId="4" applyNumberFormat="1" applyFont="1" applyFill="1" applyBorder="1" applyAlignment="1">
      <alignment vertical="center"/>
    </xf>
    <xf numFmtId="0" fontId="7" fillId="27" borderId="14" xfId="4" applyFont="1" applyFill="1" applyBorder="1" applyAlignment="1">
      <alignment vertical="center"/>
    </xf>
    <xf numFmtId="3" fontId="29" fillId="27" borderId="32" xfId="4" applyNumberFormat="1" applyFont="1" applyFill="1" applyBorder="1" applyAlignment="1">
      <alignment vertical="center" wrapText="1"/>
    </xf>
    <xf numFmtId="3" fontId="29" fillId="13" borderId="32" xfId="4" applyNumberFormat="1" applyFont="1" applyFill="1" applyBorder="1" applyAlignment="1">
      <alignment vertical="center" wrapText="1"/>
    </xf>
    <xf numFmtId="0" fontId="27" fillId="13" borderId="21" xfId="4" applyFont="1" applyFill="1" applyBorder="1" applyAlignment="1">
      <alignment vertical="center"/>
    </xf>
    <xf numFmtId="43" fontId="31" fillId="2" borderId="72" xfId="1" applyFont="1" applyFill="1" applyBorder="1" applyAlignment="1">
      <alignment vertical="center"/>
    </xf>
    <xf numFmtId="3" fontId="7" fillId="8" borderId="43" xfId="4" applyNumberFormat="1" applyFont="1" applyFill="1" applyBorder="1" applyAlignment="1">
      <alignment vertical="center" wrapText="1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28" fillId="50" borderId="20" xfId="0" quotePrefix="1" applyFont="1" applyFill="1" applyBorder="1" applyAlignment="1">
      <alignment horizontal="center" vertical="center"/>
    </xf>
    <xf numFmtId="3" fontId="27" fillId="50" borderId="9" xfId="0" quotePrefix="1" applyNumberFormat="1" applyFont="1" applyFill="1" applyBorder="1" applyAlignment="1">
      <alignment horizontal="right" vertical="center"/>
    </xf>
    <xf numFmtId="3" fontId="7" fillId="8" borderId="43" xfId="4" applyNumberFormat="1" applyFont="1" applyFill="1" applyBorder="1" applyAlignment="1">
      <alignment horizontal="center" vertical="center"/>
    </xf>
    <xf numFmtId="3" fontId="29" fillId="8" borderId="34" xfId="4" applyNumberFormat="1" applyFont="1" applyFill="1" applyBorder="1" applyAlignment="1">
      <alignment vertical="center" wrapText="1"/>
    </xf>
    <xf numFmtId="3" fontId="29" fillId="8" borderId="28" xfId="4" applyNumberFormat="1" applyFont="1" applyFill="1" applyBorder="1" applyAlignment="1">
      <alignment vertical="center" wrapText="1"/>
    </xf>
    <xf numFmtId="3" fontId="63" fillId="0" borderId="0" xfId="0" applyNumberFormat="1" applyFont="1" applyAlignment="1">
      <alignment vertical="center"/>
    </xf>
    <xf numFmtId="0" fontId="63" fillId="0" borderId="0" xfId="0" applyFont="1" applyAlignment="1">
      <alignment vertical="center"/>
    </xf>
    <xf numFmtId="0" fontId="24" fillId="8" borderId="6" xfId="4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/>
    </xf>
    <xf numFmtId="0" fontId="32" fillId="0" borderId="3" xfId="0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62" fillId="6" borderId="30" xfId="0" applyNumberFormat="1" applyFont="1" applyFill="1" applyBorder="1" applyAlignment="1">
      <alignment vertical="center" wrapText="1"/>
    </xf>
    <xf numFmtId="3" fontId="65" fillId="8" borderId="29" xfId="0" applyNumberFormat="1" applyFont="1" applyFill="1" applyBorder="1" applyAlignment="1">
      <alignment vertical="center" wrapText="1"/>
    </xf>
    <xf numFmtId="3" fontId="6" fillId="2" borderId="9" xfId="0" applyNumberFormat="1" applyFont="1" applyFill="1" applyBorder="1" applyAlignment="1">
      <alignment vertical="center" wrapText="1"/>
    </xf>
    <xf numFmtId="3" fontId="6" fillId="0" borderId="9" xfId="0" applyNumberFormat="1" applyFont="1" applyFill="1" applyBorder="1" applyAlignment="1">
      <alignment vertical="center" wrapText="1"/>
    </xf>
    <xf numFmtId="3" fontId="65" fillId="8" borderId="30" xfId="0" applyNumberFormat="1" applyFont="1" applyFill="1" applyBorder="1" applyAlignment="1">
      <alignment vertical="center" wrapText="1"/>
    </xf>
    <xf numFmtId="3" fontId="31" fillId="0" borderId="163" xfId="4" applyNumberFormat="1" applyFont="1" applyFill="1" applyBorder="1" applyAlignment="1">
      <alignment vertical="center"/>
    </xf>
    <xf numFmtId="3" fontId="29" fillId="50" borderId="27" xfId="4" applyNumberFormat="1" applyFont="1" applyFill="1" applyBorder="1" applyAlignment="1">
      <alignment horizontal="right" vertical="center"/>
    </xf>
    <xf numFmtId="3" fontId="31" fillId="0" borderId="124" xfId="4" applyNumberFormat="1" applyFont="1" applyFill="1" applyBorder="1" applyAlignment="1">
      <alignment vertical="center"/>
    </xf>
    <xf numFmtId="3" fontId="31" fillId="0" borderId="140" xfId="4" applyNumberFormat="1" applyFont="1" applyFill="1" applyBorder="1" applyAlignment="1">
      <alignment vertical="center"/>
    </xf>
    <xf numFmtId="0" fontId="40" fillId="2" borderId="24" xfId="0" applyFont="1" applyFill="1" applyBorder="1" applyAlignment="1"/>
    <xf numFmtId="0" fontId="59" fillId="2" borderId="24" xfId="0" applyFont="1" applyFill="1" applyBorder="1" applyAlignment="1"/>
    <xf numFmtId="0" fontId="17" fillId="32" borderId="12" xfId="4" applyFont="1" applyFill="1" applyBorder="1" applyAlignment="1">
      <alignment horizontal="center" vertical="center" wrapText="1"/>
    </xf>
    <xf numFmtId="3" fontId="29" fillId="50" borderId="17" xfId="4" applyNumberFormat="1" applyFont="1" applyFill="1" applyBorder="1" applyAlignment="1">
      <alignment horizontal="right" vertical="center"/>
    </xf>
    <xf numFmtId="3" fontId="29" fillId="50" borderId="23" xfId="112" quotePrefix="1" applyNumberFormat="1" applyFont="1" applyFill="1" applyBorder="1" applyAlignment="1">
      <alignment horizontal="right" vertical="center"/>
    </xf>
    <xf numFmtId="3" fontId="31" fillId="0" borderId="165" xfId="4" applyNumberFormat="1" applyFont="1" applyFill="1" applyBorder="1" applyAlignment="1">
      <alignment vertical="center"/>
    </xf>
    <xf numFmtId="3" fontId="25" fillId="6" borderId="132" xfId="0" applyNumberFormat="1" applyFont="1" applyFill="1" applyBorder="1" applyAlignment="1">
      <alignment vertical="top"/>
    </xf>
    <xf numFmtId="3" fontId="25" fillId="22" borderId="132" xfId="0" applyNumberFormat="1" applyFont="1" applyFill="1" applyBorder="1" applyAlignment="1">
      <alignment vertical="top"/>
    </xf>
    <xf numFmtId="3" fontId="27" fillId="2" borderId="132" xfId="0" applyNumberFormat="1" applyFont="1" applyFill="1" applyBorder="1" applyAlignment="1">
      <alignment vertical="top"/>
    </xf>
    <xf numFmtId="3" fontId="27" fillId="0" borderId="132" xfId="0" applyNumberFormat="1" applyFont="1" applyFill="1" applyBorder="1" applyAlignment="1">
      <alignment vertical="top"/>
    </xf>
    <xf numFmtId="3" fontId="24" fillId="22" borderId="163" xfId="4" applyNumberFormat="1" applyFont="1" applyFill="1" applyBorder="1" applyAlignment="1">
      <alignment horizontal="right" vertical="center"/>
    </xf>
    <xf numFmtId="0" fontId="24" fillId="6" borderId="163" xfId="4" applyFont="1" applyFill="1" applyBorder="1" applyAlignment="1">
      <alignment horizontal="left" vertical="center"/>
    </xf>
    <xf numFmtId="0" fontId="25" fillId="6" borderId="163" xfId="4" applyFont="1" applyFill="1" applyBorder="1" applyAlignment="1">
      <alignment horizontal="left" vertical="center"/>
    </xf>
    <xf numFmtId="3" fontId="25" fillId="22" borderId="163" xfId="4" applyNumberFormat="1" applyFont="1" applyFill="1" applyBorder="1" applyAlignment="1">
      <alignment horizontal="right" vertical="center"/>
    </xf>
    <xf numFmtId="3" fontId="29" fillId="2" borderId="163" xfId="4" applyNumberFormat="1" applyFont="1" applyFill="1" applyBorder="1" applyAlignment="1">
      <alignment vertical="top" wrapText="1"/>
    </xf>
    <xf numFmtId="0" fontId="7" fillId="0" borderId="163" xfId="4" applyFont="1" applyFill="1" applyBorder="1" applyAlignment="1">
      <alignment vertical="top"/>
    </xf>
    <xf numFmtId="3" fontId="7" fillId="25" borderId="163" xfId="4" applyNumberFormat="1" applyFont="1" applyFill="1" applyBorder="1" applyAlignment="1">
      <alignment horizontal="right" vertical="center"/>
    </xf>
    <xf numFmtId="3" fontId="32" fillId="0" borderId="163" xfId="6" applyNumberFormat="1" applyFont="1" applyFill="1" applyBorder="1" applyAlignment="1">
      <alignment vertical="center"/>
    </xf>
    <xf numFmtId="3" fontId="33" fillId="0" borderId="163" xfId="6" applyNumberFormat="1" applyFont="1" applyFill="1" applyBorder="1" applyAlignment="1">
      <alignment vertical="center"/>
    </xf>
    <xf numFmtId="3" fontId="24" fillId="6" borderId="163" xfId="4" applyNumberFormat="1" applyFont="1" applyFill="1" applyBorder="1" applyAlignment="1"/>
    <xf numFmtId="3" fontId="31" fillId="0" borderId="164" xfId="4" applyNumberFormat="1" applyFont="1" applyFill="1" applyBorder="1" applyAlignment="1">
      <alignment vertical="center"/>
    </xf>
    <xf numFmtId="3" fontId="24" fillId="6" borderId="164" xfId="4" applyNumberFormat="1" applyFont="1" applyFill="1" applyBorder="1" applyAlignment="1">
      <alignment horizontal="right" vertical="center"/>
    </xf>
    <xf numFmtId="3" fontId="27" fillId="13" borderId="169" xfId="4" applyNumberFormat="1" applyFont="1" applyFill="1" applyBorder="1" applyAlignment="1">
      <alignment vertical="center" wrapText="1"/>
    </xf>
    <xf numFmtId="3" fontId="32" fillId="13" borderId="164" xfId="6" applyNumberFormat="1" applyFont="1" applyFill="1" applyBorder="1" applyAlignment="1">
      <alignment vertical="center"/>
    </xf>
    <xf numFmtId="0" fontId="7" fillId="13" borderId="169" xfId="4" applyFont="1" applyFill="1" applyBorder="1" applyAlignment="1">
      <alignment vertical="center"/>
    </xf>
    <xf numFmtId="0" fontId="27" fillId="13" borderId="169" xfId="4" applyFont="1" applyFill="1" applyBorder="1" applyAlignment="1">
      <alignment vertical="center"/>
    </xf>
    <xf numFmtId="3" fontId="33" fillId="13" borderId="164" xfId="6" applyNumberFormat="1" applyFont="1" applyFill="1" applyBorder="1" applyAlignment="1">
      <alignment vertical="center"/>
    </xf>
    <xf numFmtId="3" fontId="25" fillId="6" borderId="164" xfId="4" applyNumberFormat="1" applyFont="1" applyFill="1" applyBorder="1" applyAlignment="1">
      <alignment horizontal="right" vertical="center"/>
    </xf>
    <xf numFmtId="3" fontId="31" fillId="25" borderId="164" xfId="4" applyNumberFormat="1" applyFont="1" applyFill="1" applyBorder="1" applyAlignment="1">
      <alignment horizontal="right" vertical="center"/>
    </xf>
    <xf numFmtId="43" fontId="7" fillId="0" borderId="164" xfId="1" applyFont="1" applyFill="1" applyBorder="1" applyAlignment="1">
      <alignment horizontal="right" vertical="center"/>
    </xf>
    <xf numFmtId="0" fontId="27" fillId="2" borderId="128" xfId="4" applyFont="1" applyFill="1" applyBorder="1" applyAlignment="1">
      <alignment vertical="center"/>
    </xf>
    <xf numFmtId="43" fontId="33" fillId="0" borderId="164" xfId="1" applyFont="1" applyFill="1" applyBorder="1" applyAlignment="1">
      <alignment vertical="center"/>
    </xf>
    <xf numFmtId="3" fontId="27" fillId="2" borderId="169" xfId="4" applyNumberFormat="1" applyFont="1" applyFill="1" applyBorder="1" applyAlignment="1">
      <alignment vertical="center" wrapText="1"/>
    </xf>
    <xf numFmtId="0" fontId="7" fillId="0" borderId="142" xfId="4" applyFont="1" applyFill="1" applyBorder="1" applyAlignment="1">
      <alignment vertical="center"/>
    </xf>
    <xf numFmtId="0" fontId="31" fillId="0" borderId="128" xfId="4" applyFont="1" applyFill="1" applyBorder="1" applyAlignment="1">
      <alignment vertical="center"/>
    </xf>
    <xf numFmtId="3" fontId="7" fillId="0" borderId="173" xfId="4" applyNumberFormat="1" applyFont="1" applyFill="1" applyBorder="1" applyAlignment="1">
      <alignment horizontal="right" vertical="center"/>
    </xf>
    <xf numFmtId="43" fontId="33" fillId="0" borderId="163" xfId="1" applyFont="1" applyFill="1" applyBorder="1" applyAlignment="1">
      <alignment vertical="center"/>
    </xf>
    <xf numFmtId="43" fontId="7" fillId="0" borderId="124" xfId="1" applyFont="1" applyFill="1" applyBorder="1" applyAlignment="1">
      <alignment horizontal="right" vertical="center"/>
    </xf>
    <xf numFmtId="3" fontId="7" fillId="0" borderId="165" xfId="4" applyNumberFormat="1" applyFont="1" applyFill="1" applyBorder="1" applyAlignment="1">
      <alignment horizontal="right" vertical="center"/>
    </xf>
    <xf numFmtId="43" fontId="31" fillId="0" borderId="140" xfId="1" applyFont="1" applyFill="1" applyBorder="1" applyAlignment="1">
      <alignment horizontal="right" vertical="center"/>
    </xf>
    <xf numFmtId="3" fontId="27" fillId="2" borderId="172" xfId="4" applyNumberFormat="1" applyFont="1" applyFill="1" applyBorder="1" applyAlignment="1">
      <alignment vertical="center" wrapText="1"/>
    </xf>
    <xf numFmtId="0" fontId="7" fillId="0" borderId="163" xfId="4" applyFont="1" applyFill="1" applyBorder="1" applyAlignment="1">
      <alignment vertical="center"/>
    </xf>
    <xf numFmtId="0" fontId="32" fillId="57" borderId="163" xfId="0" applyFont="1" applyFill="1" applyBorder="1" applyAlignment="1">
      <alignment horizontal="center" vertical="center" wrapText="1"/>
    </xf>
    <xf numFmtId="3" fontId="37" fillId="0" borderId="0" xfId="0" applyNumberFormat="1" applyFont="1" applyAlignment="1">
      <alignment vertical="center"/>
    </xf>
    <xf numFmtId="0" fontId="7" fillId="8" borderId="75" xfId="4" applyFont="1" applyFill="1" applyBorder="1" applyAlignment="1">
      <alignment vertical="top"/>
    </xf>
    <xf numFmtId="3" fontId="25" fillId="8" borderId="35" xfId="4" applyNumberFormat="1" applyFont="1" applyFill="1" applyBorder="1" applyAlignment="1">
      <alignment horizontal="center" vertical="center"/>
    </xf>
    <xf numFmtId="3" fontId="7" fillId="0" borderId="9" xfId="4" applyNumberFormat="1" applyFont="1" applyFill="1" applyBorder="1" applyAlignment="1">
      <alignment horizontal="right" vertical="center"/>
    </xf>
    <xf numFmtId="0" fontId="25" fillId="6" borderId="169" xfId="4" applyFont="1" applyFill="1" applyBorder="1" applyAlignment="1">
      <alignment horizontal="left" vertical="center"/>
    </xf>
    <xf numFmtId="3" fontId="29" fillId="13" borderId="164" xfId="4" applyNumberFormat="1" applyFont="1" applyFill="1" applyBorder="1" applyAlignment="1">
      <alignment horizontal="right" vertical="center"/>
    </xf>
    <xf numFmtId="3" fontId="7" fillId="13" borderId="164" xfId="4" applyNumberFormat="1" applyFont="1" applyFill="1" applyBorder="1" applyAlignment="1">
      <alignment horizontal="right" vertical="center"/>
    </xf>
    <xf numFmtId="0" fontId="29" fillId="13" borderId="169" xfId="4" applyFont="1" applyFill="1" applyBorder="1" applyAlignment="1">
      <alignment vertical="center"/>
    </xf>
    <xf numFmtId="0" fontId="29" fillId="13" borderId="168" xfId="4" applyFont="1" applyFill="1" applyBorder="1" applyAlignment="1">
      <alignment vertical="center"/>
    </xf>
    <xf numFmtId="3" fontId="27" fillId="13" borderId="164" xfId="4" applyNumberFormat="1" applyFont="1" applyFill="1" applyBorder="1" applyAlignment="1">
      <alignment horizontal="right" vertical="center"/>
    </xf>
    <xf numFmtId="0" fontId="31" fillId="6" borderId="164" xfId="0" applyFont="1" applyFill="1" applyBorder="1" applyAlignment="1">
      <alignment vertical="top"/>
    </xf>
    <xf numFmtId="3" fontId="27" fillId="2" borderId="164" xfId="0" applyNumberFormat="1" applyFont="1" applyFill="1" applyBorder="1" applyAlignment="1">
      <alignment vertical="center"/>
    </xf>
    <xf numFmtId="0" fontId="17" fillId="0" borderId="11" xfId="0" applyFont="1" applyFill="1" applyBorder="1" applyAlignment="1">
      <alignment vertical="center"/>
    </xf>
    <xf numFmtId="0" fontId="25" fillId="2" borderId="20" xfId="0" applyFont="1" applyFill="1" applyBorder="1" applyAlignment="1">
      <alignment vertical="center" wrapText="1"/>
    </xf>
    <xf numFmtId="3" fontId="31" fillId="0" borderId="27" xfId="4" applyNumberFormat="1" applyFont="1" applyFill="1" applyBorder="1" applyAlignment="1">
      <alignment vertical="center"/>
    </xf>
    <xf numFmtId="3" fontId="31" fillId="0" borderId="9" xfId="4" applyNumberFormat="1" applyFont="1" applyFill="1" applyBorder="1" applyAlignment="1">
      <alignment vertical="center"/>
    </xf>
    <xf numFmtId="43" fontId="32" fillId="0" borderId="35" xfId="1" applyFont="1" applyBorder="1"/>
    <xf numFmtId="3" fontId="27" fillId="21" borderId="173" xfId="4" applyNumberFormat="1" applyFont="1" applyFill="1" applyBorder="1" applyAlignment="1">
      <alignment horizontal="right" vertical="center"/>
    </xf>
    <xf numFmtId="3" fontId="29" fillId="8" borderId="164" xfId="4" applyNumberFormat="1" applyFont="1" applyFill="1" applyBorder="1" applyAlignment="1">
      <alignment vertical="center"/>
    </xf>
    <xf numFmtId="3" fontId="7" fillId="8" borderId="164" xfId="4" applyNumberFormat="1" applyFont="1" applyFill="1" applyBorder="1" applyAlignment="1">
      <alignment vertical="center"/>
    </xf>
    <xf numFmtId="3" fontId="31" fillId="23" borderId="163" xfId="4" applyNumberFormat="1" applyFont="1" applyFill="1" applyBorder="1" applyAlignment="1">
      <alignment horizontal="right" vertical="center"/>
    </xf>
    <xf numFmtId="3" fontId="7" fillId="8" borderId="169" xfId="4" applyNumberFormat="1" applyFont="1" applyFill="1" applyBorder="1" applyAlignment="1">
      <alignment vertical="center" wrapText="1"/>
    </xf>
    <xf numFmtId="3" fontId="27" fillId="23" borderId="163" xfId="4" applyNumberFormat="1" applyFont="1" applyFill="1" applyBorder="1" applyAlignment="1">
      <alignment vertical="center"/>
    </xf>
    <xf numFmtId="0" fontId="7" fillId="8" borderId="169" xfId="4" applyFont="1" applyFill="1" applyBorder="1" applyAlignment="1">
      <alignment vertical="center" wrapText="1"/>
    </xf>
    <xf numFmtId="0" fontId="7" fillId="8" borderId="128" xfId="4" applyFont="1" applyFill="1" applyBorder="1" applyAlignment="1">
      <alignment vertical="center" wrapText="1"/>
    </xf>
    <xf numFmtId="3" fontId="27" fillId="8" borderId="164" xfId="4" applyNumberFormat="1" applyFont="1" applyFill="1" applyBorder="1" applyAlignment="1">
      <alignment vertical="center"/>
    </xf>
    <xf numFmtId="3" fontId="31" fillId="8" borderId="164" xfId="4" applyNumberFormat="1" applyFont="1" applyFill="1" applyBorder="1" applyAlignment="1">
      <alignment vertical="center"/>
    </xf>
    <xf numFmtId="0" fontId="7" fillId="8" borderId="169" xfId="4" applyFont="1" applyFill="1" applyBorder="1" applyAlignment="1">
      <alignment vertical="center"/>
    </xf>
    <xf numFmtId="3" fontId="29" fillId="13" borderId="169" xfId="4" applyNumberFormat="1" applyFont="1" applyFill="1" applyBorder="1" applyAlignment="1">
      <alignment vertical="center" wrapText="1"/>
    </xf>
    <xf numFmtId="3" fontId="29" fillId="24" borderId="164" xfId="4" applyNumberFormat="1" applyFont="1" applyFill="1" applyBorder="1" applyAlignment="1">
      <alignment horizontal="right" vertical="center"/>
    </xf>
    <xf numFmtId="3" fontId="7" fillId="13" borderId="169" xfId="4" applyNumberFormat="1" applyFont="1" applyFill="1" applyBorder="1" applyAlignment="1">
      <alignment vertical="center" wrapText="1"/>
    </xf>
    <xf numFmtId="3" fontId="7" fillId="13" borderId="136" xfId="4" applyNumberFormat="1" applyFont="1" applyFill="1" applyBorder="1" applyAlignment="1">
      <alignment vertical="center" wrapText="1"/>
    </xf>
    <xf numFmtId="3" fontId="7" fillId="13" borderId="134" xfId="4" applyNumberFormat="1" applyFont="1" applyFill="1" applyBorder="1" applyAlignment="1">
      <alignment vertical="center" wrapText="1"/>
    </xf>
    <xf numFmtId="3" fontId="32" fillId="13" borderId="165" xfId="6" applyNumberFormat="1" applyFont="1" applyFill="1" applyBorder="1" applyAlignment="1">
      <alignment vertical="center"/>
    </xf>
    <xf numFmtId="0" fontId="21" fillId="2" borderId="168" xfId="0" applyFont="1" applyFill="1" applyBorder="1" applyAlignment="1">
      <alignment horizontal="center" vertical="top"/>
    </xf>
    <xf numFmtId="0" fontId="21" fillId="2" borderId="163" xfId="0" applyFont="1" applyFill="1" applyBorder="1" applyAlignment="1">
      <alignment horizontal="center" vertical="top"/>
    </xf>
    <xf numFmtId="0" fontId="21" fillId="2" borderId="163" xfId="0" quotePrefix="1" applyFont="1" applyFill="1" applyBorder="1" applyAlignment="1">
      <alignment horizontal="center" vertical="top"/>
    </xf>
    <xf numFmtId="0" fontId="21" fillId="26" borderId="163" xfId="0" quotePrefix="1" applyFont="1" applyFill="1" applyBorder="1" applyAlignment="1">
      <alignment horizontal="center" vertical="top"/>
    </xf>
    <xf numFmtId="0" fontId="21" fillId="2" borderId="166" xfId="0" quotePrefix="1" applyFont="1" applyFill="1" applyBorder="1" applyAlignment="1">
      <alignment horizontal="center" vertical="top"/>
    </xf>
    <xf numFmtId="3" fontId="24" fillId="6" borderId="163" xfId="4" applyNumberFormat="1" applyFont="1" applyFill="1" applyBorder="1" applyAlignment="1">
      <alignment horizontal="right" vertical="center"/>
    </xf>
    <xf numFmtId="3" fontId="28" fillId="23" borderId="163" xfId="4" applyNumberFormat="1" applyFont="1" applyFill="1" applyBorder="1" applyAlignment="1">
      <alignment horizontal="right" vertical="center"/>
    </xf>
    <xf numFmtId="3" fontId="27" fillId="23" borderId="163" xfId="4" applyNumberFormat="1" applyFont="1" applyFill="1" applyBorder="1" applyAlignment="1">
      <alignment horizontal="right" vertical="center"/>
    </xf>
    <xf numFmtId="3" fontId="33" fillId="23" borderId="163" xfId="6" applyNumberFormat="1" applyFont="1" applyFill="1" applyBorder="1" applyAlignment="1">
      <alignment vertical="center"/>
    </xf>
    <xf numFmtId="0" fontId="34" fillId="0" borderId="51" xfId="0" applyFont="1" applyFill="1" applyBorder="1" applyAlignment="1">
      <alignment vertical="top"/>
    </xf>
    <xf numFmtId="0" fontId="69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11" fillId="0" borderId="0" xfId="0" applyFont="1" applyFill="1" applyAlignment="1"/>
    <xf numFmtId="0" fontId="0" fillId="0" borderId="0" xfId="0" applyFont="1"/>
    <xf numFmtId="0" fontId="13" fillId="0" borderId="0" xfId="0" applyFont="1" applyFill="1" applyAlignment="1">
      <alignment horizontal="left"/>
    </xf>
    <xf numFmtId="0" fontId="28" fillId="0" borderId="0" xfId="0" applyFont="1" applyFill="1" applyAlignment="1">
      <alignment horizontal="left"/>
    </xf>
    <xf numFmtId="0" fontId="71" fillId="2" borderId="0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/>
    </xf>
    <xf numFmtId="3" fontId="8" fillId="0" borderId="0" xfId="0" applyNumberFormat="1" applyFont="1" applyBorder="1"/>
    <xf numFmtId="0" fontId="19" fillId="2" borderId="6" xfId="0" applyFont="1" applyFill="1" applyBorder="1" applyAlignment="1">
      <alignment horizontal="center"/>
    </xf>
    <xf numFmtId="0" fontId="36" fillId="0" borderId="13" xfId="4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3" fontId="8" fillId="0" borderId="0" xfId="0" applyNumberFormat="1" applyFont="1"/>
    <xf numFmtId="0" fontId="7" fillId="0" borderId="14" xfId="0" applyFont="1" applyBorder="1" applyAlignment="1">
      <alignment horizontal="center"/>
    </xf>
    <xf numFmtId="3" fontId="7" fillId="0" borderId="15" xfId="0" quotePrefix="1" applyNumberFormat="1" applyFont="1" applyBorder="1" applyAlignment="1">
      <alignment horizontal="center"/>
    </xf>
    <xf numFmtId="3" fontId="7" fillId="0" borderId="2" xfId="0" quotePrefix="1" applyNumberFormat="1" applyFont="1" applyBorder="1" applyAlignment="1">
      <alignment horizontal="center"/>
    </xf>
    <xf numFmtId="3" fontId="7" fillId="0" borderId="39" xfId="0" quotePrefix="1" applyNumberFormat="1" applyFont="1" applyBorder="1" applyAlignment="1">
      <alignment horizontal="center"/>
    </xf>
    <xf numFmtId="3" fontId="7" fillId="0" borderId="50" xfId="0" quotePrefix="1" applyNumberFormat="1" applyFont="1" applyBorder="1" applyAlignment="1">
      <alignment horizontal="center"/>
    </xf>
    <xf numFmtId="3" fontId="7" fillId="0" borderId="4" xfId="0" quotePrefix="1" applyNumberFormat="1" applyFont="1" applyBorder="1" applyAlignment="1">
      <alignment horizontal="center"/>
    </xf>
    <xf numFmtId="0" fontId="7" fillId="3" borderId="5" xfId="0" quotePrefix="1" applyFont="1" applyFill="1" applyBorder="1" applyAlignment="1">
      <alignment horizontal="center"/>
    </xf>
    <xf numFmtId="0" fontId="66" fillId="4" borderId="16" xfId="4" applyFont="1" applyFill="1" applyBorder="1" applyAlignment="1">
      <alignment horizontal="left" vertical="center"/>
    </xf>
    <xf numFmtId="3" fontId="66" fillId="4" borderId="17" xfId="0" applyNumberFormat="1" applyFont="1" applyFill="1" applyBorder="1" applyAlignment="1">
      <alignment horizontal="right" vertical="center" wrapText="1"/>
    </xf>
    <xf numFmtId="3" fontId="66" fillId="5" borderId="19" xfId="0" applyNumberFormat="1" applyFont="1" applyFill="1" applyBorder="1" applyAlignment="1">
      <alignment horizontal="right" vertical="center" wrapText="1"/>
    </xf>
    <xf numFmtId="3" fontId="8" fillId="0" borderId="9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6" fillId="4" borderId="20" xfId="0" applyFont="1" applyFill="1" applyBorder="1" applyAlignment="1">
      <alignment horizontal="left" vertical="center"/>
    </xf>
    <xf numFmtId="3" fontId="36" fillId="4" borderId="9" xfId="0" quotePrefix="1" applyNumberFormat="1" applyFont="1" applyFill="1" applyBorder="1" applyAlignment="1">
      <alignment horizontal="right" vertical="center"/>
    </xf>
    <xf numFmtId="3" fontId="6" fillId="3" borderId="21" xfId="0" applyNumberFormat="1" applyFont="1" applyFill="1" applyBorder="1" applyAlignment="1">
      <alignment vertical="center" wrapText="1"/>
    </xf>
    <xf numFmtId="0" fontId="36" fillId="4" borderId="22" xfId="0" applyFont="1" applyFill="1" applyBorder="1" applyAlignment="1">
      <alignment horizontal="left" vertical="center"/>
    </xf>
    <xf numFmtId="3" fontId="36" fillId="4" borderId="23" xfId="0" quotePrefix="1" applyNumberFormat="1" applyFont="1" applyFill="1" applyBorder="1" applyAlignment="1">
      <alignment horizontal="right" vertical="center"/>
    </xf>
    <xf numFmtId="0" fontId="7" fillId="0" borderId="26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 wrapText="1"/>
    </xf>
    <xf numFmtId="0" fontId="66" fillId="6" borderId="28" xfId="4" applyFont="1" applyFill="1" applyBorder="1" applyAlignment="1">
      <alignment horizontal="left" vertical="center"/>
    </xf>
    <xf numFmtId="3" fontId="66" fillId="6" borderId="30" xfId="0" applyNumberFormat="1" applyFont="1" applyFill="1" applyBorder="1" applyAlignment="1">
      <alignment horizontal="right" vertical="center" wrapText="1"/>
    </xf>
    <xf numFmtId="0" fontId="72" fillId="0" borderId="0" xfId="0" applyFont="1" applyFill="1" applyBorder="1" applyAlignment="1">
      <alignment vertical="center"/>
    </xf>
    <xf numFmtId="0" fontId="64" fillId="8" borderId="20" xfId="4" applyFont="1" applyFill="1" applyBorder="1" applyAlignment="1">
      <alignment vertical="center"/>
    </xf>
    <xf numFmtId="3" fontId="64" fillId="8" borderId="9" xfId="0" applyNumberFormat="1" applyFont="1" applyFill="1" applyBorder="1" applyAlignment="1">
      <alignment horizontal="right" vertical="center" wrapText="1"/>
    </xf>
    <xf numFmtId="3" fontId="64" fillId="9" borderId="21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/>
    <xf numFmtId="0" fontId="8" fillId="0" borderId="20" xfId="0" applyFont="1" applyFill="1" applyBorder="1" applyAlignment="1">
      <alignment vertical="center" wrapText="1"/>
    </xf>
    <xf numFmtId="3" fontId="8" fillId="0" borderId="9" xfId="0" applyNumberFormat="1" applyFont="1" applyFill="1" applyBorder="1" applyAlignment="1">
      <alignment vertical="center" wrapText="1"/>
    </xf>
    <xf numFmtId="43" fontId="8" fillId="0" borderId="9" xfId="1" applyFont="1" applyFill="1" applyBorder="1" applyAlignment="1">
      <alignment vertical="center" wrapText="1"/>
    </xf>
    <xf numFmtId="3" fontId="8" fillId="0" borderId="30" xfId="0" applyNumberFormat="1" applyFont="1" applyFill="1" applyBorder="1" applyAlignment="1">
      <alignment vertical="center" wrapText="1"/>
    </xf>
    <xf numFmtId="43" fontId="8" fillId="0" borderId="27" xfId="1" applyFont="1" applyFill="1" applyBorder="1" applyAlignment="1">
      <alignment vertical="center" wrapText="1"/>
    </xf>
    <xf numFmtId="3" fontId="8" fillId="0" borderId="27" xfId="0" applyNumberFormat="1" applyFont="1" applyFill="1" applyBorder="1" applyAlignment="1">
      <alignment vertical="center" wrapText="1"/>
    </xf>
    <xf numFmtId="3" fontId="8" fillId="0" borderId="101" xfId="0" applyNumberFormat="1" applyFont="1" applyFill="1" applyBorder="1" applyAlignment="1">
      <alignment vertical="center" wrapText="1"/>
    </xf>
    <xf numFmtId="0" fontId="72" fillId="0" borderId="0" xfId="0" applyFont="1" applyFill="1" applyBorder="1" applyAlignment="1"/>
    <xf numFmtId="43" fontId="6" fillId="2" borderId="9" xfId="1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/>
    </xf>
    <xf numFmtId="3" fontId="7" fillId="0" borderId="9" xfId="0" applyNumberFormat="1" applyFont="1" applyFill="1" applyBorder="1" applyAlignment="1">
      <alignment vertical="center" wrapText="1"/>
    </xf>
    <xf numFmtId="3" fontId="7" fillId="0" borderId="13" xfId="0" applyNumberFormat="1" applyFont="1" applyFill="1" applyBorder="1" applyAlignment="1">
      <alignment vertical="center" wrapText="1"/>
    </xf>
    <xf numFmtId="3" fontId="7" fillId="0" borderId="27" xfId="0" applyNumberFormat="1" applyFont="1" applyFill="1" applyBorder="1" applyAlignment="1">
      <alignment vertical="center" wrapText="1"/>
    </xf>
    <xf numFmtId="3" fontId="7" fillId="2" borderId="0" xfId="0" applyNumberFormat="1" applyFont="1" applyFill="1" applyBorder="1" applyAlignment="1">
      <alignment vertical="center" wrapText="1"/>
    </xf>
    <xf numFmtId="0" fontId="68" fillId="52" borderId="38" xfId="0" applyFont="1" applyFill="1" applyBorder="1" applyAlignment="1">
      <alignment vertical="center"/>
    </xf>
    <xf numFmtId="3" fontId="62" fillId="52" borderId="39" xfId="0" applyNumberFormat="1" applyFont="1" applyFill="1" applyBorder="1" applyAlignment="1">
      <alignment vertical="center" wrapText="1"/>
    </xf>
    <xf numFmtId="3" fontId="62" fillId="52" borderId="40" xfId="0" applyNumberFormat="1" applyFont="1" applyFill="1" applyBorder="1" applyAlignment="1">
      <alignment vertical="center" wrapText="1"/>
    </xf>
    <xf numFmtId="3" fontId="72" fillId="0" borderId="0" xfId="0" applyNumberFormat="1" applyFont="1" applyFill="1" applyAlignment="1">
      <alignment vertical="center"/>
    </xf>
    <xf numFmtId="3" fontId="72" fillId="0" borderId="0" xfId="0" applyNumberFormat="1" applyFont="1" applyFill="1" applyBorder="1" applyAlignment="1">
      <alignment vertical="center"/>
    </xf>
    <xf numFmtId="3" fontId="62" fillId="52" borderId="12" xfId="0" applyNumberFormat="1" applyFont="1" applyFill="1" applyBorder="1" applyAlignment="1">
      <alignment vertical="center" wrapText="1"/>
    </xf>
    <xf numFmtId="3" fontId="62" fillId="52" borderId="4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3" fontId="7" fillId="0" borderId="0" xfId="0" applyNumberFormat="1" applyFont="1" applyFill="1" applyBorder="1" applyAlignment="1">
      <alignment horizontal="right" vertical="center" wrapText="1"/>
    </xf>
    <xf numFmtId="0" fontId="40" fillId="2" borderId="0" xfId="0" applyFont="1" applyFill="1" applyBorder="1" applyAlignment="1">
      <alignment horizontal="center" vertical="center"/>
    </xf>
    <xf numFmtId="0" fontId="36" fillId="4" borderId="22" xfId="0" applyFont="1" applyFill="1" applyBorder="1" applyAlignment="1">
      <alignment horizontal="left"/>
    </xf>
    <xf numFmtId="3" fontId="36" fillId="4" borderId="47" xfId="0" quotePrefix="1" applyNumberFormat="1" applyFont="1" applyFill="1" applyBorder="1" applyAlignment="1">
      <alignment horizontal="right"/>
    </xf>
    <xf numFmtId="3" fontId="65" fillId="8" borderId="35" xfId="0" applyNumberFormat="1" applyFont="1" applyFill="1" applyBorder="1" applyAlignment="1">
      <alignment horizontal="right" vertical="center" wrapText="1"/>
    </xf>
    <xf numFmtId="0" fontId="8" fillId="0" borderId="28" xfId="0" applyFont="1" applyFill="1" applyBorder="1" applyAlignment="1">
      <alignment vertical="center"/>
    </xf>
    <xf numFmtId="43" fontId="8" fillId="2" borderId="9" xfId="1" applyFont="1" applyFill="1" applyBorder="1" applyAlignment="1">
      <alignment vertical="center" wrapText="1"/>
    </xf>
    <xf numFmtId="43" fontId="65" fillId="8" borderId="29" xfId="1" applyFont="1" applyFill="1" applyBorder="1" applyAlignment="1">
      <alignment vertical="center" wrapText="1"/>
    </xf>
    <xf numFmtId="43" fontId="65" fillId="8" borderId="30" xfId="1" applyFont="1" applyFill="1" applyBorder="1" applyAlignment="1">
      <alignment vertical="center" wrapText="1"/>
    </xf>
    <xf numFmtId="0" fontId="8" fillId="0" borderId="37" xfId="0" applyFont="1" applyFill="1" applyBorder="1" applyAlignment="1">
      <alignment vertical="center" wrapText="1"/>
    </xf>
    <xf numFmtId="43" fontId="8" fillId="0" borderId="47" xfId="1" applyFont="1" applyFill="1" applyBorder="1" applyAlignment="1">
      <alignment vertical="center" wrapText="1"/>
    </xf>
    <xf numFmtId="3" fontId="8" fillId="0" borderId="47" xfId="0" applyNumberFormat="1" applyFont="1" applyFill="1" applyBorder="1" applyAlignment="1">
      <alignment vertical="center" wrapText="1"/>
    </xf>
    <xf numFmtId="0" fontId="68" fillId="4" borderId="38" xfId="0" applyFont="1" applyFill="1" applyBorder="1" applyAlignment="1">
      <alignment vertical="center"/>
    </xf>
    <xf numFmtId="3" fontId="62" fillId="4" borderId="39" xfId="0" applyNumberFormat="1" applyFont="1" applyFill="1" applyBorder="1" applyAlignment="1">
      <alignment vertical="center" wrapText="1"/>
    </xf>
    <xf numFmtId="3" fontId="62" fillId="4" borderId="50" xfId="0" applyNumberFormat="1" applyFont="1" applyFill="1" applyBorder="1" applyAlignment="1">
      <alignment vertical="center" wrapText="1"/>
    </xf>
    <xf numFmtId="3" fontId="62" fillId="4" borderId="51" xfId="0" applyNumberFormat="1" applyFont="1" applyFill="1" applyBorder="1" applyAlignment="1">
      <alignment vertical="center" wrapText="1"/>
    </xf>
    <xf numFmtId="3" fontId="62" fillId="4" borderId="52" xfId="0" applyNumberFormat="1" applyFont="1" applyFill="1" applyBorder="1" applyAlignment="1">
      <alignment vertical="center" wrapText="1"/>
    </xf>
    <xf numFmtId="3" fontId="62" fillId="4" borderId="12" xfId="0" applyNumberFormat="1" applyFont="1" applyFill="1" applyBorder="1" applyAlignment="1">
      <alignment vertical="center" wrapText="1"/>
    </xf>
    <xf numFmtId="3" fontId="62" fillId="4" borderId="23" xfId="0" applyNumberFormat="1" applyFont="1" applyFill="1" applyBorder="1" applyAlignment="1">
      <alignment vertical="center" wrapText="1"/>
    </xf>
    <xf numFmtId="3" fontId="62" fillId="4" borderId="25" xfId="0" applyNumberFormat="1" applyFont="1" applyFill="1" applyBorder="1" applyAlignment="1">
      <alignment horizontal="center" vertical="center" wrapText="1"/>
    </xf>
    <xf numFmtId="3" fontId="62" fillId="2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Alignment="1">
      <alignment vertical="center"/>
    </xf>
    <xf numFmtId="0" fontId="72" fillId="2" borderId="0" xfId="0" applyFont="1" applyFill="1" applyBorder="1" applyAlignment="1">
      <alignment vertical="center"/>
    </xf>
    <xf numFmtId="0" fontId="66" fillId="13" borderId="53" xfId="4" applyFont="1" applyFill="1" applyBorder="1" applyAlignment="1">
      <alignment horizontal="left" vertical="center"/>
    </xf>
    <xf numFmtId="3" fontId="62" fillId="13" borderId="54" xfId="0" applyNumberFormat="1" applyFont="1" applyFill="1" applyBorder="1" applyAlignment="1">
      <alignment vertical="center" wrapText="1"/>
    </xf>
    <xf numFmtId="3" fontId="62" fillId="13" borderId="55" xfId="0" applyNumberFormat="1" applyFont="1" applyFill="1" applyBorder="1" applyAlignment="1">
      <alignment vertical="center" wrapText="1"/>
    </xf>
    <xf numFmtId="3" fontId="62" fillId="13" borderId="56" xfId="0" applyNumberFormat="1" applyFont="1" applyFill="1" applyBorder="1" applyAlignment="1">
      <alignment vertical="center" wrapText="1"/>
    </xf>
    <xf numFmtId="3" fontId="73" fillId="13" borderId="35" xfId="0" applyNumberFormat="1" applyFont="1" applyFill="1" applyBorder="1" applyAlignment="1">
      <alignment vertical="center" wrapText="1"/>
    </xf>
    <xf numFmtId="3" fontId="73" fillId="13" borderId="7" xfId="0" applyNumberFormat="1" applyFont="1" applyFill="1" applyBorder="1" applyAlignment="1">
      <alignment vertical="center" wrapText="1"/>
    </xf>
    <xf numFmtId="3" fontId="73" fillId="13" borderId="21" xfId="0" applyNumberFormat="1" applyFont="1" applyFill="1" applyBorder="1" applyAlignment="1">
      <alignment vertical="center" wrapText="1"/>
    </xf>
    <xf numFmtId="3" fontId="62" fillId="13" borderId="57" xfId="0" applyNumberFormat="1" applyFont="1" applyFill="1" applyBorder="1" applyAlignment="1">
      <alignment vertical="center" wrapText="1"/>
    </xf>
    <xf numFmtId="3" fontId="62" fillId="13" borderId="58" xfId="0" applyNumberFormat="1" applyFont="1" applyFill="1" applyBorder="1" applyAlignment="1">
      <alignment horizontal="center" vertical="center" wrapText="1"/>
    </xf>
    <xf numFmtId="3" fontId="62" fillId="13" borderId="59" xfId="0" applyNumberFormat="1" applyFont="1" applyFill="1" applyBorder="1" applyAlignment="1">
      <alignment horizontal="center" vertical="center" wrapText="1"/>
    </xf>
    <xf numFmtId="3" fontId="72" fillId="2" borderId="0" xfId="0" applyNumberFormat="1" applyFont="1" applyFill="1" applyBorder="1" applyAlignment="1">
      <alignment vertical="center"/>
    </xf>
    <xf numFmtId="3" fontId="73" fillId="13" borderId="47" xfId="0" applyNumberFormat="1" applyFont="1" applyFill="1" applyBorder="1" applyAlignment="1">
      <alignment vertical="center" wrapText="1"/>
    </xf>
    <xf numFmtId="3" fontId="62" fillId="13" borderId="75" xfId="0" applyNumberFormat="1" applyFont="1" applyFill="1" applyBorder="1" applyAlignment="1">
      <alignment horizontal="center" vertical="center" wrapText="1"/>
    </xf>
    <xf numFmtId="3" fontId="62" fillId="13" borderId="0" xfId="0" applyNumberFormat="1" applyFont="1" applyFill="1" applyBorder="1" applyAlignment="1">
      <alignment vertical="center" wrapText="1"/>
    </xf>
    <xf numFmtId="3" fontId="62" fillId="0" borderId="0" xfId="0" applyNumberFormat="1" applyFont="1" applyFill="1" applyBorder="1" applyAlignment="1">
      <alignment vertical="center" wrapText="1"/>
    </xf>
    <xf numFmtId="3" fontId="62" fillId="0" borderId="54" xfId="0" applyNumberFormat="1" applyFont="1" applyFill="1" applyBorder="1" applyAlignment="1">
      <alignment vertical="center" wrapText="1"/>
    </xf>
    <xf numFmtId="3" fontId="62" fillId="0" borderId="55" xfId="0" applyNumberFormat="1" applyFont="1" applyFill="1" applyBorder="1" applyAlignment="1">
      <alignment vertical="center" wrapText="1"/>
    </xf>
    <xf numFmtId="3" fontId="75" fillId="0" borderId="35" xfId="0" applyNumberFormat="1" applyFont="1" applyFill="1" applyBorder="1" applyAlignment="1">
      <alignment vertical="center" wrapText="1"/>
    </xf>
    <xf numFmtId="3" fontId="73" fillId="0" borderId="7" xfId="0" applyNumberFormat="1" applyFont="1" applyFill="1" applyBorder="1" applyAlignment="1">
      <alignment vertical="center" wrapText="1"/>
    </xf>
    <xf numFmtId="0" fontId="65" fillId="0" borderId="61" xfId="0" applyFont="1" applyBorder="1" applyAlignment="1">
      <alignment horizontal="center" vertical="center"/>
    </xf>
    <xf numFmtId="0" fontId="65" fillId="0" borderId="61" xfId="0" applyFont="1" applyBorder="1" applyAlignment="1">
      <alignment horizontal="center"/>
    </xf>
    <xf numFmtId="3" fontId="62" fillId="2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vertical="center" wrapText="1"/>
    </xf>
    <xf numFmtId="3" fontId="19" fillId="2" borderId="3" xfId="0" applyNumberFormat="1" applyFont="1" applyFill="1" applyBorder="1" applyAlignment="1">
      <alignment vertical="center" wrapText="1"/>
    </xf>
    <xf numFmtId="3" fontId="19" fillId="14" borderId="3" xfId="0" applyNumberFormat="1" applyFont="1" applyFill="1" applyBorder="1" applyAlignment="1">
      <alignment vertical="center" wrapText="1"/>
    </xf>
    <xf numFmtId="3" fontId="19" fillId="2" borderId="64" xfId="0" applyNumberFormat="1" applyFont="1" applyFill="1" applyBorder="1" applyAlignment="1">
      <alignment vertical="center" wrapText="1"/>
    </xf>
    <xf numFmtId="3" fontId="24" fillId="2" borderId="0" xfId="0" applyNumberFormat="1" applyFont="1" applyFill="1" applyBorder="1" applyAlignment="1">
      <alignment vertical="center" wrapText="1"/>
    </xf>
    <xf numFmtId="3" fontId="24" fillId="14" borderId="0" xfId="0" applyNumberFormat="1" applyFont="1" applyFill="1" applyBorder="1" applyAlignment="1">
      <alignment vertical="center" wrapText="1"/>
    </xf>
    <xf numFmtId="3" fontId="24" fillId="2" borderId="65" xfId="0" applyNumberFormat="1" applyFont="1" applyFill="1" applyBorder="1" applyAlignment="1">
      <alignment vertical="center" wrapText="1"/>
    </xf>
    <xf numFmtId="3" fontId="24" fillId="2" borderId="24" xfId="0" applyNumberFormat="1" applyFont="1" applyFill="1" applyBorder="1" applyAlignment="1">
      <alignment vertical="center" wrapText="1"/>
    </xf>
    <xf numFmtId="3" fontId="24" fillId="14" borderId="24" xfId="0" applyNumberFormat="1" applyFont="1" applyFill="1" applyBorder="1" applyAlignment="1">
      <alignment vertical="center" wrapText="1"/>
    </xf>
    <xf numFmtId="3" fontId="24" fillId="2" borderId="67" xfId="0" applyNumberFormat="1" applyFont="1" applyFill="1" applyBorder="1" applyAlignment="1">
      <alignment vertical="center" wrapText="1"/>
    </xf>
    <xf numFmtId="3" fontId="25" fillId="0" borderId="0" xfId="0" applyNumberFormat="1" applyFont="1" applyFill="1" applyBorder="1" applyAlignment="1">
      <alignment vertical="center" wrapText="1"/>
    </xf>
    <xf numFmtId="3" fontId="72" fillId="0" borderId="0" xfId="0" applyNumberFormat="1" applyFont="1" applyFill="1" applyBorder="1" applyAlignment="1">
      <alignment vertical="center" wrapText="1"/>
    </xf>
    <xf numFmtId="3" fontId="72" fillId="2" borderId="0" xfId="0" applyNumberFormat="1" applyFont="1" applyFill="1" applyBorder="1" applyAlignment="1">
      <alignment vertical="center" wrapText="1"/>
    </xf>
    <xf numFmtId="0" fontId="8" fillId="15" borderId="15" xfId="0" applyFont="1" applyFill="1" applyBorder="1"/>
    <xf numFmtId="0" fontId="8" fillId="15" borderId="4" xfId="0" applyFont="1" applyFill="1" applyBorder="1"/>
    <xf numFmtId="0" fontId="8" fillId="15" borderId="3" xfId="0" applyFont="1" applyFill="1" applyBorder="1"/>
    <xf numFmtId="3" fontId="36" fillId="15" borderId="12" xfId="0" applyNumberFormat="1" applyFont="1" applyFill="1" applyBorder="1" applyAlignment="1">
      <alignment vertical="center"/>
    </xf>
    <xf numFmtId="3" fontId="36" fillId="15" borderId="23" xfId="0" applyNumberFormat="1" applyFont="1" applyFill="1" applyBorder="1" applyAlignment="1">
      <alignment vertical="center"/>
    </xf>
    <xf numFmtId="3" fontId="36" fillId="15" borderId="24" xfId="0" applyNumberFormat="1" applyFont="1" applyFill="1" applyBorder="1" applyAlignment="1">
      <alignment vertical="center"/>
    </xf>
    <xf numFmtId="3" fontId="6" fillId="6" borderId="68" xfId="0" applyNumberFormat="1" applyFont="1" applyFill="1" applyBorder="1"/>
    <xf numFmtId="0" fontId="7" fillId="6" borderId="37" xfId="0" applyFont="1" applyFill="1" applyBorder="1" applyAlignment="1">
      <alignment vertical="center" wrapText="1"/>
    </xf>
    <xf numFmtId="3" fontId="36" fillId="12" borderId="0" xfId="0" applyNumberFormat="1" applyFont="1" applyFill="1" applyBorder="1" applyAlignment="1">
      <alignment horizontal="right" vertical="center"/>
    </xf>
    <xf numFmtId="3" fontId="76" fillId="12" borderId="0" xfId="0" applyNumberFormat="1" applyFont="1" applyFill="1" applyBorder="1" applyAlignment="1">
      <alignment vertical="center"/>
    </xf>
    <xf numFmtId="3" fontId="76" fillId="12" borderId="13" xfId="0" applyNumberFormat="1" applyFont="1" applyFill="1" applyBorder="1" applyAlignment="1">
      <alignment vertical="center"/>
    </xf>
    <xf numFmtId="0" fontId="36" fillId="8" borderId="0" xfId="0" applyFont="1" applyFill="1" applyBorder="1" applyAlignment="1">
      <alignment horizontal="right"/>
    </xf>
    <xf numFmtId="3" fontId="76" fillId="8" borderId="0" xfId="0" applyNumberFormat="1" applyFont="1" applyFill="1" applyBorder="1"/>
    <xf numFmtId="3" fontId="36" fillId="15" borderId="39" xfId="0" applyNumberFormat="1" applyFont="1" applyFill="1" applyBorder="1" applyAlignment="1">
      <alignment vertical="center"/>
    </xf>
    <xf numFmtId="3" fontId="36" fillId="15" borderId="50" xfId="0" applyNumberFormat="1" applyFont="1" applyFill="1" applyBorder="1" applyAlignment="1">
      <alignment vertical="center"/>
    </xf>
    <xf numFmtId="3" fontId="36" fillId="15" borderId="51" xfId="0" applyNumberFormat="1" applyFont="1" applyFill="1" applyBorder="1" applyAlignment="1">
      <alignment horizontal="center"/>
    </xf>
    <xf numFmtId="3" fontId="36" fillId="6" borderId="68" xfId="0" applyNumberFormat="1" applyFont="1" applyFill="1" applyBorder="1"/>
    <xf numFmtId="3" fontId="36" fillId="6" borderId="35" xfId="0" applyNumberFormat="1" applyFont="1" applyFill="1" applyBorder="1"/>
    <xf numFmtId="0" fontId="7" fillId="6" borderId="71" xfId="0" applyFont="1" applyFill="1" applyBorder="1" applyAlignment="1">
      <alignment vertical="center" wrapText="1"/>
    </xf>
    <xf numFmtId="3" fontId="8" fillId="6" borderId="47" xfId="0" applyNumberFormat="1" applyFont="1" applyFill="1" applyBorder="1"/>
    <xf numFmtId="3" fontId="8" fillId="6" borderId="70" xfId="0" applyNumberFormat="1" applyFont="1" applyFill="1" applyBorder="1"/>
    <xf numFmtId="3" fontId="36" fillId="6" borderId="12" xfId="0" applyNumberFormat="1" applyFont="1" applyFill="1" applyBorder="1"/>
    <xf numFmtId="3" fontId="8" fillId="12" borderId="0" xfId="0" applyNumberFormat="1" applyFont="1" applyFill="1" applyBorder="1" applyAlignment="1">
      <alignment horizontal="right"/>
    </xf>
    <xf numFmtId="3" fontId="76" fillId="12" borderId="0" xfId="0" applyNumberFormat="1" applyFont="1" applyFill="1" applyBorder="1"/>
    <xf numFmtId="0" fontId="8" fillId="12" borderId="8" xfId="0" applyFont="1" applyFill="1" applyBorder="1" applyAlignment="1">
      <alignment horizontal="right"/>
    </xf>
    <xf numFmtId="3" fontId="76" fillId="12" borderId="8" xfId="0" applyNumberFormat="1" applyFont="1" applyFill="1" applyBorder="1"/>
    <xf numFmtId="0" fontId="65" fillId="0" borderId="0" xfId="0" applyFont="1" applyBorder="1" applyAlignment="1">
      <alignment horizontal="center" vertical="center"/>
    </xf>
    <xf numFmtId="0" fontId="65" fillId="0" borderId="124" xfId="0" applyFont="1" applyBorder="1" applyAlignment="1">
      <alignment horizontal="center"/>
    </xf>
    <xf numFmtId="0" fontId="8" fillId="16" borderId="15" xfId="0" applyFont="1" applyFill="1" applyBorder="1"/>
    <xf numFmtId="0" fontId="8" fillId="16" borderId="3" xfId="0" applyFont="1" applyFill="1" applyBorder="1"/>
    <xf numFmtId="0" fontId="8" fillId="16" borderId="4" xfId="0" applyFont="1" applyFill="1" applyBorder="1"/>
    <xf numFmtId="0" fontId="8" fillId="16" borderId="0" xfId="0" applyFont="1" applyFill="1" applyBorder="1"/>
    <xf numFmtId="3" fontId="36" fillId="16" borderId="12" xfId="5" applyNumberFormat="1" applyFont="1" applyFill="1" applyBorder="1" applyAlignment="1">
      <alignment vertical="center"/>
    </xf>
    <xf numFmtId="3" fontId="36" fillId="16" borderId="23" xfId="5" applyNumberFormat="1" applyFont="1" applyFill="1" applyBorder="1" applyAlignment="1">
      <alignment vertical="center"/>
    </xf>
    <xf numFmtId="3" fontId="36" fillId="16" borderId="24" xfId="5" applyNumberFormat="1" applyFont="1" applyFill="1" applyBorder="1" applyAlignment="1">
      <alignment vertical="center"/>
    </xf>
    <xf numFmtId="0" fontId="7" fillId="8" borderId="20" xfId="0" applyFont="1" applyFill="1" applyBorder="1" applyAlignment="1">
      <alignment vertical="center" wrapText="1"/>
    </xf>
    <xf numFmtId="3" fontId="8" fillId="8" borderId="30" xfId="0" applyNumberFormat="1" applyFont="1" applyFill="1" applyBorder="1"/>
    <xf numFmtId="3" fontId="8" fillId="8" borderId="69" xfId="0" applyNumberFormat="1" applyFont="1" applyFill="1" applyBorder="1"/>
    <xf numFmtId="3" fontId="8" fillId="8" borderId="31" xfId="0" applyNumberFormat="1" applyFont="1" applyFill="1" applyBorder="1"/>
    <xf numFmtId="0" fontId="7" fillId="8" borderId="28" xfId="0" applyFont="1" applyFill="1" applyBorder="1" applyAlignment="1">
      <alignment vertical="center"/>
    </xf>
    <xf numFmtId="0" fontId="7" fillId="8" borderId="71" xfId="0" applyFont="1" applyFill="1" applyBorder="1" applyAlignment="1">
      <alignment vertical="center"/>
    </xf>
    <xf numFmtId="3" fontId="8" fillId="8" borderId="61" xfId="0" applyNumberFormat="1" applyFont="1" applyFill="1" applyBorder="1"/>
    <xf numFmtId="3" fontId="8" fillId="8" borderId="47" xfId="0" applyNumberFormat="1" applyFont="1" applyFill="1" applyBorder="1"/>
    <xf numFmtId="3" fontId="8" fillId="8" borderId="73" xfId="0" applyNumberFormat="1" applyFont="1" applyFill="1" applyBorder="1"/>
    <xf numFmtId="3" fontId="8" fillId="8" borderId="141" xfId="0" applyNumberFormat="1" applyFont="1" applyFill="1" applyBorder="1"/>
    <xf numFmtId="0" fontId="7" fillId="17" borderId="0" xfId="0" applyFont="1" applyFill="1" applyBorder="1" applyAlignment="1">
      <alignment vertical="center" wrapText="1"/>
    </xf>
    <xf numFmtId="3" fontId="77" fillId="17" borderId="0" xfId="0" applyNumberFormat="1" applyFont="1" applyFill="1" applyBorder="1"/>
    <xf numFmtId="3" fontId="77" fillId="17" borderId="13" xfId="0" applyNumberFormat="1" applyFont="1" applyFill="1" applyBorder="1"/>
    <xf numFmtId="0" fontId="28" fillId="8" borderId="0" xfId="0" applyFont="1" applyFill="1" applyBorder="1" applyAlignment="1">
      <alignment horizontal="right" vertical="center" wrapText="1"/>
    </xf>
    <xf numFmtId="3" fontId="77" fillId="8" borderId="0" xfId="0" applyNumberFormat="1" applyFont="1" applyFill="1" applyBorder="1"/>
    <xf numFmtId="3" fontId="77" fillId="8" borderId="13" xfId="0" applyNumberFormat="1" applyFont="1" applyFill="1" applyBorder="1"/>
    <xf numFmtId="3" fontId="19" fillId="8" borderId="0" xfId="0" applyNumberFormat="1" applyFont="1" applyFill="1" applyBorder="1"/>
    <xf numFmtId="3" fontId="19" fillId="16" borderId="39" xfId="5" applyNumberFormat="1" applyFont="1" applyFill="1" applyBorder="1"/>
    <xf numFmtId="3" fontId="19" fillId="16" borderId="50" xfId="5" applyNumberFormat="1" applyFont="1" applyFill="1" applyBorder="1"/>
    <xf numFmtId="3" fontId="19" fillId="16" borderId="0" xfId="0" applyNumberFormat="1" applyFont="1" applyFill="1" applyBorder="1" applyAlignment="1">
      <alignment horizontal="center"/>
    </xf>
    <xf numFmtId="3" fontId="8" fillId="8" borderId="68" xfId="0" applyNumberFormat="1" applyFont="1" applyFill="1" applyBorder="1"/>
    <xf numFmtId="3" fontId="8" fillId="8" borderId="17" xfId="0" applyNumberFormat="1" applyFont="1" applyFill="1" applyBorder="1"/>
    <xf numFmtId="3" fontId="8" fillId="8" borderId="35" xfId="0" applyNumberFormat="1" applyFont="1" applyFill="1" applyBorder="1"/>
    <xf numFmtId="3" fontId="8" fillId="8" borderId="0" xfId="0" applyNumberFormat="1" applyFont="1" applyFill="1" applyBorder="1"/>
    <xf numFmtId="3" fontId="8" fillId="8" borderId="30" xfId="0" applyNumberFormat="1" applyFont="1" applyFill="1" applyBorder="1" applyAlignment="1">
      <alignment vertical="center"/>
    </xf>
    <xf numFmtId="3" fontId="8" fillId="8" borderId="0" xfId="0" applyNumberFormat="1" applyFont="1" applyFill="1" applyBorder="1" applyAlignment="1">
      <alignment vertical="center"/>
    </xf>
    <xf numFmtId="3" fontId="65" fillId="17" borderId="0" xfId="0" applyNumberFormat="1" applyFont="1" applyFill="1" applyBorder="1"/>
    <xf numFmtId="3" fontId="8" fillId="17" borderId="0" xfId="0" applyNumberFormat="1" applyFont="1" applyFill="1" applyBorder="1"/>
    <xf numFmtId="0" fontId="8" fillId="18" borderId="15" xfId="0" applyFont="1" applyFill="1" applyBorder="1" applyAlignment="1">
      <alignment vertical="center"/>
    </xf>
    <xf numFmtId="0" fontId="8" fillId="18" borderId="3" xfId="0" applyFont="1" applyFill="1" applyBorder="1" applyAlignment="1">
      <alignment vertical="center"/>
    </xf>
    <xf numFmtId="0" fontId="8" fillId="18" borderId="4" xfId="0" applyFont="1" applyFill="1" applyBorder="1" applyAlignment="1">
      <alignment vertical="center"/>
    </xf>
    <xf numFmtId="0" fontId="8" fillId="18" borderId="0" xfId="0" applyFont="1" applyFill="1" applyBorder="1" applyAlignment="1">
      <alignment vertical="center"/>
    </xf>
    <xf numFmtId="3" fontId="36" fillId="18" borderId="12" xfId="0" applyNumberFormat="1" applyFont="1" applyFill="1" applyBorder="1" applyAlignment="1">
      <alignment vertical="center"/>
    </xf>
    <xf numFmtId="3" fontId="36" fillId="18" borderId="23" xfId="0" applyNumberFormat="1" applyFont="1" applyFill="1" applyBorder="1" applyAlignment="1">
      <alignment vertical="center"/>
    </xf>
    <xf numFmtId="3" fontId="36" fillId="18" borderId="0" xfId="0" applyNumberFormat="1" applyFont="1" applyFill="1" applyBorder="1" applyAlignment="1">
      <alignment vertical="center"/>
    </xf>
    <xf numFmtId="3" fontId="6" fillId="11" borderId="68" xfId="0" applyNumberFormat="1" applyFont="1" applyFill="1" applyBorder="1"/>
    <xf numFmtId="3" fontId="6" fillId="11" borderId="17" xfId="0" applyNumberFormat="1" applyFont="1" applyFill="1" applyBorder="1"/>
    <xf numFmtId="3" fontId="6" fillId="11" borderId="30" xfId="0" applyNumberFormat="1" applyFont="1" applyFill="1" applyBorder="1"/>
    <xf numFmtId="3" fontId="6" fillId="11" borderId="0" xfId="0" applyNumberFormat="1" applyFont="1" applyFill="1" applyBorder="1"/>
    <xf numFmtId="0" fontId="7" fillId="11" borderId="28" xfId="0" applyFont="1" applyFill="1" applyBorder="1" applyAlignment="1">
      <alignment vertical="center" wrapText="1"/>
    </xf>
    <xf numFmtId="0" fontId="7" fillId="11" borderId="71" xfId="0" applyFont="1" applyFill="1" applyBorder="1" applyAlignment="1">
      <alignment vertical="center" wrapText="1"/>
    </xf>
    <xf numFmtId="0" fontId="7" fillId="11" borderId="37" xfId="0" applyFont="1" applyFill="1" applyBorder="1" applyAlignment="1">
      <alignment vertical="center" wrapText="1"/>
    </xf>
    <xf numFmtId="3" fontId="6" fillId="11" borderId="47" xfId="0" applyNumberFormat="1" applyFont="1" applyFill="1" applyBorder="1"/>
    <xf numFmtId="0" fontId="36" fillId="18" borderId="51" xfId="0" applyFont="1" applyFill="1" applyBorder="1" applyAlignment="1">
      <alignment horizontal="right"/>
    </xf>
    <xf numFmtId="3" fontId="76" fillId="18" borderId="39" xfId="0" applyNumberFormat="1" applyFont="1" applyFill="1" applyBorder="1" applyAlignment="1">
      <alignment vertical="top"/>
    </xf>
    <xf numFmtId="3" fontId="76" fillId="18" borderId="50" xfId="0" applyNumberFormat="1" applyFont="1" applyFill="1" applyBorder="1" applyAlignment="1">
      <alignment vertical="top"/>
    </xf>
    <xf numFmtId="3" fontId="76" fillId="18" borderId="0" xfId="0" applyNumberFormat="1" applyFont="1" applyFill="1" applyBorder="1" applyAlignment="1">
      <alignment vertical="top"/>
    </xf>
    <xf numFmtId="0" fontId="76" fillId="0" borderId="0" xfId="0" applyFont="1" applyBorder="1" applyAlignment="1">
      <alignment horizontal="right"/>
    </xf>
    <xf numFmtId="3" fontId="76" fillId="2" borderId="0" xfId="0" applyNumberFormat="1" applyFont="1" applyFill="1" applyBorder="1" applyAlignment="1">
      <alignment vertical="top"/>
    </xf>
    <xf numFmtId="3" fontId="76" fillId="2" borderId="13" xfId="0" applyNumberFormat="1" applyFont="1" applyFill="1" applyBorder="1" applyAlignment="1">
      <alignment vertical="top"/>
    </xf>
    <xf numFmtId="3" fontId="36" fillId="18" borderId="39" xfId="0" applyNumberFormat="1" applyFont="1" applyFill="1" applyBorder="1"/>
    <xf numFmtId="3" fontId="36" fillId="18" borderId="50" xfId="0" applyNumberFormat="1" applyFont="1" applyFill="1" applyBorder="1"/>
    <xf numFmtId="3" fontId="36" fillId="18" borderId="0" xfId="0" applyNumberFormat="1" applyFont="1" applyFill="1" applyBorder="1" applyAlignment="1">
      <alignment horizontal="center"/>
    </xf>
    <xf numFmtId="3" fontId="8" fillId="11" borderId="68" xfId="0" applyNumberFormat="1" applyFont="1" applyFill="1" applyBorder="1"/>
    <xf numFmtId="43" fontId="8" fillId="11" borderId="0" xfId="1" applyFont="1" applyFill="1" applyBorder="1"/>
    <xf numFmtId="3" fontId="8" fillId="11" borderId="30" xfId="0" applyNumberFormat="1" applyFont="1" applyFill="1" applyBorder="1"/>
    <xf numFmtId="3" fontId="6" fillId="11" borderId="30" xfId="0" applyNumberFormat="1" applyFont="1" applyFill="1" applyBorder="1" applyAlignment="1">
      <alignment vertical="center"/>
    </xf>
    <xf numFmtId="43" fontId="8" fillId="11" borderId="0" xfId="1" applyFont="1" applyFill="1" applyBorder="1" applyAlignment="1">
      <alignment vertical="center"/>
    </xf>
    <xf numFmtId="0" fontId="8" fillId="18" borderId="24" xfId="0" applyFont="1" applyFill="1" applyBorder="1" applyAlignment="1">
      <alignment horizontal="right"/>
    </xf>
    <xf numFmtId="3" fontId="8" fillId="18" borderId="24" xfId="0" applyNumberFormat="1" applyFont="1" applyFill="1" applyBorder="1"/>
    <xf numFmtId="3" fontId="8" fillId="18" borderId="12" xfId="0" applyNumberFormat="1" applyFont="1" applyFill="1" applyBorder="1"/>
    <xf numFmtId="3" fontId="8" fillId="18" borderId="0" xfId="0" applyNumberFormat="1" applyFont="1" applyFill="1" applyBorder="1"/>
    <xf numFmtId="0" fontId="8" fillId="0" borderId="13" xfId="0" applyFont="1" applyBorder="1"/>
    <xf numFmtId="3" fontId="76" fillId="0" borderId="0" xfId="0" applyNumberFormat="1" applyFont="1" applyBorder="1"/>
    <xf numFmtId="3" fontId="76" fillId="0" borderId="13" xfId="0" applyNumberFormat="1" applyFont="1" applyBorder="1"/>
    <xf numFmtId="0" fontId="20" fillId="0" borderId="3" xfId="0" applyFont="1" applyBorder="1" applyAlignment="1">
      <alignment wrapText="1"/>
    </xf>
    <xf numFmtId="0" fontId="8" fillId="0" borderId="3" xfId="0" applyFont="1" applyBorder="1"/>
    <xf numFmtId="0" fontId="8" fillId="0" borderId="24" xfId="0" applyFont="1" applyBorder="1"/>
    <xf numFmtId="3" fontId="29" fillId="2" borderId="172" xfId="4" applyNumberFormat="1" applyFont="1" applyFill="1" applyBorder="1" applyAlignment="1">
      <alignment vertical="center" wrapText="1"/>
    </xf>
    <xf numFmtId="0" fontId="7" fillId="0" borderId="172" xfId="4" applyFont="1" applyFill="1" applyBorder="1" applyAlignment="1">
      <alignment vertical="center"/>
    </xf>
    <xf numFmtId="43" fontId="31" fillId="25" borderId="164" xfId="1" applyFont="1" applyFill="1" applyBorder="1" applyAlignment="1">
      <alignment horizontal="right" vertical="center"/>
    </xf>
    <xf numFmtId="0" fontId="29" fillId="2" borderId="172" xfId="4" applyFont="1" applyFill="1" applyBorder="1" applyAlignment="1">
      <alignment vertical="center"/>
    </xf>
    <xf numFmtId="0" fontId="7" fillId="0" borderId="170" xfId="4" applyFont="1" applyFill="1" applyBorder="1" applyAlignment="1">
      <alignment vertical="center"/>
    </xf>
    <xf numFmtId="0" fontId="24" fillId="6" borderId="36" xfId="4" applyFont="1" applyFill="1" applyBorder="1" applyAlignment="1">
      <alignment horizontal="left" vertical="center"/>
    </xf>
    <xf numFmtId="43" fontId="24" fillId="32" borderId="9" xfId="1" applyFont="1" applyFill="1" applyBorder="1" applyAlignment="1">
      <alignment vertical="center"/>
    </xf>
    <xf numFmtId="3" fontId="31" fillId="32" borderId="9" xfId="4" applyNumberFormat="1" applyFont="1" applyFill="1" applyBorder="1" applyAlignment="1">
      <alignment vertical="center"/>
    </xf>
    <xf numFmtId="3" fontId="7" fillId="0" borderId="12" xfId="0" applyNumberFormat="1" applyFont="1" applyFill="1" applyBorder="1" applyAlignment="1">
      <alignment vertical="top"/>
    </xf>
    <xf numFmtId="43" fontId="27" fillId="50" borderId="9" xfId="1" applyFont="1" applyFill="1" applyBorder="1" applyAlignment="1">
      <alignment horizontal="right" vertical="center"/>
    </xf>
    <xf numFmtId="0" fontId="27" fillId="50" borderId="128" xfId="0" applyFont="1" applyFill="1" applyBorder="1" applyAlignment="1">
      <alignment horizontal="left" vertical="top"/>
    </xf>
    <xf numFmtId="0" fontId="7" fillId="8" borderId="128" xfId="4" applyFont="1" applyFill="1" applyBorder="1" applyAlignment="1">
      <alignment vertical="center"/>
    </xf>
    <xf numFmtId="3" fontId="25" fillId="8" borderId="17" xfId="4" applyNumberFormat="1" applyFont="1" applyFill="1" applyBorder="1" applyAlignment="1">
      <alignment horizontal="center" vertical="center"/>
    </xf>
    <xf numFmtId="3" fontId="7" fillId="8" borderId="77" xfId="4" applyNumberFormat="1" applyFont="1" applyFill="1" applyBorder="1" applyAlignment="1">
      <alignment horizontal="right" vertical="center"/>
    </xf>
    <xf numFmtId="3" fontId="7" fillId="23" borderId="68" xfId="4" applyNumberFormat="1" applyFont="1" applyFill="1" applyBorder="1" applyAlignment="1">
      <alignment horizontal="right" vertical="center"/>
    </xf>
    <xf numFmtId="0" fontId="24" fillId="0" borderId="25" xfId="4" applyFont="1" applyFill="1" applyBorder="1" applyAlignment="1">
      <alignment vertical="center"/>
    </xf>
    <xf numFmtId="0" fontId="7" fillId="0" borderId="25" xfId="4" applyFont="1" applyFill="1" applyBorder="1" applyAlignment="1">
      <alignment vertical="top"/>
    </xf>
    <xf numFmtId="3" fontId="7" fillId="0" borderId="12" xfId="4" applyNumberFormat="1" applyFont="1" applyFill="1" applyBorder="1" applyAlignment="1">
      <alignment vertical="top"/>
    </xf>
    <xf numFmtId="3" fontId="29" fillId="0" borderId="12" xfId="4" applyNumberFormat="1" applyFont="1" applyFill="1" applyBorder="1" applyAlignment="1">
      <alignment horizontal="right" vertical="center"/>
    </xf>
    <xf numFmtId="3" fontId="7" fillId="0" borderId="72" xfId="4" applyNumberFormat="1" applyFont="1" applyFill="1" applyBorder="1" applyAlignment="1">
      <alignment vertical="top"/>
    </xf>
    <xf numFmtId="3" fontId="24" fillId="34" borderId="12" xfId="4" applyNumberFormat="1" applyFont="1" applyFill="1" applyBorder="1" applyAlignment="1">
      <alignment vertical="center"/>
    </xf>
    <xf numFmtId="0" fontId="18" fillId="0" borderId="23" xfId="4" applyFont="1" applyFill="1" applyBorder="1" applyAlignment="1">
      <alignment vertical="center" wrapText="1"/>
    </xf>
    <xf numFmtId="43" fontId="7" fillId="0" borderId="141" xfId="1" applyFont="1" applyFill="1" applyBorder="1" applyAlignment="1">
      <alignment vertical="top"/>
    </xf>
    <xf numFmtId="3" fontId="7" fillId="0" borderId="141" xfId="4" applyNumberFormat="1" applyFont="1" applyFill="1" applyBorder="1" applyAlignment="1">
      <alignment vertical="top"/>
    </xf>
    <xf numFmtId="3" fontId="27" fillId="0" borderId="173" xfId="4" applyNumberFormat="1" applyFont="1" applyFill="1" applyBorder="1" applyAlignment="1">
      <alignment horizontal="right" vertical="center"/>
    </xf>
    <xf numFmtId="3" fontId="27" fillId="0" borderId="165" xfId="4" applyNumberFormat="1" applyFont="1" applyFill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28" fillId="54" borderId="134" xfId="0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horizontal="right" vertical="center"/>
    </xf>
    <xf numFmtId="3" fontId="36" fillId="3" borderId="21" xfId="0" applyNumberFormat="1" applyFont="1" applyFill="1" applyBorder="1" applyAlignment="1">
      <alignment vertical="center" wrapText="1"/>
    </xf>
    <xf numFmtId="3" fontId="36" fillId="3" borderId="25" xfId="0" applyNumberFormat="1" applyFont="1" applyFill="1" applyBorder="1" applyAlignment="1">
      <alignment vertical="center" wrapText="1"/>
    </xf>
    <xf numFmtId="0" fontId="24" fillId="8" borderId="45" xfId="0" applyFont="1" applyFill="1" applyBorder="1" applyAlignment="1">
      <alignment horizontal="left" vertical="center" wrapText="1"/>
    </xf>
    <xf numFmtId="3" fontId="29" fillId="0" borderId="29" xfId="0" applyNumberFormat="1" applyFont="1" applyFill="1" applyBorder="1" applyAlignment="1">
      <alignment horizontal="right" vertical="center"/>
    </xf>
    <xf numFmtId="3" fontId="7" fillId="0" borderId="70" xfId="0" applyNumberFormat="1" applyFont="1" applyFill="1" applyBorder="1" applyAlignment="1">
      <alignment horizontal="right" vertical="center"/>
    </xf>
    <xf numFmtId="3" fontId="7" fillId="0" borderId="63" xfId="0" applyNumberFormat="1" applyFont="1" applyFill="1" applyBorder="1" applyAlignment="1">
      <alignment horizontal="right" vertical="center"/>
    </xf>
    <xf numFmtId="3" fontId="31" fillId="50" borderId="9" xfId="0" applyNumberFormat="1" applyFont="1" applyFill="1" applyBorder="1" applyAlignment="1">
      <alignment vertical="top"/>
    </xf>
    <xf numFmtId="3" fontId="31" fillId="50" borderId="35" xfId="0" applyNumberFormat="1" applyFont="1" applyFill="1" applyBorder="1" applyAlignment="1">
      <alignment vertical="top"/>
    </xf>
    <xf numFmtId="3" fontId="28" fillId="52" borderId="9" xfId="0" applyNumberFormat="1" applyFont="1" applyFill="1" applyBorder="1" applyAlignment="1">
      <alignment vertical="top"/>
    </xf>
    <xf numFmtId="3" fontId="28" fillId="55" borderId="35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horizontal="right" vertical="center"/>
    </xf>
    <xf numFmtId="3" fontId="28" fillId="54" borderId="9" xfId="0" applyNumberFormat="1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 vertical="center"/>
    </xf>
    <xf numFmtId="3" fontId="28" fillId="0" borderId="124" xfId="0" applyNumberFormat="1" applyFont="1" applyFill="1" applyBorder="1" applyAlignment="1">
      <alignment vertical="center"/>
    </xf>
    <xf numFmtId="0" fontId="26" fillId="0" borderId="41" xfId="0" applyFont="1" applyBorder="1" applyAlignment="1"/>
    <xf numFmtId="0" fontId="27" fillId="50" borderId="8" xfId="4" applyFont="1" applyFill="1" applyBorder="1" applyAlignment="1">
      <alignment horizontal="left" vertical="center"/>
    </xf>
    <xf numFmtId="3" fontId="27" fillId="50" borderId="20" xfId="4" applyNumberFormat="1" applyFont="1" applyFill="1" applyBorder="1" applyAlignment="1">
      <alignment horizontal="right" vertical="center"/>
    </xf>
    <xf numFmtId="0" fontId="27" fillId="50" borderId="0" xfId="4" applyFont="1" applyFill="1" applyBorder="1" applyAlignment="1">
      <alignment horizontal="left" vertical="center"/>
    </xf>
    <xf numFmtId="3" fontId="27" fillId="50" borderId="6" xfId="4" applyNumberFormat="1" applyFont="1" applyFill="1" applyBorder="1" applyAlignment="1">
      <alignment horizontal="right" vertical="center"/>
    </xf>
    <xf numFmtId="0" fontId="27" fillId="50" borderId="66" xfId="0" applyFont="1" applyFill="1" applyBorder="1" applyAlignment="1">
      <alignment horizontal="left" vertical="center"/>
    </xf>
    <xf numFmtId="3" fontId="27" fillId="50" borderId="22" xfId="0" quotePrefix="1" applyNumberFormat="1" applyFont="1" applyFill="1" applyBorder="1" applyAlignment="1">
      <alignment horizontal="right" vertical="center"/>
    </xf>
    <xf numFmtId="3" fontId="27" fillId="8" borderId="28" xfId="0" applyNumberFormat="1" applyFont="1" applyFill="1" applyBorder="1" applyAlignment="1">
      <alignment vertical="center"/>
    </xf>
    <xf numFmtId="3" fontId="29" fillId="8" borderId="30" xfId="0" applyNumberFormat="1" applyFont="1" applyFill="1" applyBorder="1" applyAlignment="1">
      <alignment vertical="center"/>
    </xf>
    <xf numFmtId="3" fontId="27" fillId="23" borderId="30" xfId="0" applyNumberFormat="1" applyFont="1" applyFill="1" applyBorder="1" applyAlignment="1">
      <alignment vertical="center"/>
    </xf>
    <xf numFmtId="3" fontId="7" fillId="8" borderId="31" xfId="4" applyNumberFormat="1" applyFont="1" applyFill="1" applyBorder="1" applyAlignment="1">
      <alignment vertical="center" wrapText="1"/>
    </xf>
    <xf numFmtId="3" fontId="7" fillId="8" borderId="28" xfId="0" applyNumberFormat="1" applyFont="1" applyFill="1" applyBorder="1" applyAlignment="1">
      <alignment vertical="center"/>
    </xf>
    <xf numFmtId="3" fontId="7" fillId="8" borderId="30" xfId="0" applyNumberFormat="1" applyFont="1" applyFill="1" applyBorder="1" applyAlignment="1">
      <alignment vertical="center"/>
    </xf>
    <xf numFmtId="0" fontId="0" fillId="0" borderId="179" xfId="0" applyFont="1" applyBorder="1" applyAlignment="1">
      <alignment vertical="center"/>
    </xf>
    <xf numFmtId="0" fontId="29" fillId="8" borderId="11" xfId="0" applyFont="1" applyFill="1" applyBorder="1" applyAlignment="1">
      <alignment vertical="top"/>
    </xf>
    <xf numFmtId="0" fontId="7" fillId="8" borderId="26" xfId="4" applyFont="1" applyFill="1" applyBorder="1" applyAlignment="1">
      <alignment vertical="top"/>
    </xf>
    <xf numFmtId="0" fontId="24" fillId="8" borderId="26" xfId="4" applyFont="1" applyFill="1" applyBorder="1" applyAlignment="1">
      <alignment horizontal="right" vertical="top"/>
    </xf>
    <xf numFmtId="0" fontId="7" fillId="8" borderId="66" xfId="4" applyFont="1" applyFill="1" applyBorder="1" applyAlignment="1">
      <alignment vertical="top"/>
    </xf>
    <xf numFmtId="3" fontId="18" fillId="8" borderId="41" xfId="4" applyNumberFormat="1" applyFont="1" applyFill="1" applyBorder="1" applyAlignment="1">
      <alignment vertical="top" wrapText="1"/>
    </xf>
    <xf numFmtId="3" fontId="27" fillId="0" borderId="179" xfId="4" applyNumberFormat="1" applyFont="1" applyFill="1" applyBorder="1" applyAlignment="1">
      <alignment horizontal="right" vertical="center"/>
    </xf>
    <xf numFmtId="3" fontId="27" fillId="25" borderId="179" xfId="4" applyNumberFormat="1" applyFont="1" applyFill="1" applyBorder="1" applyAlignment="1">
      <alignment horizontal="right" vertical="center"/>
    </xf>
    <xf numFmtId="43" fontId="7" fillId="0" borderId="165" xfId="1" applyFont="1" applyFill="1" applyBorder="1" applyAlignment="1">
      <alignment horizontal="right" vertical="center"/>
    </xf>
    <xf numFmtId="43" fontId="27" fillId="0" borderId="92" xfId="1" applyFont="1" applyFill="1" applyBorder="1" applyAlignment="1">
      <alignment horizontal="right" vertical="center"/>
    </xf>
    <xf numFmtId="43" fontId="7" fillId="0" borderId="92" xfId="1" applyFont="1" applyFill="1" applyBorder="1" applyAlignment="1">
      <alignment horizontal="right" vertical="center"/>
    </xf>
    <xf numFmtId="43" fontId="27" fillId="0" borderId="63" xfId="1" applyFont="1" applyFill="1" applyBorder="1" applyAlignment="1">
      <alignment horizontal="right" vertical="center"/>
    </xf>
    <xf numFmtId="43" fontId="7" fillId="0" borderId="63" xfId="1" applyFont="1" applyFill="1" applyBorder="1" applyAlignment="1">
      <alignment horizontal="right" vertical="center"/>
    </xf>
    <xf numFmtId="43" fontId="27" fillId="8" borderId="130" xfId="1" applyFont="1" applyFill="1" applyBorder="1" applyAlignment="1">
      <alignment vertical="center"/>
    </xf>
    <xf numFmtId="43" fontId="31" fillId="28" borderId="130" xfId="1" applyFont="1" applyFill="1" applyBorder="1" applyAlignment="1">
      <alignment vertical="center"/>
    </xf>
    <xf numFmtId="43" fontId="24" fillId="29" borderId="35" xfId="1" applyFont="1" applyFill="1" applyBorder="1" applyAlignment="1">
      <alignment vertical="center"/>
    </xf>
    <xf numFmtId="43" fontId="31" fillId="8" borderId="2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right" vertical="center"/>
    </xf>
    <xf numFmtId="3" fontId="0" fillId="0" borderId="0" xfId="0" applyNumberFormat="1" applyFont="1" applyBorder="1" applyAlignment="1">
      <alignment wrapText="1"/>
    </xf>
    <xf numFmtId="3" fontId="20" fillId="0" borderId="0" xfId="0" applyNumberFormat="1" applyFont="1" applyFill="1" applyBorder="1" applyAlignment="1">
      <alignment horizontal="center" vertical="top" wrapText="1"/>
    </xf>
    <xf numFmtId="3" fontId="0" fillId="0" borderId="26" xfId="0" applyNumberFormat="1" applyFont="1" applyBorder="1" applyAlignment="1">
      <alignment wrapText="1"/>
    </xf>
    <xf numFmtId="3" fontId="25" fillId="6" borderId="26" xfId="0" applyNumberFormat="1" applyFont="1" applyFill="1" applyBorder="1" applyAlignment="1">
      <alignment vertical="center"/>
    </xf>
    <xf numFmtId="3" fontId="25" fillId="6" borderId="0" xfId="0" applyNumberFormat="1" applyFont="1" applyFill="1" applyBorder="1" applyAlignment="1">
      <alignment vertical="center"/>
    </xf>
    <xf numFmtId="3" fontId="27" fillId="32" borderId="26" xfId="0" applyNumberFormat="1" applyFont="1" applyFill="1" applyBorder="1" applyAlignment="1">
      <alignment vertical="center"/>
    </xf>
    <xf numFmtId="3" fontId="27" fillId="32" borderId="0" xfId="0" applyNumberFormat="1" applyFont="1" applyFill="1" applyBorder="1" applyAlignment="1">
      <alignment vertical="center"/>
    </xf>
    <xf numFmtId="0" fontId="0" fillId="0" borderId="179" xfId="0" applyFont="1" applyBorder="1"/>
    <xf numFmtId="3" fontId="0" fillId="0" borderId="179" xfId="0" applyNumberFormat="1" applyFont="1" applyBorder="1" applyAlignment="1">
      <alignment vertical="center"/>
    </xf>
    <xf numFmtId="3" fontId="37" fillId="0" borderId="179" xfId="0" applyNumberFormat="1" applyFont="1" applyBorder="1" applyAlignment="1">
      <alignment vertical="center"/>
    </xf>
    <xf numFmtId="0" fontId="39" fillId="0" borderId="179" xfId="0" applyFont="1" applyBorder="1" applyAlignment="1">
      <alignment vertical="center"/>
    </xf>
    <xf numFmtId="3" fontId="39" fillId="0" borderId="179" xfId="0" applyNumberFormat="1" applyFont="1" applyBorder="1" applyAlignment="1">
      <alignment vertical="center"/>
    </xf>
    <xf numFmtId="0" fontId="18" fillId="0" borderId="179" xfId="0" applyFont="1" applyBorder="1" applyAlignment="1">
      <alignment vertical="top"/>
    </xf>
    <xf numFmtId="3" fontId="0" fillId="0" borderId="179" xfId="0" applyNumberFormat="1" applyFont="1" applyBorder="1"/>
    <xf numFmtId="3" fontId="37" fillId="0" borderId="179" xfId="0" applyNumberFormat="1" applyFont="1" applyBorder="1"/>
    <xf numFmtId="3" fontId="8" fillId="0" borderId="179" xfId="0" applyNumberFormat="1" applyFont="1" applyBorder="1" applyAlignment="1">
      <alignment vertical="top"/>
    </xf>
    <xf numFmtId="0" fontId="37" fillId="0" borderId="179" xfId="0" applyFont="1" applyBorder="1" applyAlignment="1">
      <alignment vertical="center"/>
    </xf>
    <xf numFmtId="3" fontId="24" fillId="6" borderId="179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horizontal="center" vertical="center" wrapText="1"/>
    </xf>
    <xf numFmtId="3" fontId="74" fillId="2" borderId="0" xfId="0" applyNumberFormat="1" applyFont="1" applyFill="1" applyBorder="1" applyAlignment="1">
      <alignment vertical="center"/>
    </xf>
    <xf numFmtId="3" fontId="24" fillId="23" borderId="15" xfId="4" applyNumberFormat="1" applyFont="1" applyFill="1" applyBorder="1" applyAlignment="1">
      <alignment horizontal="right" vertical="center"/>
    </xf>
    <xf numFmtId="0" fontId="7" fillId="32" borderId="21" xfId="4" applyFont="1" applyFill="1" applyBorder="1" applyAlignment="1">
      <alignment horizontal="left" vertical="center"/>
    </xf>
    <xf numFmtId="3" fontId="24" fillId="6" borderId="35" xfId="0" applyNumberFormat="1" applyFont="1" applyFill="1" applyBorder="1" applyAlignment="1">
      <alignment horizontal="right" vertical="center"/>
    </xf>
    <xf numFmtId="43" fontId="24" fillId="6" borderId="35" xfId="1" applyFont="1" applyFill="1" applyBorder="1" applyAlignment="1">
      <alignment horizontal="right" vertical="center"/>
    </xf>
    <xf numFmtId="0" fontId="24" fillId="8" borderId="77" xfId="4" applyFont="1" applyFill="1" applyBorder="1" applyAlignment="1">
      <alignment vertical="center" wrapText="1"/>
    </xf>
    <xf numFmtId="0" fontId="24" fillId="8" borderId="68" xfId="4" applyFont="1" applyFill="1" applyBorder="1" applyAlignment="1">
      <alignment horizontal="center" vertical="center" wrapText="1"/>
    </xf>
    <xf numFmtId="0" fontId="24" fillId="6" borderId="35" xfId="4" applyFont="1" applyFill="1" applyBorder="1" applyAlignment="1">
      <alignment horizontal="left" vertical="center"/>
    </xf>
    <xf numFmtId="3" fontId="28" fillId="2" borderId="132" xfId="0" applyNumberFormat="1" applyFont="1" applyFill="1" applyBorder="1" applyAlignment="1">
      <alignment vertical="top"/>
    </xf>
    <xf numFmtId="0" fontId="31" fillId="0" borderId="128" xfId="0" applyFont="1" applyFill="1" applyBorder="1" applyAlignment="1">
      <alignment horizontal="left" vertical="center" wrapText="1"/>
    </xf>
    <xf numFmtId="3" fontId="25" fillId="22" borderId="101" xfId="0" applyNumberFormat="1" applyFont="1" applyFill="1" applyBorder="1" applyAlignment="1">
      <alignment vertical="top"/>
    </xf>
    <xf numFmtId="3" fontId="25" fillId="25" borderId="100" xfId="0" applyNumberFormat="1" applyFont="1" applyFill="1" applyBorder="1" applyAlignment="1">
      <alignment vertical="top"/>
    </xf>
    <xf numFmtId="0" fontId="31" fillId="0" borderId="75" xfId="0" applyFont="1" applyFill="1" applyBorder="1" applyAlignment="1">
      <alignment vertical="top"/>
    </xf>
    <xf numFmtId="3" fontId="25" fillId="22" borderId="35" xfId="4" applyNumberFormat="1" applyFont="1" applyFill="1" applyBorder="1" applyAlignment="1">
      <alignment horizontal="right" vertical="center"/>
    </xf>
    <xf numFmtId="3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30" borderId="0" xfId="0" applyFont="1" applyFill="1" applyBorder="1" applyAlignment="1">
      <alignment vertical="center"/>
    </xf>
    <xf numFmtId="0" fontId="27" fillId="8" borderId="164" xfId="4" applyFont="1" applyFill="1" applyBorder="1" applyAlignment="1">
      <alignment horizontal="left" vertical="center"/>
    </xf>
    <xf numFmtId="0" fontId="0" fillId="0" borderId="0" xfId="0" applyFont="1" applyFill="1" applyBorder="1"/>
    <xf numFmtId="0" fontId="7" fillId="8" borderId="164" xfId="4" applyFont="1" applyFill="1" applyBorder="1" applyAlignment="1">
      <alignment vertical="top"/>
    </xf>
    <xf numFmtId="3" fontId="32" fillId="0" borderId="0" xfId="0" applyNumberFormat="1" applyFont="1" applyFill="1" applyBorder="1"/>
    <xf numFmtId="0" fontId="27" fillId="8" borderId="21" xfId="4" applyFont="1" applyFill="1" applyBorder="1" applyAlignment="1">
      <alignment horizontal="left" vertical="center"/>
    </xf>
    <xf numFmtId="0" fontId="27" fillId="8" borderId="20" xfId="4" applyFont="1" applyFill="1" applyBorder="1" applyAlignment="1">
      <alignment horizontal="left" vertical="center"/>
    </xf>
    <xf numFmtId="3" fontId="27" fillId="8" borderId="35" xfId="4" applyNumberFormat="1" applyFont="1" applyFill="1" applyBorder="1" applyAlignment="1">
      <alignment vertical="top"/>
    </xf>
    <xf numFmtId="3" fontId="27" fillId="23" borderId="35" xfId="4" applyNumberFormat="1" applyFont="1" applyFill="1" applyBorder="1" applyAlignment="1">
      <alignment vertical="top"/>
    </xf>
    <xf numFmtId="0" fontId="29" fillId="8" borderId="164" xfId="4" applyFont="1" applyFill="1" applyBorder="1" applyAlignment="1">
      <alignment horizontal="left" vertical="center"/>
    </xf>
    <xf numFmtId="3" fontId="25" fillId="6" borderId="35" xfId="4" applyNumberFormat="1" applyFont="1" applyFill="1" applyBorder="1" applyAlignment="1">
      <alignment vertical="center"/>
    </xf>
    <xf numFmtId="0" fontId="7" fillId="8" borderId="27" xfId="4" applyFont="1" applyFill="1" applyBorder="1" applyAlignment="1">
      <alignment vertical="top"/>
    </xf>
    <xf numFmtId="3" fontId="7" fillId="8" borderId="13" xfId="4" applyNumberFormat="1" applyFont="1" applyFill="1" applyBorder="1" applyAlignment="1">
      <alignment vertical="top"/>
    </xf>
    <xf numFmtId="0" fontId="27" fillId="8" borderId="9" xfId="4" applyFont="1" applyFill="1" applyBorder="1" applyAlignment="1">
      <alignment horizontal="left" vertical="center"/>
    </xf>
    <xf numFmtId="0" fontId="7" fillId="8" borderId="164" xfId="4" applyFont="1" applyFill="1" applyBorder="1" applyAlignment="1">
      <alignment horizontal="left" vertical="center"/>
    </xf>
    <xf numFmtId="0" fontId="7" fillId="8" borderId="75" xfId="4" applyFont="1" applyFill="1" applyBorder="1" applyAlignment="1">
      <alignment vertical="top" wrapText="1"/>
    </xf>
    <xf numFmtId="0" fontId="4" fillId="0" borderId="179" xfId="0" applyFont="1" applyBorder="1" applyAlignment="1">
      <alignment vertical="center"/>
    </xf>
    <xf numFmtId="3" fontId="60" fillId="0" borderId="0" xfId="0" applyNumberFormat="1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3" fontId="7" fillId="8" borderId="172" xfId="4" applyNumberFormat="1" applyFont="1" applyFill="1" applyBorder="1" applyAlignment="1">
      <alignment vertical="center" wrapText="1"/>
    </xf>
    <xf numFmtId="3" fontId="7" fillId="8" borderId="168" xfId="0" applyNumberFormat="1" applyFont="1" applyFill="1" applyBorder="1" applyAlignment="1">
      <alignment vertical="center"/>
    </xf>
    <xf numFmtId="3" fontId="7" fillId="8" borderId="174" xfId="0" applyNumberFormat="1" applyFont="1" applyFill="1" applyBorder="1" applyAlignment="1">
      <alignment vertical="center"/>
    </xf>
    <xf numFmtId="3" fontId="31" fillId="23" borderId="174" xfId="4" applyNumberFormat="1" applyFont="1" applyFill="1" applyBorder="1" applyAlignment="1">
      <alignment vertical="center"/>
    </xf>
    <xf numFmtId="43" fontId="62" fillId="6" borderId="30" xfId="1" applyFont="1" applyFill="1" applyBorder="1" applyAlignment="1">
      <alignment vertical="center" wrapText="1"/>
    </xf>
    <xf numFmtId="3" fontId="8" fillId="0" borderId="124" xfId="0" applyNumberFormat="1" applyFont="1" applyFill="1" applyBorder="1" applyAlignment="1">
      <alignment vertical="center" wrapText="1"/>
    </xf>
    <xf numFmtId="0" fontId="7" fillId="32" borderId="25" xfId="4" applyFont="1" applyFill="1" applyBorder="1" applyAlignment="1">
      <alignment horizontal="left" vertical="center"/>
    </xf>
    <xf numFmtId="0" fontId="63" fillId="53" borderId="128" xfId="0" applyFont="1" applyFill="1" applyBorder="1"/>
    <xf numFmtId="0" fontId="8" fillId="0" borderId="168" xfId="0" applyFont="1" applyFill="1" applyBorder="1" applyAlignment="1">
      <alignment vertical="center" wrapText="1"/>
    </xf>
    <xf numFmtId="0" fontId="31" fillId="50" borderId="128" xfId="4" applyFont="1" applyFill="1" applyBorder="1" applyAlignment="1">
      <alignment horizontal="left" vertical="center"/>
    </xf>
    <xf numFmtId="0" fontId="63" fillId="51" borderId="128" xfId="0" applyFont="1" applyFill="1" applyBorder="1" applyAlignment="1">
      <alignment vertical="center"/>
    </xf>
    <xf numFmtId="3" fontId="31" fillId="0" borderId="179" xfId="4" applyNumberFormat="1" applyFont="1" applyFill="1" applyBorder="1" applyAlignment="1">
      <alignment vertical="center"/>
    </xf>
    <xf numFmtId="0" fontId="7" fillId="0" borderId="25" xfId="4" applyFont="1" applyFill="1" applyBorder="1" applyAlignment="1">
      <alignment vertical="center"/>
    </xf>
    <xf numFmtId="3" fontId="32" fillId="0" borderId="12" xfId="6" applyNumberFormat="1" applyFont="1" applyFill="1" applyBorder="1" applyAlignment="1">
      <alignment vertical="center"/>
    </xf>
    <xf numFmtId="3" fontId="7" fillId="2" borderId="72" xfId="4" applyNumberFormat="1" applyFont="1" applyFill="1" applyBorder="1" applyAlignment="1">
      <alignment vertical="center"/>
    </xf>
    <xf numFmtId="0" fontId="7" fillId="0" borderId="109" xfId="4" applyFont="1" applyFill="1" applyBorder="1" applyAlignment="1">
      <alignment vertical="center"/>
    </xf>
    <xf numFmtId="43" fontId="7" fillId="0" borderId="99" xfId="1" applyFont="1" applyFill="1" applyBorder="1" applyAlignment="1">
      <alignment horizontal="right" vertical="center"/>
    </xf>
    <xf numFmtId="0" fontId="7" fillId="0" borderId="81" xfId="4" applyFont="1" applyFill="1" applyBorder="1" applyAlignment="1">
      <alignment horizontal="left" vertical="center"/>
    </xf>
    <xf numFmtId="3" fontId="7" fillId="0" borderId="47" xfId="4" applyNumberFormat="1" applyFont="1" applyFill="1" applyBorder="1" applyAlignment="1">
      <alignment vertical="center"/>
    </xf>
    <xf numFmtId="0" fontId="31" fillId="0" borderId="21" xfId="4" applyFont="1" applyFill="1" applyBorder="1" applyAlignment="1">
      <alignment horizontal="left" vertical="center"/>
    </xf>
    <xf numFmtId="0" fontId="31" fillId="0" borderId="128" xfId="4" applyFont="1" applyFill="1" applyBorder="1" applyAlignment="1">
      <alignment horizontal="left" vertical="center"/>
    </xf>
    <xf numFmtId="3" fontId="31" fillId="0" borderId="13" xfId="4" applyNumberFormat="1" applyFont="1" applyFill="1" applyBorder="1" applyAlignment="1">
      <alignment horizontal="right" vertical="center"/>
    </xf>
    <xf numFmtId="3" fontId="31" fillId="0" borderId="27" xfId="4" applyNumberFormat="1" applyFont="1" applyFill="1" applyBorder="1" applyAlignment="1">
      <alignment horizontal="right" vertical="center"/>
    </xf>
    <xf numFmtId="0" fontId="31" fillId="6" borderId="102" xfId="0" applyFont="1" applyFill="1" applyBorder="1" applyAlignment="1">
      <alignment vertical="top"/>
    </xf>
    <xf numFmtId="0" fontId="31" fillId="0" borderId="104" xfId="0" applyFont="1" applyFill="1" applyBorder="1" applyAlignment="1">
      <alignment horizontal="left" vertical="center" wrapText="1"/>
    </xf>
    <xf numFmtId="0" fontId="7" fillId="6" borderId="102" xfId="0" applyFont="1" applyFill="1" applyBorder="1" applyAlignment="1">
      <alignment horizontal="left" vertical="center" wrapText="1"/>
    </xf>
    <xf numFmtId="3" fontId="27" fillId="2" borderId="111" xfId="4" applyNumberFormat="1" applyFont="1" applyFill="1" applyBorder="1" applyAlignment="1">
      <alignment vertical="center" wrapText="1"/>
    </xf>
    <xf numFmtId="0" fontId="27" fillId="2" borderId="106" xfId="4" applyFont="1" applyFill="1" applyBorder="1" applyAlignment="1">
      <alignment vertical="top"/>
    </xf>
    <xf numFmtId="0" fontId="24" fillId="8" borderId="5" xfId="0" applyFont="1" applyFill="1" applyBorder="1" applyAlignment="1">
      <alignment vertical="center" wrapText="1"/>
    </xf>
    <xf numFmtId="3" fontId="25" fillId="6" borderId="35" xfId="0" applyNumberFormat="1" applyFont="1" applyFill="1" applyBorder="1" applyAlignment="1">
      <alignment vertical="center"/>
    </xf>
    <xf numFmtId="0" fontId="25" fillId="6" borderId="35" xfId="4" applyFont="1" applyFill="1" applyBorder="1" applyAlignment="1">
      <alignment horizontal="left" vertical="center"/>
    </xf>
    <xf numFmtId="3" fontId="31" fillId="8" borderId="124" xfId="0" applyNumberFormat="1" applyFont="1" applyFill="1" applyBorder="1" applyAlignment="1">
      <alignment vertical="top"/>
    </xf>
    <xf numFmtId="0" fontId="25" fillId="8" borderId="35" xfId="0" applyFont="1" applyFill="1" applyBorder="1" applyAlignment="1">
      <alignment horizontal="left" vertical="center" wrapText="1"/>
    </xf>
    <xf numFmtId="3" fontId="27" fillId="25" borderId="130" xfId="0" applyNumberFormat="1" applyFont="1" applyFill="1" applyBorder="1" applyAlignment="1">
      <alignment horizontal="center" vertical="top"/>
    </xf>
    <xf numFmtId="3" fontId="25" fillId="6" borderId="35" xfId="0" applyNumberFormat="1" applyFont="1" applyFill="1" applyBorder="1" applyAlignment="1">
      <alignment vertical="top"/>
    </xf>
    <xf numFmtId="3" fontId="25" fillId="6" borderId="13" xfId="0" applyNumberFormat="1" applyFont="1" applyFill="1" applyBorder="1" applyAlignment="1">
      <alignment vertical="top"/>
    </xf>
    <xf numFmtId="0" fontId="0" fillId="0" borderId="130" xfId="0" applyFont="1" applyBorder="1"/>
    <xf numFmtId="0" fontId="0" fillId="0" borderId="124" xfId="0" applyFont="1" applyBorder="1"/>
    <xf numFmtId="0" fontId="18" fillId="8" borderId="77" xfId="0" applyFont="1" applyFill="1" applyBorder="1" applyAlignment="1">
      <alignment vertical="center"/>
    </xf>
    <xf numFmtId="3" fontId="18" fillId="23" borderId="68" xfId="0" applyNumberFormat="1" applyFont="1" applyFill="1" applyBorder="1" applyAlignment="1">
      <alignment vertical="center"/>
    </xf>
    <xf numFmtId="43" fontId="24" fillId="6" borderId="29" xfId="4" applyNumberFormat="1" applyFont="1" applyFill="1" applyBorder="1" applyAlignment="1">
      <alignment vertical="center"/>
    </xf>
    <xf numFmtId="43" fontId="7" fillId="0" borderId="165" xfId="4" applyNumberFormat="1" applyFont="1" applyFill="1" applyBorder="1" applyAlignment="1">
      <alignment horizontal="right" vertical="center"/>
    </xf>
    <xf numFmtId="43" fontId="7" fillId="0" borderId="47" xfId="4" applyNumberFormat="1" applyFont="1" applyFill="1" applyBorder="1" applyAlignment="1">
      <alignment horizontal="right" vertical="center"/>
    </xf>
    <xf numFmtId="43" fontId="27" fillId="0" borderId="164" xfId="1" applyFont="1" applyFill="1" applyBorder="1" applyAlignment="1">
      <alignment vertical="center"/>
    </xf>
    <xf numFmtId="0" fontId="34" fillId="2" borderId="24" xfId="0" applyFont="1" applyFill="1" applyBorder="1" applyAlignment="1">
      <alignment vertical="top"/>
    </xf>
    <xf numFmtId="0" fontId="34" fillId="0" borderId="24" xfId="0" applyFont="1" applyFill="1" applyBorder="1" applyAlignment="1">
      <alignment vertical="top"/>
    </xf>
    <xf numFmtId="0" fontId="17" fillId="2" borderId="5" xfId="0" applyFont="1" applyFill="1" applyBorder="1" applyAlignment="1">
      <alignment horizontal="center" vertical="top"/>
    </xf>
    <xf numFmtId="0" fontId="17" fillId="2" borderId="0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top"/>
    </xf>
    <xf numFmtId="0" fontId="17" fillId="2" borderId="24" xfId="0" applyFont="1" applyFill="1" applyBorder="1" applyAlignment="1">
      <alignment horizontal="center" vertical="top"/>
    </xf>
    <xf numFmtId="3" fontId="7" fillId="0" borderId="0" xfId="0" applyNumberFormat="1" applyFont="1" applyFill="1" applyBorder="1" applyAlignment="1">
      <alignment vertical="top"/>
    </xf>
    <xf numFmtId="0" fontId="30" fillId="8" borderId="5" xfId="0" applyFont="1" applyFill="1" applyBorder="1" applyAlignment="1">
      <alignment vertical="top"/>
    </xf>
    <xf numFmtId="3" fontId="27" fillId="50" borderId="18" xfId="4" applyNumberFormat="1" applyFont="1" applyFill="1" applyBorder="1" applyAlignment="1">
      <alignment horizontal="right" vertical="center"/>
    </xf>
    <xf numFmtId="3" fontId="27" fillId="21" borderId="44" xfId="4" applyNumberFormat="1" applyFont="1" applyFill="1" applyBorder="1" applyAlignment="1">
      <alignment horizontal="right" vertical="center"/>
    </xf>
    <xf numFmtId="3" fontId="18" fillId="8" borderId="64" xfId="4" applyNumberFormat="1" applyFont="1" applyFill="1" applyBorder="1" applyAlignment="1">
      <alignment vertical="top" wrapText="1"/>
    </xf>
    <xf numFmtId="3" fontId="18" fillId="8" borderId="65" xfId="4" applyNumberFormat="1" applyFont="1" applyFill="1" applyBorder="1" applyAlignment="1">
      <alignment vertical="top" wrapText="1"/>
    </xf>
    <xf numFmtId="3" fontId="27" fillId="21" borderId="41" xfId="4" applyNumberFormat="1" applyFont="1" applyFill="1" applyBorder="1" applyAlignment="1">
      <alignment horizontal="right" vertical="center"/>
    </xf>
    <xf numFmtId="0" fontId="25" fillId="6" borderId="21" xfId="4" applyFont="1" applyFill="1" applyBorder="1" applyAlignment="1">
      <alignment horizontal="left"/>
    </xf>
    <xf numFmtId="0" fontId="25" fillId="6" borderId="9" xfId="4" applyFont="1" applyFill="1" applyBorder="1" applyAlignment="1">
      <alignment horizontal="left"/>
    </xf>
    <xf numFmtId="3" fontId="25" fillId="6" borderId="8" xfId="0" applyNumberFormat="1" applyFont="1" applyFill="1" applyBorder="1" applyAlignment="1"/>
    <xf numFmtId="3" fontId="25" fillId="6" borderId="35" xfId="0" applyNumberFormat="1" applyFont="1" applyFill="1" applyBorder="1" applyAlignment="1"/>
    <xf numFmtId="3" fontId="25" fillId="22" borderId="46" xfId="0" applyNumberFormat="1" applyFont="1" applyFill="1" applyBorder="1" applyAlignment="1"/>
    <xf numFmtId="0" fontId="27" fillId="8" borderId="36" xfId="4" applyFont="1" applyFill="1" applyBorder="1" applyAlignment="1"/>
    <xf numFmtId="0" fontId="25" fillId="8" borderId="9" xfId="0" applyFont="1" applyFill="1" applyBorder="1" applyAlignment="1">
      <alignment wrapText="1"/>
    </xf>
    <xf numFmtId="3" fontId="25" fillId="8" borderId="35" xfId="0" applyNumberFormat="1" applyFont="1" applyFill="1" applyBorder="1" applyAlignment="1"/>
    <xf numFmtId="3" fontId="25" fillId="23" borderId="46" xfId="0" applyNumberFormat="1" applyFont="1" applyFill="1" applyBorder="1" applyAlignment="1"/>
    <xf numFmtId="0" fontId="31" fillId="8" borderId="21" xfId="0" applyFont="1" applyFill="1" applyBorder="1" applyAlignment="1">
      <alignment vertical="center"/>
    </xf>
    <xf numFmtId="3" fontId="31" fillId="8" borderId="35" xfId="0" applyNumberFormat="1" applyFont="1" applyFill="1" applyBorder="1" applyAlignment="1"/>
    <xf numFmtId="0" fontId="31" fillId="8" borderId="9" xfId="0" applyFont="1" applyFill="1" applyBorder="1" applyAlignment="1">
      <alignment vertical="center"/>
    </xf>
    <xf numFmtId="3" fontId="31" fillId="8" borderId="163" xfId="0" applyNumberFormat="1" applyFont="1" applyFill="1" applyBorder="1" applyAlignment="1">
      <alignment vertical="center"/>
    </xf>
    <xf numFmtId="3" fontId="31" fillId="25" borderId="166" xfId="0" applyNumberFormat="1" applyFont="1" applyFill="1" applyBorder="1" applyAlignment="1">
      <alignment horizontal="center" vertical="top"/>
    </xf>
    <xf numFmtId="3" fontId="31" fillId="8" borderId="35" xfId="0" applyNumberFormat="1" applyFont="1" applyFill="1" applyBorder="1" applyAlignment="1">
      <alignment vertical="center"/>
    </xf>
    <xf numFmtId="3" fontId="31" fillId="23" borderId="166" xfId="0" applyNumberFormat="1" applyFont="1" applyFill="1" applyBorder="1" applyAlignment="1">
      <alignment vertical="top"/>
    </xf>
    <xf numFmtId="0" fontId="57" fillId="8" borderId="65" xfId="0" applyFont="1" applyFill="1" applyBorder="1" applyAlignment="1">
      <alignment horizontal="center" vertical="top" wrapText="1"/>
    </xf>
    <xf numFmtId="0" fontId="31" fillId="8" borderId="128" xfId="0" applyFont="1" applyFill="1" applyBorder="1" applyAlignment="1">
      <alignment vertical="center" wrapText="1"/>
    </xf>
    <xf numFmtId="3" fontId="31" fillId="23" borderId="166" xfId="0" applyNumberFormat="1" applyFont="1" applyFill="1" applyBorder="1" applyAlignment="1">
      <alignment vertical="center"/>
    </xf>
    <xf numFmtId="0" fontId="57" fillId="8" borderId="65" xfId="0" applyFont="1" applyFill="1" applyBorder="1" applyAlignment="1">
      <alignment horizontal="center" vertical="center" wrapText="1"/>
    </xf>
    <xf numFmtId="3" fontId="7" fillId="23" borderId="166" xfId="0" applyNumberFormat="1" applyFont="1" applyFill="1" applyBorder="1" applyAlignment="1">
      <alignment vertical="center"/>
    </xf>
    <xf numFmtId="3" fontId="18" fillId="0" borderId="0" xfId="0" applyNumberFormat="1" applyFont="1" applyFill="1" applyBorder="1" applyAlignment="1">
      <alignment vertical="center"/>
    </xf>
    <xf numFmtId="0" fontId="25" fillId="8" borderId="9" xfId="0" applyFont="1" applyFill="1" applyBorder="1" applyAlignment="1">
      <alignment vertical="center" wrapText="1"/>
    </xf>
    <xf numFmtId="3" fontId="25" fillId="8" borderId="35" xfId="0" applyNumberFormat="1" applyFont="1" applyFill="1" applyBorder="1" applyAlignment="1">
      <alignment vertical="center"/>
    </xf>
    <xf numFmtId="0" fontId="31" fillId="8" borderId="138" xfId="4" applyFont="1" applyFill="1" applyBorder="1" applyAlignment="1">
      <alignment vertical="top" wrapText="1"/>
    </xf>
    <xf numFmtId="0" fontId="31" fillId="8" borderId="168" xfId="0" applyFont="1" applyFill="1" applyBorder="1" applyAlignment="1">
      <alignment vertical="top" wrapText="1"/>
    </xf>
    <xf numFmtId="3" fontId="31" fillId="8" borderId="131" xfId="0" applyNumberFormat="1" applyFont="1" applyFill="1" applyBorder="1" applyAlignment="1">
      <alignment vertical="top"/>
    </xf>
    <xf numFmtId="0" fontId="18" fillId="8" borderId="65" xfId="0" applyFont="1" applyFill="1" applyBorder="1" applyAlignment="1">
      <alignment horizontal="center" vertical="top" wrapText="1"/>
    </xf>
    <xf numFmtId="0" fontId="18" fillId="8" borderId="65" xfId="0" applyFont="1" applyFill="1" applyBorder="1" applyAlignment="1">
      <alignment horizontal="center" vertical="center" wrapText="1"/>
    </xf>
    <xf numFmtId="0" fontId="31" fillId="8" borderId="27" xfId="0" applyFont="1" applyFill="1" applyBorder="1" applyAlignment="1">
      <alignment vertical="top" wrapText="1"/>
    </xf>
    <xf numFmtId="3" fontId="25" fillId="8" borderId="3" xfId="0" applyNumberFormat="1" applyFont="1" applyFill="1" applyBorder="1" applyAlignment="1">
      <alignment vertical="top"/>
    </xf>
    <xf numFmtId="3" fontId="25" fillId="8" borderId="4" xfId="0" applyNumberFormat="1" applyFont="1" applyFill="1" applyBorder="1" applyAlignment="1">
      <alignment vertical="top"/>
    </xf>
    <xf numFmtId="3" fontId="25" fillId="23" borderId="42" xfId="0" applyNumberFormat="1" applyFont="1" applyFill="1" applyBorder="1" applyAlignment="1">
      <alignment vertical="top"/>
    </xf>
    <xf numFmtId="43" fontId="25" fillId="6" borderId="163" xfId="1" applyFont="1" applyFill="1" applyBorder="1" applyAlignment="1"/>
    <xf numFmtId="3" fontId="25" fillId="22" borderId="166" xfId="0" applyNumberFormat="1" applyFont="1" applyFill="1" applyBorder="1" applyAlignment="1"/>
    <xf numFmtId="0" fontId="7" fillId="0" borderId="21" xfId="0" applyFont="1" applyFill="1" applyBorder="1" applyAlignment="1">
      <alignment vertical="top"/>
    </xf>
    <xf numFmtId="3" fontId="31" fillId="25" borderId="166" xfId="0" applyNumberFormat="1" applyFont="1" applyFill="1" applyBorder="1" applyAlignment="1">
      <alignment vertical="top"/>
    </xf>
    <xf numFmtId="3" fontId="31" fillId="0" borderId="132" xfId="4" applyNumberFormat="1" applyFont="1" applyFill="1" applyBorder="1" applyAlignment="1"/>
    <xf numFmtId="3" fontId="27" fillId="2" borderId="163" xfId="0" applyNumberFormat="1" applyFont="1" applyFill="1" applyBorder="1" applyAlignment="1">
      <alignment vertical="center"/>
    </xf>
    <xf numFmtId="3" fontId="31" fillId="0" borderId="165" xfId="0" applyNumberFormat="1" applyFont="1" applyFill="1" applyBorder="1" applyAlignment="1">
      <alignment vertical="center"/>
    </xf>
    <xf numFmtId="43" fontId="27" fillId="2" borderId="163" xfId="1" applyFont="1" applyFill="1" applyBorder="1" applyAlignment="1">
      <alignment vertical="center"/>
    </xf>
    <xf numFmtId="3" fontId="27" fillId="2" borderId="174" xfId="0" applyNumberFormat="1" applyFont="1" applyFill="1" applyBorder="1" applyAlignment="1">
      <alignment vertical="center"/>
    </xf>
    <xf numFmtId="3" fontId="31" fillId="0" borderId="174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top"/>
    </xf>
    <xf numFmtId="0" fontId="38" fillId="0" borderId="0" xfId="0" applyFont="1" applyFill="1" applyBorder="1" applyAlignment="1">
      <alignment vertical="top"/>
    </xf>
    <xf numFmtId="3" fontId="22" fillId="0" borderId="0" xfId="0" applyNumberFormat="1" applyFont="1" applyBorder="1" applyAlignment="1">
      <alignment vertical="top"/>
    </xf>
    <xf numFmtId="0" fontId="0" fillId="0" borderId="163" xfId="0" applyFont="1" applyBorder="1" applyAlignment="1">
      <alignment horizontal="center" vertical="top"/>
    </xf>
    <xf numFmtId="0" fontId="37" fillId="0" borderId="0" xfId="0" applyFont="1" applyBorder="1" applyAlignment="1">
      <alignment horizontal="center" vertical="top"/>
    </xf>
    <xf numFmtId="3" fontId="37" fillId="0" borderId="0" xfId="0" applyNumberFormat="1" applyFont="1" applyBorder="1" applyAlignment="1">
      <alignment horizontal="center" vertical="top"/>
    </xf>
    <xf numFmtId="3" fontId="37" fillId="0" borderId="163" xfId="0" applyNumberFormat="1" applyFont="1" applyBorder="1" applyAlignment="1">
      <alignment vertical="top"/>
    </xf>
    <xf numFmtId="3" fontId="57" fillId="0" borderId="0" xfId="0" applyNumberFormat="1" applyFont="1" applyFill="1" applyBorder="1" applyAlignment="1">
      <alignment vertical="top"/>
    </xf>
    <xf numFmtId="0" fontId="17" fillId="0" borderId="0" xfId="0" applyFont="1" applyFill="1" applyBorder="1" applyAlignment="1">
      <alignment vertical="top"/>
    </xf>
    <xf numFmtId="3" fontId="17" fillId="0" borderId="0" xfId="0" applyNumberFormat="1" applyFont="1" applyFill="1" applyBorder="1" applyAlignment="1">
      <alignment vertical="top"/>
    </xf>
    <xf numFmtId="0" fontId="24" fillId="0" borderId="0" xfId="0" applyFont="1" applyFill="1" applyBorder="1" applyAlignment="1">
      <alignment vertical="top"/>
    </xf>
    <xf numFmtId="0" fontId="24" fillId="2" borderId="2" xfId="0" applyFont="1" applyFill="1" applyBorder="1" applyAlignment="1">
      <alignment horizontal="center" vertical="center" wrapText="1"/>
    </xf>
    <xf numFmtId="3" fontId="25" fillId="8" borderId="15" xfId="0" applyNumberFormat="1" applyFont="1" applyFill="1" applyBorder="1" applyAlignment="1">
      <alignment vertical="top"/>
    </xf>
    <xf numFmtId="0" fontId="25" fillId="32" borderId="35" xfId="4" applyFont="1" applyFill="1" applyBorder="1" applyAlignment="1">
      <alignment horizontal="center" vertical="center" wrapText="1"/>
    </xf>
    <xf numFmtId="3" fontId="31" fillId="8" borderId="17" xfId="0" applyNumberFormat="1" applyFont="1" applyFill="1" applyBorder="1" applyAlignment="1">
      <alignment vertical="top"/>
    </xf>
    <xf numFmtId="4" fontId="0" fillId="0" borderId="132" xfId="0" applyNumberFormat="1" applyFont="1" applyBorder="1"/>
    <xf numFmtId="3" fontId="13" fillId="0" borderId="0" xfId="0" applyNumberFormat="1" applyFont="1" applyFill="1" applyAlignment="1">
      <alignment horizontal="left"/>
    </xf>
    <xf numFmtId="0" fontId="66" fillId="6" borderId="168" xfId="4" applyFont="1" applyFill="1" applyBorder="1" applyAlignment="1">
      <alignment horizontal="left"/>
    </xf>
    <xf numFmtId="3" fontId="62" fillId="6" borderId="179" xfId="0" applyNumberFormat="1" applyFont="1" applyFill="1" applyBorder="1" applyAlignment="1">
      <alignment wrapText="1"/>
    </xf>
    <xf numFmtId="3" fontId="65" fillId="8" borderId="164" xfId="0" applyNumberFormat="1" applyFont="1" applyFill="1" applyBorder="1" applyAlignment="1">
      <alignment vertical="center" wrapText="1"/>
    </xf>
    <xf numFmtId="3" fontId="8" fillId="0" borderId="179" xfId="0" applyNumberFormat="1" applyFont="1" applyFill="1" applyBorder="1" applyAlignment="1">
      <alignment vertical="center" wrapText="1"/>
    </xf>
    <xf numFmtId="3" fontId="65" fillId="8" borderId="179" xfId="0" applyNumberFormat="1" applyFont="1" applyFill="1" applyBorder="1" applyAlignment="1">
      <alignment vertical="center" wrapText="1"/>
    </xf>
    <xf numFmtId="0" fontId="7" fillId="0" borderId="168" xfId="0" applyFont="1" applyFill="1" applyBorder="1" applyAlignment="1">
      <alignment vertical="center" wrapText="1"/>
    </xf>
    <xf numFmtId="3" fontId="8" fillId="0" borderId="164" xfId="0" applyNumberFormat="1" applyFont="1" applyFill="1" applyBorder="1" applyAlignment="1">
      <alignment vertical="center" wrapText="1"/>
    </xf>
    <xf numFmtId="3" fontId="8" fillId="0" borderId="23" xfId="0" applyNumberFormat="1" applyFont="1" applyFill="1" applyBorder="1" applyAlignment="1">
      <alignment vertical="center" wrapText="1"/>
    </xf>
    <xf numFmtId="3" fontId="8" fillId="0" borderId="140" xfId="0" applyNumberFormat="1" applyFont="1" applyFill="1" applyBorder="1" applyAlignment="1">
      <alignment vertical="center" wrapText="1"/>
    </xf>
    <xf numFmtId="3" fontId="38" fillId="0" borderId="76" xfId="4" applyNumberFormat="1" applyFont="1" applyFill="1" applyBorder="1" applyAlignment="1">
      <alignment horizontal="right" vertical="center"/>
    </xf>
    <xf numFmtId="3" fontId="31" fillId="2" borderId="69" xfId="4" applyNumberFormat="1" applyFont="1" applyFill="1" applyBorder="1" applyAlignment="1">
      <alignment vertical="center"/>
    </xf>
    <xf numFmtId="3" fontId="34" fillId="2" borderId="51" xfId="0" applyNumberFormat="1" applyFont="1" applyFill="1" applyBorder="1" applyAlignment="1">
      <alignment vertical="top"/>
    </xf>
    <xf numFmtId="0" fontId="24" fillId="2" borderId="77" xfId="112" applyFont="1" applyFill="1" applyBorder="1" applyAlignment="1">
      <alignment horizontal="center" vertical="center" wrapText="1"/>
    </xf>
    <xf numFmtId="43" fontId="7" fillId="8" borderId="77" xfId="1" applyFont="1" applyFill="1" applyBorder="1" applyAlignment="1">
      <alignment vertical="center"/>
    </xf>
    <xf numFmtId="0" fontId="21" fillId="2" borderId="35" xfId="0" quotePrefix="1" applyFont="1" applyFill="1" applyBorder="1" applyAlignment="1">
      <alignment horizontal="center" vertical="top"/>
    </xf>
    <xf numFmtId="3" fontId="31" fillId="0" borderId="180" xfId="4" applyNumberFormat="1" applyFont="1" applyFill="1" applyBorder="1" applyAlignment="1">
      <alignment vertical="center"/>
    </xf>
    <xf numFmtId="3" fontId="6" fillId="6" borderId="183" xfId="0" applyNumberFormat="1" applyFont="1" applyFill="1" applyBorder="1"/>
    <xf numFmtId="3" fontId="6" fillId="6" borderId="185" xfId="0" applyNumberFormat="1" applyFont="1" applyFill="1" applyBorder="1"/>
    <xf numFmtId="3" fontId="6" fillId="6" borderId="124" xfId="0" applyNumberFormat="1" applyFont="1" applyFill="1" applyBorder="1"/>
    <xf numFmtId="0" fontId="24" fillId="6" borderId="183" xfId="4" applyFont="1" applyFill="1" applyBorder="1" applyAlignment="1">
      <alignment horizontal="left" vertical="center"/>
    </xf>
    <xf numFmtId="3" fontId="24" fillId="6" borderId="183" xfId="4" applyNumberFormat="1" applyFont="1" applyFill="1" applyBorder="1" applyAlignment="1">
      <alignment horizontal="right" vertical="center"/>
    </xf>
    <xf numFmtId="3" fontId="25" fillId="6" borderId="183" xfId="4" applyNumberFormat="1" applyFont="1" applyFill="1" applyBorder="1" applyAlignment="1">
      <alignment horizontal="right" vertical="center"/>
    </xf>
    <xf numFmtId="3" fontId="25" fillId="22" borderId="183" xfId="4" applyNumberFormat="1" applyFont="1" applyFill="1" applyBorder="1" applyAlignment="1">
      <alignment horizontal="right" vertical="center"/>
    </xf>
    <xf numFmtId="3" fontId="29" fillId="2" borderId="183" xfId="4" applyNumberFormat="1" applyFont="1" applyFill="1" applyBorder="1" applyAlignment="1">
      <alignment vertical="top" wrapText="1"/>
    </xf>
    <xf numFmtId="3" fontId="27" fillId="0" borderId="183" xfId="4" applyNumberFormat="1" applyFont="1" applyFill="1" applyBorder="1" applyAlignment="1">
      <alignment horizontal="right" vertical="center"/>
    </xf>
    <xf numFmtId="3" fontId="27" fillId="23" borderId="183" xfId="4" applyNumberFormat="1" applyFont="1" applyFill="1" applyBorder="1" applyAlignment="1">
      <alignment horizontal="right" vertical="center"/>
    </xf>
    <xf numFmtId="0" fontId="7" fillId="0" borderId="183" xfId="4" applyFont="1" applyFill="1" applyBorder="1" applyAlignment="1">
      <alignment vertical="top"/>
    </xf>
    <xf numFmtId="3" fontId="31" fillId="0" borderId="182" xfId="4" applyNumberFormat="1" applyFont="1" applyFill="1" applyBorder="1" applyAlignment="1">
      <alignment vertical="center"/>
    </xf>
    <xf numFmtId="3" fontId="31" fillId="0" borderId="183" xfId="4" applyNumberFormat="1" applyFont="1" applyFill="1" applyBorder="1" applyAlignment="1">
      <alignment horizontal="right" vertical="center"/>
    </xf>
    <xf numFmtId="3" fontId="7" fillId="0" borderId="183" xfId="4" applyNumberFormat="1" applyFont="1" applyFill="1" applyBorder="1" applyAlignment="1">
      <alignment horizontal="right" vertical="center"/>
    </xf>
    <xf numFmtId="3" fontId="7" fillId="25" borderId="183" xfId="4" applyNumberFormat="1" applyFont="1" applyFill="1" applyBorder="1" applyAlignment="1">
      <alignment horizontal="right" vertical="center"/>
    </xf>
    <xf numFmtId="3" fontId="32" fillId="0" borderId="183" xfId="6" applyNumberFormat="1" applyFont="1" applyFill="1" applyBorder="1" applyAlignment="1">
      <alignment vertical="center"/>
    </xf>
    <xf numFmtId="3" fontId="33" fillId="0" borderId="183" xfId="6" applyNumberFormat="1" applyFont="1" applyFill="1" applyBorder="1" applyAlignment="1">
      <alignment vertical="center"/>
    </xf>
    <xf numFmtId="3" fontId="33" fillId="23" borderId="183" xfId="6" applyNumberFormat="1" applyFont="1" applyFill="1" applyBorder="1" applyAlignment="1">
      <alignment vertical="center"/>
    </xf>
    <xf numFmtId="0" fontId="25" fillId="6" borderId="183" xfId="4" applyFont="1" applyFill="1" applyBorder="1" applyAlignment="1">
      <alignment horizontal="left" vertical="center"/>
    </xf>
    <xf numFmtId="3" fontId="24" fillId="6" borderId="183" xfId="4" applyNumberFormat="1" applyFont="1" applyFill="1" applyBorder="1" applyAlignment="1"/>
    <xf numFmtId="0" fontId="31" fillId="6" borderId="181" xfId="0" applyFont="1" applyFill="1" applyBorder="1" applyAlignment="1">
      <alignment vertical="top"/>
    </xf>
    <xf numFmtId="3" fontId="27" fillId="2" borderId="188" xfId="0" applyNumberFormat="1" applyFont="1" applyFill="1" applyBorder="1" applyAlignment="1">
      <alignment vertical="top"/>
    </xf>
    <xf numFmtId="3" fontId="25" fillId="25" borderId="189" xfId="0" applyNumberFormat="1" applyFont="1" applyFill="1" applyBorder="1" applyAlignment="1">
      <alignment vertical="top"/>
    </xf>
    <xf numFmtId="3" fontId="28" fillId="2" borderId="188" xfId="0" applyNumberFormat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vertical="top"/>
    </xf>
    <xf numFmtId="3" fontId="31" fillId="25" borderId="189" xfId="0" applyNumberFormat="1" applyFont="1" applyFill="1" applyBorder="1" applyAlignment="1">
      <alignment vertical="top"/>
    </xf>
    <xf numFmtId="3" fontId="27" fillId="0" borderId="188" xfId="0" applyNumberFormat="1" applyFont="1" applyFill="1" applyBorder="1" applyAlignment="1">
      <alignment vertical="top"/>
    </xf>
    <xf numFmtId="43" fontId="27" fillId="0" borderId="188" xfId="1" applyFont="1" applyFill="1" applyBorder="1" applyAlignment="1">
      <alignment vertical="top"/>
    </xf>
    <xf numFmtId="3" fontId="31" fillId="0" borderId="188" xfId="0" applyNumberFormat="1" applyFont="1" applyFill="1" applyBorder="1" applyAlignment="1">
      <alignment horizontal="right" vertical="center"/>
    </xf>
    <xf numFmtId="43" fontId="31" fillId="0" borderId="188" xfId="1" applyFont="1" applyFill="1" applyBorder="1" applyAlignment="1">
      <alignment horizontal="right" vertical="center"/>
    </xf>
    <xf numFmtId="0" fontId="7" fillId="6" borderId="190" xfId="0" applyFont="1" applyFill="1" applyBorder="1" applyAlignment="1">
      <alignment horizontal="left" vertical="center" wrapText="1"/>
    </xf>
    <xf numFmtId="3" fontId="25" fillId="6" borderId="188" xfId="0" applyNumberFormat="1" applyFont="1" applyFill="1" applyBorder="1" applyAlignment="1">
      <alignment vertical="top"/>
    </xf>
    <xf numFmtId="3" fontId="27" fillId="2" borderId="191" xfId="4" applyNumberFormat="1" applyFont="1" applyFill="1" applyBorder="1" applyAlignment="1">
      <alignment vertical="center" wrapText="1"/>
    </xf>
    <xf numFmtId="3" fontId="31" fillId="0" borderId="189" xfId="0" applyNumberFormat="1" applyFont="1" applyFill="1" applyBorder="1" applyAlignment="1">
      <alignment vertical="top"/>
    </xf>
    <xf numFmtId="0" fontId="27" fillId="2" borderId="192" xfId="4" applyFont="1" applyFill="1" applyBorder="1" applyAlignment="1">
      <alignment vertical="top"/>
    </xf>
    <xf numFmtId="3" fontId="28" fillId="2" borderId="140" xfId="0" applyNumberFormat="1" applyFont="1" applyFill="1" applyBorder="1" applyAlignment="1">
      <alignment vertical="top"/>
    </xf>
    <xf numFmtId="0" fontId="31" fillId="6" borderId="190" xfId="0" applyFont="1" applyFill="1" applyBorder="1" applyAlignment="1">
      <alignment vertical="top"/>
    </xf>
    <xf numFmtId="3" fontId="25" fillId="6" borderId="188" xfId="0" applyNumberFormat="1" applyFont="1" applyFill="1" applyBorder="1" applyAlignment="1">
      <alignment vertical="center"/>
    </xf>
    <xf numFmtId="3" fontId="25" fillId="22" borderId="189" xfId="0" applyNumberFormat="1" applyFont="1" applyFill="1" applyBorder="1" applyAlignment="1">
      <alignment vertical="center"/>
    </xf>
    <xf numFmtId="3" fontId="27" fillId="32" borderId="188" xfId="0" applyNumberFormat="1" applyFont="1" applyFill="1" applyBorder="1" applyAlignment="1">
      <alignment vertical="center"/>
    </xf>
    <xf numFmtId="3" fontId="27" fillId="25" borderId="189" xfId="0" applyNumberFormat="1" applyFont="1" applyFill="1" applyBorder="1" applyAlignment="1">
      <alignment vertical="center"/>
    </xf>
    <xf numFmtId="3" fontId="31" fillId="2" borderId="188" xfId="0" applyNumberFormat="1" applyFont="1" applyFill="1" applyBorder="1" applyAlignment="1">
      <alignment vertical="top"/>
    </xf>
    <xf numFmtId="3" fontId="25" fillId="32" borderId="188" xfId="0" applyNumberFormat="1" applyFont="1" applyFill="1" applyBorder="1" applyAlignment="1">
      <alignment vertical="top"/>
    </xf>
    <xf numFmtId="3" fontId="27" fillId="25" borderId="189" xfId="0" applyNumberFormat="1" applyFont="1" applyFill="1" applyBorder="1" applyAlignment="1">
      <alignment vertical="top"/>
    </xf>
    <xf numFmtId="3" fontId="28" fillId="52" borderId="188" xfId="0" applyNumberFormat="1" applyFont="1" applyFill="1" applyBorder="1" applyAlignment="1">
      <alignment vertical="top"/>
    </xf>
    <xf numFmtId="3" fontId="28" fillId="53" borderId="188" xfId="0" applyNumberFormat="1" applyFont="1" applyFill="1" applyBorder="1" applyAlignment="1">
      <alignment vertical="top"/>
    </xf>
    <xf numFmtId="3" fontId="31" fillId="0" borderId="188" xfId="4" applyNumberFormat="1" applyFont="1" applyFill="1" applyBorder="1" applyAlignment="1">
      <alignment vertical="center"/>
    </xf>
    <xf numFmtId="3" fontId="28" fillId="54" borderId="188" xfId="0" applyNumberFormat="1" applyFont="1" applyFill="1" applyBorder="1" applyAlignment="1">
      <alignment vertical="top"/>
    </xf>
    <xf numFmtId="3" fontId="28" fillId="50" borderId="188" xfId="0" applyNumberFormat="1" applyFont="1" applyFill="1" applyBorder="1" applyAlignment="1">
      <alignment vertical="top"/>
    </xf>
    <xf numFmtId="43" fontId="28" fillId="25" borderId="189" xfId="1" applyFont="1" applyFill="1" applyBorder="1" applyAlignment="1">
      <alignment vertical="center"/>
    </xf>
    <xf numFmtId="3" fontId="27" fillId="0" borderId="189" xfId="0" applyNumberFormat="1" applyFont="1" applyFill="1" applyBorder="1" applyAlignment="1">
      <alignment vertical="top"/>
    </xf>
    <xf numFmtId="3" fontId="31" fillId="0" borderId="189" xfId="4" applyNumberFormat="1" applyFont="1" applyFill="1" applyBorder="1" applyAlignment="1">
      <alignment vertical="center"/>
    </xf>
    <xf numFmtId="3" fontId="31" fillId="23" borderId="189" xfId="0" applyNumberFormat="1" applyFont="1" applyFill="1" applyBorder="1" applyAlignment="1">
      <alignment vertical="center"/>
    </xf>
    <xf numFmtId="0" fontId="28" fillId="53" borderId="190" xfId="0" applyFont="1" applyFill="1" applyBorder="1" applyAlignment="1">
      <alignment vertical="top"/>
    </xf>
    <xf numFmtId="0" fontId="28" fillId="51" borderId="187" xfId="0" applyFont="1" applyFill="1" applyBorder="1" applyAlignment="1">
      <alignment vertical="center"/>
    </xf>
    <xf numFmtId="3" fontId="28" fillId="51" borderId="188" xfId="0" applyNumberFormat="1" applyFont="1" applyFill="1" applyBorder="1" applyAlignment="1">
      <alignment vertical="center"/>
    </xf>
    <xf numFmtId="0" fontId="28" fillId="54" borderId="190" xfId="0" applyFont="1" applyFill="1" applyBorder="1" applyAlignment="1">
      <alignment vertical="top"/>
    </xf>
    <xf numFmtId="0" fontId="28" fillId="54" borderId="187" xfId="0" applyFont="1" applyFill="1" applyBorder="1" applyAlignment="1">
      <alignment vertical="top"/>
    </xf>
    <xf numFmtId="0" fontId="31" fillId="50" borderId="187" xfId="0" applyFont="1" applyFill="1" applyBorder="1" applyAlignment="1">
      <alignment vertical="top"/>
    </xf>
    <xf numFmtId="0" fontId="31" fillId="50" borderId="190" xfId="0" applyFont="1" applyFill="1" applyBorder="1" applyAlignment="1">
      <alignment vertical="top"/>
    </xf>
    <xf numFmtId="3" fontId="25" fillId="6" borderId="189" xfId="0" applyNumberFormat="1" applyFont="1" applyFill="1" applyBorder="1" applyAlignment="1">
      <alignment vertical="center"/>
    </xf>
    <xf numFmtId="0" fontId="27" fillId="2" borderId="193" xfId="4" applyFont="1" applyFill="1" applyBorder="1" applyAlignment="1">
      <alignment vertical="top"/>
    </xf>
    <xf numFmtId="0" fontId="31" fillId="6" borderId="190" xfId="0" applyFont="1" applyFill="1" applyBorder="1" applyAlignment="1">
      <alignment vertical="center"/>
    </xf>
    <xf numFmtId="3" fontId="25" fillId="22" borderId="188" xfId="0" applyNumberFormat="1" applyFont="1" applyFill="1" applyBorder="1" applyAlignment="1">
      <alignment vertical="center"/>
    </xf>
    <xf numFmtId="0" fontId="31" fillId="0" borderId="194" xfId="0" applyFont="1" applyFill="1" applyBorder="1" applyAlignment="1">
      <alignment horizontal="left" vertical="center" wrapText="1"/>
    </xf>
    <xf numFmtId="3" fontId="25" fillId="6" borderId="189" xfId="0" applyNumberFormat="1" applyFont="1" applyFill="1" applyBorder="1" applyAlignment="1">
      <alignment vertical="top"/>
    </xf>
    <xf numFmtId="3" fontId="27" fillId="2" borderId="189" xfId="0" applyNumberFormat="1" applyFont="1" applyFill="1" applyBorder="1" applyAlignment="1">
      <alignment vertical="top"/>
    </xf>
    <xf numFmtId="0" fontId="25" fillId="6" borderId="193" xfId="4" applyFont="1" applyFill="1" applyBorder="1" applyAlignment="1">
      <alignment horizontal="left" vertical="center"/>
    </xf>
    <xf numFmtId="0" fontId="25" fillId="6" borderId="190" xfId="4" applyFont="1" applyFill="1" applyBorder="1" applyAlignment="1">
      <alignment horizontal="left" vertical="center"/>
    </xf>
    <xf numFmtId="3" fontId="24" fillId="6" borderId="188" xfId="4" applyNumberFormat="1" applyFont="1" applyFill="1" applyBorder="1" applyAlignment="1">
      <alignment vertical="center"/>
    </xf>
    <xf numFmtId="3" fontId="25" fillId="22" borderId="189" xfId="4" applyNumberFormat="1" applyFont="1" applyFill="1" applyBorder="1" applyAlignment="1">
      <alignment horizontal="right" vertical="center"/>
    </xf>
    <xf numFmtId="3" fontId="27" fillId="2" borderId="192" xfId="4" applyNumberFormat="1" applyFont="1" applyFill="1" applyBorder="1" applyAlignment="1">
      <alignment vertical="center" wrapText="1"/>
    </xf>
    <xf numFmtId="3" fontId="33" fillId="0" borderId="188" xfId="6" applyNumberFormat="1" applyFont="1" applyFill="1" applyBorder="1" applyAlignment="1">
      <alignment vertical="center"/>
    </xf>
    <xf numFmtId="3" fontId="27" fillId="25" borderId="188" xfId="4" applyNumberFormat="1" applyFont="1" applyFill="1" applyBorder="1" applyAlignment="1">
      <alignment horizontal="right" vertical="center"/>
    </xf>
    <xf numFmtId="0" fontId="7" fillId="0" borderId="192" xfId="4" applyFont="1" applyFill="1" applyBorder="1" applyAlignment="1">
      <alignment vertical="center"/>
    </xf>
    <xf numFmtId="3" fontId="7" fillId="0" borderId="180" xfId="4" applyNumberFormat="1" applyFont="1" applyFill="1" applyBorder="1" applyAlignment="1">
      <alignment horizontal="right" vertical="center"/>
    </xf>
    <xf numFmtId="3" fontId="27" fillId="2" borderId="193" xfId="4" applyNumberFormat="1" applyFont="1" applyFill="1" applyBorder="1" applyAlignment="1">
      <alignment vertical="center" wrapText="1"/>
    </xf>
    <xf numFmtId="3" fontId="27" fillId="0" borderId="180" xfId="4" applyNumberFormat="1" applyFont="1" applyFill="1" applyBorder="1" applyAlignment="1">
      <alignment horizontal="right" vertical="center"/>
    </xf>
    <xf numFmtId="3" fontId="33" fillId="0" borderId="189" xfId="6" applyNumberFormat="1" applyFont="1" applyFill="1" applyBorder="1" applyAlignment="1">
      <alignment vertical="center"/>
    </xf>
    <xf numFmtId="43" fontId="24" fillId="6" borderId="188" xfId="4" applyNumberFormat="1" applyFont="1" applyFill="1" applyBorder="1" applyAlignment="1">
      <alignment vertical="center"/>
    </xf>
    <xf numFmtId="43" fontId="33" fillId="0" borderId="188" xfId="6" applyNumberFormat="1" applyFont="1" applyFill="1" applyBorder="1" applyAlignment="1">
      <alignment vertical="center"/>
    </xf>
    <xf numFmtId="3" fontId="7" fillId="0" borderId="189" xfId="4" applyNumberFormat="1" applyFont="1" applyFill="1" applyBorder="1" applyAlignment="1">
      <alignment horizontal="right" vertical="center"/>
    </xf>
    <xf numFmtId="3" fontId="25" fillId="6" borderId="188" xfId="4" applyNumberFormat="1" applyFont="1" applyFill="1" applyBorder="1" applyAlignment="1">
      <alignment horizontal="right" vertical="center"/>
    </xf>
    <xf numFmtId="3" fontId="27" fillId="0" borderId="188" xfId="4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>
      <alignment horizontal="right" vertical="center"/>
    </xf>
    <xf numFmtId="3" fontId="7" fillId="0" borderId="188" xfId="4" applyNumberFormat="1" applyFont="1" applyFill="1" applyBorder="1" applyAlignment="1">
      <alignment horizontal="right" vertical="center"/>
    </xf>
    <xf numFmtId="3" fontId="31" fillId="25" borderId="188" xfId="4" applyNumberFormat="1" applyFont="1" applyFill="1" applyBorder="1" applyAlignment="1">
      <alignment horizontal="right" vertical="center"/>
    </xf>
    <xf numFmtId="0" fontId="7" fillId="0" borderId="186" xfId="4" applyFont="1" applyFill="1" applyBorder="1" applyAlignment="1">
      <alignment vertical="center"/>
    </xf>
    <xf numFmtId="3" fontId="29" fillId="2" borderId="193" xfId="4" applyNumberFormat="1" applyFont="1" applyFill="1" applyBorder="1" applyAlignment="1">
      <alignment vertical="center" wrapText="1"/>
    </xf>
    <xf numFmtId="3" fontId="32" fillId="0" borderId="189" xfId="6" applyNumberFormat="1" applyFont="1" applyFill="1" applyBorder="1" applyAlignment="1">
      <alignment vertical="center"/>
    </xf>
    <xf numFmtId="3" fontId="27" fillId="2" borderId="188" xfId="4" applyNumberFormat="1" applyFont="1" applyFill="1" applyBorder="1" applyAlignment="1">
      <alignment vertical="center"/>
    </xf>
    <xf numFmtId="3" fontId="36" fillId="6" borderId="30" xfId="0" applyNumberFormat="1" applyFont="1" applyFill="1" applyBorder="1"/>
    <xf numFmtId="0" fontId="25" fillId="6" borderId="181" xfId="4" applyFont="1" applyFill="1" applyBorder="1" applyAlignment="1">
      <alignment horizontal="left" vertical="center"/>
    </xf>
    <xf numFmtId="3" fontId="23" fillId="6" borderId="188" xfId="6" applyNumberFormat="1" applyFont="1" applyFill="1" applyBorder="1" applyAlignment="1">
      <alignment horizontal="right" vertical="center"/>
    </xf>
    <xf numFmtId="3" fontId="33" fillId="0" borderId="188" xfId="6" applyNumberFormat="1" applyFont="1" applyFill="1" applyBorder="1" applyAlignment="1">
      <alignment horizontal="right" vertical="center"/>
    </xf>
    <xf numFmtId="43" fontId="31" fillId="0" borderId="180" xfId="1" applyFont="1" applyFill="1" applyBorder="1" applyAlignment="1">
      <alignment horizontal="right" vertical="center"/>
    </xf>
    <xf numFmtId="43" fontId="33" fillId="0" borderId="188" xfId="1" applyFont="1" applyFill="1" applyBorder="1" applyAlignment="1">
      <alignment horizontal="right" vertical="center"/>
    </xf>
    <xf numFmtId="3" fontId="29" fillId="2" borderId="188" xfId="4" applyNumberFormat="1" applyFont="1" applyFill="1" applyBorder="1" applyAlignment="1">
      <alignment vertical="center"/>
    </xf>
    <xf numFmtId="43" fontId="23" fillId="6" borderId="188" xfId="1" applyFont="1" applyFill="1" applyBorder="1" applyAlignment="1">
      <alignment horizontal="right" vertical="center"/>
    </xf>
    <xf numFmtId="0" fontId="7" fillId="0" borderId="193" xfId="4" applyFont="1" applyFill="1" applyBorder="1" applyAlignment="1">
      <alignment vertical="center"/>
    </xf>
    <xf numFmtId="0" fontId="24" fillId="8" borderId="14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25" fillId="6" borderId="181" xfId="4" applyFont="1" applyFill="1" applyBorder="1" applyAlignment="1">
      <alignment horizontal="center" vertical="center"/>
    </xf>
    <xf numFmtId="43" fontId="7" fillId="0" borderId="185" xfId="1" applyFont="1" applyFill="1" applyBorder="1" applyAlignment="1">
      <alignment horizontal="right" vertical="center"/>
    </xf>
    <xf numFmtId="3" fontId="7" fillId="0" borderId="185" xfId="4" applyNumberFormat="1" applyFont="1" applyFill="1" applyBorder="1" applyAlignment="1">
      <alignment horizontal="right" vertical="center"/>
    </xf>
    <xf numFmtId="3" fontId="31" fillId="0" borderId="183" xfId="4" applyNumberFormat="1" applyFont="1" applyFill="1" applyBorder="1" applyAlignment="1">
      <alignment vertical="center"/>
    </xf>
    <xf numFmtId="43" fontId="32" fillId="0" borderId="183" xfId="1" applyFont="1" applyFill="1" applyBorder="1" applyAlignment="1">
      <alignment vertical="center"/>
    </xf>
    <xf numFmtId="0" fontId="27" fillId="2" borderId="193" xfId="4" applyFont="1" applyFill="1" applyBorder="1" applyAlignment="1">
      <alignment vertical="center"/>
    </xf>
    <xf numFmtId="3" fontId="24" fillId="6" borderId="188" xfId="4" applyNumberFormat="1" applyFont="1" applyFill="1" applyBorder="1" applyAlignment="1">
      <alignment horizontal="right" vertical="center"/>
    </xf>
    <xf numFmtId="3" fontId="29" fillId="0" borderId="188" xfId="4" applyNumberFormat="1" applyFont="1" applyFill="1" applyBorder="1" applyAlignment="1">
      <alignment horizontal="right" vertical="center"/>
    </xf>
    <xf numFmtId="3" fontId="29" fillId="25" borderId="188" xfId="4" applyNumberFormat="1" applyFont="1" applyFill="1" applyBorder="1" applyAlignment="1">
      <alignment horizontal="right" vertical="center"/>
    </xf>
    <xf numFmtId="43" fontId="7" fillId="0" borderId="188" xfId="1" applyFont="1" applyFill="1" applyBorder="1" applyAlignment="1">
      <alignment horizontal="right" vertical="center"/>
    </xf>
    <xf numFmtId="0" fontId="0" fillId="0" borderId="183" xfId="0" applyFont="1" applyBorder="1"/>
    <xf numFmtId="3" fontId="6" fillId="3" borderId="21" xfId="0" applyNumberFormat="1" applyFont="1" applyFill="1" applyBorder="1" applyAlignment="1">
      <alignment horizontal="center" vertical="center" wrapText="1"/>
    </xf>
    <xf numFmtId="43" fontId="6" fillId="3" borderId="21" xfId="1" applyFont="1" applyFill="1" applyBorder="1" applyAlignment="1">
      <alignment horizontal="center" vertical="center" wrapText="1"/>
    </xf>
    <xf numFmtId="3" fontId="31" fillId="25" borderId="124" xfId="0" applyNumberFormat="1" applyFont="1" applyFill="1" applyBorder="1" applyAlignment="1">
      <alignment vertical="top"/>
    </xf>
    <xf numFmtId="0" fontId="25" fillId="0" borderId="9" xfId="4" applyFont="1" applyBorder="1" applyAlignment="1">
      <alignment horizontal="center" vertical="center" wrapText="1"/>
    </xf>
    <xf numFmtId="0" fontId="21" fillId="26" borderId="35" xfId="0" quotePrefix="1" applyFont="1" applyFill="1" applyBorder="1" applyAlignment="1">
      <alignment horizontal="center" vertical="top"/>
    </xf>
    <xf numFmtId="0" fontId="21" fillId="2" borderId="46" xfId="0" quotePrefix="1" applyFont="1" applyFill="1" applyBorder="1" applyAlignment="1">
      <alignment horizontal="center" vertical="top"/>
    </xf>
    <xf numFmtId="43" fontId="8" fillId="0" borderId="30" xfId="1" applyFont="1" applyFill="1" applyBorder="1" applyAlignment="1">
      <alignment vertical="center" wrapText="1"/>
    </xf>
    <xf numFmtId="43" fontId="8" fillId="0" borderId="179" xfId="1" applyFont="1" applyFill="1" applyBorder="1" applyAlignment="1">
      <alignment vertical="center" wrapText="1"/>
    </xf>
    <xf numFmtId="3" fontId="65" fillId="17" borderId="68" xfId="0" applyNumberFormat="1" applyFont="1" applyFill="1" applyBorder="1"/>
    <xf numFmtId="3" fontId="65" fillId="17" borderId="35" xfId="0" applyNumberFormat="1" applyFont="1" applyFill="1" applyBorder="1"/>
    <xf numFmtId="3" fontId="8" fillId="8" borderId="124" xfId="0" applyNumberFormat="1" applyFont="1" applyFill="1" applyBorder="1"/>
    <xf numFmtId="0" fontId="24" fillId="8" borderId="16" xfId="4" applyFont="1" applyFill="1" applyBorder="1" applyAlignment="1">
      <alignment horizontal="center" vertical="center" wrapText="1"/>
    </xf>
    <xf numFmtId="3" fontId="25" fillId="6" borderId="189" xfId="4" applyNumberFormat="1" applyFont="1" applyFill="1" applyBorder="1" applyAlignment="1">
      <alignment horizontal="right" vertical="center"/>
    </xf>
    <xf numFmtId="3" fontId="24" fillId="22" borderId="189" xfId="4" applyNumberFormat="1" applyFont="1" applyFill="1" applyBorder="1" applyAlignment="1">
      <alignment horizontal="right" vertical="center"/>
    </xf>
    <xf numFmtId="3" fontId="25" fillId="6" borderId="189" xfId="4" applyNumberFormat="1" applyFont="1" applyFill="1" applyBorder="1" applyAlignment="1">
      <alignment vertical="center"/>
    </xf>
    <xf numFmtId="43" fontId="25" fillId="6" borderId="189" xfId="1" applyFont="1" applyFill="1" applyBorder="1" applyAlignment="1">
      <alignment vertical="center"/>
    </xf>
    <xf numFmtId="43" fontId="31" fillId="0" borderId="165" xfId="1" applyFont="1" applyFill="1" applyBorder="1" applyAlignment="1">
      <alignment horizontal="right" vertical="center"/>
    </xf>
    <xf numFmtId="43" fontId="33" fillId="0" borderId="189" xfId="1" applyFont="1" applyFill="1" applyBorder="1" applyAlignment="1">
      <alignment vertical="center"/>
    </xf>
    <xf numFmtId="3" fontId="24" fillId="6" borderId="189" xfId="4" applyNumberFormat="1" applyFont="1" applyFill="1" applyBorder="1" applyAlignment="1">
      <alignment vertical="center"/>
    </xf>
    <xf numFmtId="3" fontId="25" fillId="22" borderId="188" xfId="4" applyNumberFormat="1" applyFont="1" applyFill="1" applyBorder="1" applyAlignment="1">
      <alignment horizontal="right" vertical="center"/>
    </xf>
    <xf numFmtId="3" fontId="23" fillId="6" borderId="189" xfId="6" applyNumberFormat="1" applyFont="1" applyFill="1" applyBorder="1" applyAlignment="1">
      <alignment horizontal="right" vertical="center"/>
    </xf>
    <xf numFmtId="43" fontId="23" fillId="6" borderId="189" xfId="1" applyFont="1" applyFill="1" applyBorder="1" applyAlignment="1">
      <alignment horizontal="right" vertical="center"/>
    </xf>
    <xf numFmtId="3" fontId="32" fillId="0" borderId="188" xfId="6" applyNumberFormat="1" applyFont="1" applyFill="1" applyBorder="1" applyAlignment="1">
      <alignment vertical="center"/>
    </xf>
    <xf numFmtId="43" fontId="33" fillId="0" borderId="165" xfId="1" applyFont="1" applyFill="1" applyBorder="1" applyAlignment="1">
      <alignment horizontal="right" vertical="center"/>
    </xf>
    <xf numFmtId="43" fontId="31" fillId="0" borderId="124" xfId="1" applyFont="1" applyFill="1" applyBorder="1" applyAlignment="1">
      <alignment horizontal="right" vertical="center"/>
    </xf>
    <xf numFmtId="43" fontId="25" fillId="6" borderId="188" xfId="1" applyFont="1" applyFill="1" applyBorder="1" applyAlignment="1">
      <alignment vertical="top"/>
    </xf>
    <xf numFmtId="3" fontId="25" fillId="22" borderId="188" xfId="0" applyNumberFormat="1" applyFont="1" applyFill="1" applyBorder="1" applyAlignment="1">
      <alignment vertical="top"/>
    </xf>
    <xf numFmtId="3" fontId="27" fillId="2" borderId="196" xfId="4" applyNumberFormat="1" applyFont="1" applyFill="1" applyBorder="1" applyAlignment="1">
      <alignment vertical="center" wrapText="1"/>
    </xf>
    <xf numFmtId="43" fontId="27" fillId="25" borderId="189" xfId="1" applyFont="1" applyFill="1" applyBorder="1" applyAlignment="1">
      <alignment horizontal="center" vertical="top"/>
    </xf>
    <xf numFmtId="43" fontId="31" fillId="25" borderId="189" xfId="1" applyFont="1" applyFill="1" applyBorder="1" applyAlignment="1">
      <alignment horizontal="center" vertical="top"/>
    </xf>
    <xf numFmtId="0" fontId="23" fillId="0" borderId="181" xfId="0" applyFont="1" applyBorder="1" applyAlignment="1">
      <alignment horizontal="center" vertical="center" wrapText="1"/>
    </xf>
    <xf numFmtId="0" fontId="28" fillId="53" borderId="181" xfId="0" applyFont="1" applyFill="1" applyBorder="1" applyAlignment="1">
      <alignment vertical="top"/>
    </xf>
    <xf numFmtId="0" fontId="28" fillId="51" borderId="134" xfId="0" applyFont="1" applyFill="1" applyBorder="1" applyAlignment="1">
      <alignment vertical="center"/>
    </xf>
    <xf numFmtId="0" fontId="39" fillId="54" borderId="196" xfId="0" applyFont="1" applyFill="1" applyBorder="1"/>
    <xf numFmtId="0" fontId="28" fillId="54" borderId="181" xfId="0" applyFont="1" applyFill="1" applyBorder="1" applyAlignment="1">
      <alignment vertical="top"/>
    </xf>
    <xf numFmtId="0" fontId="31" fillId="50" borderId="134" xfId="0" applyFont="1" applyFill="1" applyBorder="1" applyAlignment="1">
      <alignment vertical="top"/>
    </xf>
    <xf numFmtId="0" fontId="31" fillId="50" borderId="181" xfId="0" applyFont="1" applyFill="1" applyBorder="1" applyAlignment="1">
      <alignment vertical="top"/>
    </xf>
    <xf numFmtId="3" fontId="27" fillId="0" borderId="189" xfId="0" applyNumberFormat="1" applyFont="1" applyFill="1" applyBorder="1" applyAlignment="1">
      <alignment vertical="center"/>
    </xf>
    <xf numFmtId="3" fontId="27" fillId="8" borderId="189" xfId="0" applyNumberFormat="1" applyFont="1" applyFill="1" applyBorder="1" applyAlignment="1">
      <alignment vertical="center"/>
    </xf>
    <xf numFmtId="3" fontId="27" fillId="23" borderId="189" xfId="0" applyNumberFormat="1" applyFont="1" applyFill="1" applyBorder="1" applyAlignment="1">
      <alignment vertical="center"/>
    </xf>
    <xf numFmtId="3" fontId="31" fillId="28" borderId="189" xfId="0" applyNumberFormat="1" applyFont="1" applyFill="1" applyBorder="1" applyAlignment="1">
      <alignment vertical="center"/>
    </xf>
    <xf numFmtId="3" fontId="7" fillId="23" borderId="189" xfId="0" applyNumberFormat="1" applyFont="1" applyFill="1" applyBorder="1" applyAlignment="1">
      <alignment vertical="center"/>
    </xf>
    <xf numFmtId="3" fontId="27" fillId="25" borderId="188" xfId="0" applyNumberFormat="1" applyFont="1" applyFill="1" applyBorder="1" applyAlignment="1">
      <alignment vertical="top"/>
    </xf>
    <xf numFmtId="3" fontId="27" fillId="2" borderId="189" xfId="0" applyNumberFormat="1" applyFont="1" applyFill="1" applyBorder="1" applyAlignment="1">
      <alignment vertical="center"/>
    </xf>
    <xf numFmtId="3" fontId="7" fillId="8" borderId="189" xfId="4" applyNumberFormat="1" applyFont="1" applyFill="1" applyBorder="1" applyAlignment="1">
      <alignment horizontal="right" vertical="center"/>
    </xf>
    <xf numFmtId="3" fontId="29" fillId="0" borderId="189" xfId="4" applyNumberFormat="1" applyFont="1" applyFill="1" applyBorder="1" applyAlignment="1">
      <alignment horizontal="right" vertical="center"/>
    </xf>
    <xf numFmtId="3" fontId="7" fillId="0" borderId="189" xfId="4" applyNumberFormat="1" applyFont="1" applyFill="1" applyBorder="1" applyAlignment="1">
      <alignment vertical="top"/>
    </xf>
    <xf numFmtId="3" fontId="7" fillId="25" borderId="189" xfId="4" applyNumberFormat="1" applyFont="1" applyFill="1" applyBorder="1" applyAlignment="1">
      <alignment vertical="center"/>
    </xf>
    <xf numFmtId="0" fontId="31" fillId="0" borderId="193" xfId="4" applyFont="1" applyFill="1" applyBorder="1" applyAlignment="1">
      <alignment vertical="center"/>
    </xf>
    <xf numFmtId="3" fontId="33" fillId="25" borderId="189" xfId="6" applyNumberFormat="1" applyFont="1" applyFill="1" applyBorder="1" applyAlignment="1">
      <alignment vertical="center"/>
    </xf>
    <xf numFmtId="3" fontId="63" fillId="0" borderId="180" xfId="6" applyNumberFormat="1" applyFont="1" applyFill="1" applyBorder="1" applyAlignment="1">
      <alignment vertical="center"/>
    </xf>
    <xf numFmtId="3" fontId="38" fillId="0" borderId="180" xfId="4" applyNumberFormat="1" applyFont="1" applyFill="1" applyBorder="1" applyAlignment="1">
      <alignment horizontal="right" vertical="center"/>
    </xf>
    <xf numFmtId="0" fontId="25" fillId="6" borderId="189" xfId="4" applyFont="1" applyFill="1" applyBorder="1" applyAlignment="1">
      <alignment horizontal="left" vertical="center"/>
    </xf>
    <xf numFmtId="3" fontId="25" fillId="22" borderId="189" xfId="0" applyNumberFormat="1" applyFont="1" applyFill="1" applyBorder="1" applyAlignment="1">
      <alignment vertical="top"/>
    </xf>
    <xf numFmtId="3" fontId="31" fillId="23" borderId="189" xfId="0" applyNumberFormat="1" applyFont="1" applyFill="1" applyBorder="1" applyAlignment="1">
      <alignment vertical="top"/>
    </xf>
    <xf numFmtId="3" fontId="31" fillId="0" borderId="189" xfId="0" applyNumberFormat="1" applyFont="1" applyFill="1" applyBorder="1" applyAlignment="1">
      <alignment vertical="center"/>
    </xf>
    <xf numFmtId="3" fontId="27" fillId="0" borderId="189" xfId="4" applyNumberFormat="1" applyFont="1" applyFill="1" applyBorder="1" applyAlignment="1">
      <alignment vertical="center" wrapText="1"/>
    </xf>
    <xf numFmtId="0" fontId="32" fillId="0" borderId="199" xfId="0" applyFont="1" applyBorder="1" applyAlignment="1">
      <alignment vertical="center"/>
    </xf>
    <xf numFmtId="3" fontId="31" fillId="0" borderId="200" xfId="4" applyNumberFormat="1" applyFont="1" applyFill="1" applyBorder="1" applyAlignment="1">
      <alignment vertical="center"/>
    </xf>
    <xf numFmtId="3" fontId="31" fillId="0" borderId="199" xfId="0" applyNumberFormat="1" applyFont="1" applyFill="1" applyBorder="1" applyAlignment="1">
      <alignment vertical="center"/>
    </xf>
    <xf numFmtId="2" fontId="17" fillId="0" borderId="0" xfId="0" applyNumberFormat="1" applyFont="1" applyBorder="1" applyAlignment="1">
      <alignment vertical="top"/>
    </xf>
    <xf numFmtId="2" fontId="18" fillId="0" borderId="0" xfId="0" applyNumberFormat="1" applyFont="1" applyBorder="1" applyAlignment="1">
      <alignment vertical="top"/>
    </xf>
    <xf numFmtId="2" fontId="11" fillId="0" borderId="0" xfId="0" applyNumberFormat="1" applyFont="1" applyFill="1" applyBorder="1" applyAlignment="1"/>
    <xf numFmtId="2" fontId="14" fillId="2" borderId="0" xfId="3" applyNumberFormat="1" applyFont="1" applyFill="1" applyBorder="1" applyAlignment="1">
      <alignment horizontal="right" vertical="center"/>
    </xf>
    <xf numFmtId="2" fontId="15" fillId="2" borderId="0" xfId="0" applyNumberFormat="1" applyFont="1" applyFill="1" applyBorder="1" applyAlignment="1">
      <alignment horizontal="right" vertical="center"/>
    </xf>
    <xf numFmtId="2" fontId="13" fillId="0" borderId="0" xfId="0" applyNumberFormat="1" applyFont="1" applyFill="1" applyBorder="1" applyAlignment="1">
      <alignment horizontal="left"/>
    </xf>
    <xf numFmtId="2" fontId="20" fillId="2" borderId="5" xfId="0" applyNumberFormat="1" applyFont="1" applyFill="1" applyBorder="1" applyAlignment="1">
      <alignment horizontal="center" vertical="top"/>
    </xf>
    <xf numFmtId="2" fontId="20" fillId="2" borderId="11" xfId="0" applyNumberFormat="1" applyFont="1" applyFill="1" applyBorder="1" applyAlignment="1">
      <alignment horizontal="center" vertical="top"/>
    </xf>
    <xf numFmtId="2" fontId="17" fillId="8" borderId="11" xfId="0" applyNumberFormat="1" applyFont="1" applyFill="1" applyBorder="1" applyAlignment="1">
      <alignment vertical="center"/>
    </xf>
    <xf numFmtId="2" fontId="27" fillId="50" borderId="36" xfId="4" applyNumberFormat="1" applyFont="1" applyFill="1" applyBorder="1" applyAlignment="1">
      <alignment horizontal="left" vertical="center"/>
    </xf>
    <xf numFmtId="2" fontId="27" fillId="50" borderId="20" xfId="4" applyNumberFormat="1" applyFont="1" applyFill="1" applyBorder="1" applyAlignment="1">
      <alignment horizontal="left" vertical="center"/>
    </xf>
    <xf numFmtId="2" fontId="27" fillId="21" borderId="68" xfId="4" applyNumberFormat="1" applyFont="1" applyFill="1" applyBorder="1" applyAlignment="1">
      <alignment horizontal="right" vertical="center"/>
    </xf>
    <xf numFmtId="2" fontId="7" fillId="28" borderId="65" xfId="0" applyNumberFormat="1" applyFont="1" applyFill="1" applyBorder="1" applyAlignment="1">
      <alignment horizontal="center" vertical="top" wrapText="1"/>
    </xf>
    <xf numFmtId="2" fontId="27" fillId="50" borderId="65" xfId="4" applyNumberFormat="1" applyFont="1" applyFill="1" applyBorder="1" applyAlignment="1">
      <alignment horizontal="left" vertical="center"/>
    </xf>
    <xf numFmtId="2" fontId="27" fillId="50" borderId="6" xfId="4" applyNumberFormat="1" applyFont="1" applyFill="1" applyBorder="1" applyAlignment="1">
      <alignment horizontal="left" vertical="center"/>
    </xf>
    <xf numFmtId="2" fontId="27" fillId="21" borderId="13" xfId="4" applyNumberFormat="1" applyFont="1" applyFill="1" applyBorder="1" applyAlignment="1">
      <alignment horizontal="right" vertical="center"/>
    </xf>
    <xf numFmtId="2" fontId="27" fillId="50" borderId="46" xfId="0" applyNumberFormat="1" applyFont="1" applyFill="1" applyBorder="1" applyAlignment="1">
      <alignment horizontal="left" vertical="top"/>
    </xf>
    <xf numFmtId="2" fontId="24" fillId="28" borderId="11" xfId="0" applyNumberFormat="1" applyFont="1" applyFill="1" applyBorder="1" applyAlignment="1">
      <alignment vertical="top"/>
    </xf>
    <xf numFmtId="2" fontId="24" fillId="6" borderId="19" xfId="4" applyNumberFormat="1" applyFont="1" applyFill="1" applyBorder="1" applyAlignment="1">
      <alignment horizontal="left" vertical="center"/>
    </xf>
    <xf numFmtId="2" fontId="24" fillId="6" borderId="16" xfId="4" applyNumberFormat="1" applyFont="1" applyFill="1" applyBorder="1" applyAlignment="1">
      <alignment horizontal="left" vertical="center"/>
    </xf>
    <xf numFmtId="2" fontId="29" fillId="8" borderId="36" xfId="4" applyNumberFormat="1" applyFont="1" applyFill="1" applyBorder="1" applyAlignment="1">
      <alignment vertical="center"/>
    </xf>
    <xf numFmtId="2" fontId="7" fillId="8" borderId="190" xfId="0" applyNumberFormat="1" applyFont="1" applyFill="1" applyBorder="1" applyAlignment="1">
      <alignment vertical="center" wrapText="1"/>
    </xf>
    <xf numFmtId="2" fontId="18" fillId="8" borderId="65" xfId="0" applyNumberFormat="1" applyFont="1" applyFill="1" applyBorder="1" applyAlignment="1">
      <alignment horizontal="center" vertical="center" wrapText="1"/>
    </xf>
    <xf numFmtId="2" fontId="17" fillId="28" borderId="11" xfId="0" applyNumberFormat="1" applyFont="1" applyFill="1" applyBorder="1" applyAlignment="1">
      <alignment vertical="top"/>
    </xf>
    <xf numFmtId="2" fontId="7" fillId="8" borderId="36" xfId="4" applyNumberFormat="1" applyFont="1" applyFill="1" applyBorder="1" applyAlignment="1">
      <alignment vertical="center"/>
    </xf>
    <xf numFmtId="2" fontId="7" fillId="28" borderId="8" xfId="0" applyNumberFormat="1" applyFont="1" applyFill="1" applyBorder="1" applyAlignment="1">
      <alignment vertical="center" wrapText="1"/>
    </xf>
    <xf numFmtId="2" fontId="29" fillId="8" borderId="128" xfId="4" applyNumberFormat="1" applyFont="1" applyFill="1" applyBorder="1" applyAlignment="1">
      <alignment vertical="center"/>
    </xf>
    <xf numFmtId="2" fontId="24" fillId="8" borderId="190" xfId="0" applyNumberFormat="1" applyFont="1" applyFill="1" applyBorder="1" applyAlignment="1">
      <alignment vertical="center"/>
    </xf>
    <xf numFmtId="2" fontId="17" fillId="8" borderId="11" xfId="0" applyNumberFormat="1" applyFont="1" applyFill="1" applyBorder="1" applyAlignment="1">
      <alignment vertical="top"/>
    </xf>
    <xf numFmtId="2" fontId="7" fillId="8" borderId="194" xfId="0" applyNumberFormat="1" applyFont="1" applyFill="1" applyBorder="1" applyAlignment="1">
      <alignment vertical="top" wrapText="1"/>
    </xf>
    <xf numFmtId="2" fontId="7" fillId="8" borderId="187" xfId="0" applyNumberFormat="1" applyFont="1" applyFill="1" applyBorder="1" applyAlignment="1">
      <alignment vertical="top" wrapText="1"/>
    </xf>
    <xf numFmtId="2" fontId="18" fillId="8" borderId="65" xfId="0" applyNumberFormat="1" applyFont="1" applyFill="1" applyBorder="1" applyAlignment="1">
      <alignment horizontal="center" vertical="top" wrapText="1"/>
    </xf>
    <xf numFmtId="2" fontId="24" fillId="6" borderId="128" xfId="4" applyNumberFormat="1" applyFont="1" applyFill="1" applyBorder="1" applyAlignment="1">
      <alignment horizontal="left" vertical="center"/>
    </xf>
    <xf numFmtId="2" fontId="7" fillId="6" borderId="190" xfId="0" applyNumberFormat="1" applyFont="1" applyFill="1" applyBorder="1" applyAlignment="1">
      <alignment vertical="center" wrapText="1"/>
    </xf>
    <xf numFmtId="2" fontId="7" fillId="28" borderId="65" xfId="0" applyNumberFormat="1" applyFont="1" applyFill="1" applyBorder="1" applyAlignment="1">
      <alignment horizontal="center" vertical="center" wrapText="1"/>
    </xf>
    <xf numFmtId="2" fontId="18" fillId="0" borderId="0" xfId="0" applyNumberFormat="1" applyFont="1" applyBorder="1" applyAlignment="1">
      <alignment vertical="center"/>
    </xf>
    <xf numFmtId="2" fontId="25" fillId="8" borderId="5" xfId="0" applyNumberFormat="1" applyFont="1" applyFill="1" applyBorder="1" applyAlignment="1">
      <alignment vertical="center" wrapText="1"/>
    </xf>
    <xf numFmtId="2" fontId="25" fillId="8" borderId="14" xfId="0" applyNumberFormat="1" applyFont="1" applyFill="1" applyBorder="1" applyAlignment="1">
      <alignment horizontal="center" vertical="center" wrapText="1"/>
    </xf>
    <xf numFmtId="2" fontId="7" fillId="23" borderId="15" xfId="0" applyNumberFormat="1" applyFont="1" applyFill="1" applyBorder="1" applyAlignment="1">
      <alignment vertical="center"/>
    </xf>
    <xf numFmtId="2" fontId="25" fillId="6" borderId="128" xfId="4" applyNumberFormat="1" applyFont="1" applyFill="1" applyBorder="1" applyAlignment="1">
      <alignment horizontal="left" vertical="center"/>
    </xf>
    <xf numFmtId="2" fontId="31" fillId="6" borderId="190" xfId="0" applyNumberFormat="1" applyFont="1" applyFill="1" applyBorder="1" applyAlignment="1">
      <alignment vertical="top"/>
    </xf>
    <xf numFmtId="2" fontId="27" fillId="2" borderId="128" xfId="4" applyNumberFormat="1" applyFont="1" applyFill="1" applyBorder="1" applyAlignment="1">
      <alignment vertical="center" wrapText="1"/>
    </xf>
    <xf numFmtId="2" fontId="31" fillId="0" borderId="21" xfId="0" applyNumberFormat="1" applyFont="1" applyFill="1" applyBorder="1" applyAlignment="1">
      <alignment vertical="top"/>
    </xf>
    <xf numFmtId="2" fontId="31" fillId="0" borderId="188" xfId="0" applyNumberFormat="1" applyFont="1" applyFill="1" applyBorder="1" applyAlignment="1">
      <alignment vertical="top"/>
    </xf>
    <xf numFmtId="2" fontId="27" fillId="2" borderId="128" xfId="4" applyNumberFormat="1" applyFont="1" applyFill="1" applyBorder="1" applyAlignment="1">
      <alignment vertical="top"/>
    </xf>
    <xf numFmtId="2" fontId="31" fillId="0" borderId="194" xfId="0" applyNumberFormat="1" applyFont="1" applyFill="1" applyBorder="1" applyAlignment="1">
      <alignment horizontal="left" vertical="center" wrapText="1"/>
    </xf>
    <xf numFmtId="2" fontId="7" fillId="6" borderId="190" xfId="0" applyNumberFormat="1" applyFont="1" applyFill="1" applyBorder="1" applyAlignment="1">
      <alignment horizontal="left" vertical="center" wrapText="1"/>
    </xf>
    <xf numFmtId="2" fontId="27" fillId="2" borderId="196" xfId="4" applyNumberFormat="1" applyFont="1" applyFill="1" applyBorder="1" applyAlignment="1">
      <alignment vertical="center" wrapText="1"/>
    </xf>
    <xf numFmtId="2" fontId="31" fillId="0" borderId="83" xfId="0" applyNumberFormat="1" applyFont="1" applyFill="1" applyBorder="1" applyAlignment="1">
      <alignment vertical="top"/>
    </xf>
    <xf numFmtId="2" fontId="31" fillId="0" borderId="189" xfId="0" applyNumberFormat="1" applyFont="1" applyFill="1" applyBorder="1" applyAlignment="1">
      <alignment vertical="top"/>
    </xf>
    <xf numFmtId="2" fontId="27" fillId="2" borderId="192" xfId="4" applyNumberFormat="1" applyFont="1" applyFill="1" applyBorder="1" applyAlignment="1">
      <alignment vertical="top"/>
    </xf>
    <xf numFmtId="2" fontId="31" fillId="0" borderId="75" xfId="0" applyNumberFormat="1" applyFont="1" applyFill="1" applyBorder="1" applyAlignment="1">
      <alignment horizontal="left" vertical="center" wrapText="1"/>
    </xf>
    <xf numFmtId="2" fontId="27" fillId="2" borderId="196" xfId="4" applyNumberFormat="1" applyFont="1" applyFill="1" applyBorder="1" applyAlignment="1">
      <alignment vertical="top"/>
    </xf>
    <xf numFmtId="2" fontId="31" fillId="0" borderId="201" xfId="0" applyNumberFormat="1" applyFont="1" applyFill="1" applyBorder="1" applyAlignment="1">
      <alignment horizontal="left" vertical="center" wrapText="1"/>
    </xf>
    <xf numFmtId="2" fontId="25" fillId="6" borderId="196" xfId="4" applyNumberFormat="1" applyFont="1" applyFill="1" applyBorder="1" applyAlignment="1">
      <alignment horizontal="left" vertical="center"/>
    </xf>
    <xf numFmtId="2" fontId="7" fillId="6" borderId="20" xfId="0" applyNumberFormat="1" applyFont="1" applyFill="1" applyBorder="1" applyAlignment="1">
      <alignment horizontal="left" vertical="center" wrapText="1"/>
    </xf>
    <xf numFmtId="2" fontId="31" fillId="0" borderId="202" xfId="0" applyNumberFormat="1" applyFont="1" applyFill="1" applyBorder="1" applyAlignment="1">
      <alignment horizontal="left" vertical="center" wrapText="1"/>
    </xf>
    <xf numFmtId="2" fontId="25" fillId="6" borderId="9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left" vertical="center" wrapText="1"/>
    </xf>
    <xf numFmtId="2" fontId="26" fillId="0" borderId="0" xfId="0" applyNumberFormat="1" applyFont="1" applyBorder="1" applyAlignment="1">
      <alignment horizontal="center" vertical="center" wrapText="1"/>
    </xf>
    <xf numFmtId="2" fontId="21" fillId="0" borderId="0" xfId="0" applyNumberFormat="1" applyFont="1" applyFill="1" applyBorder="1" applyAlignment="1">
      <alignment vertical="top"/>
    </xf>
    <xf numFmtId="2" fontId="21" fillId="0" borderId="0" xfId="0" applyNumberFormat="1" applyFont="1" applyFill="1" applyBorder="1" applyAlignment="1">
      <alignment horizontal="right" vertical="center"/>
    </xf>
    <xf numFmtId="2" fontId="20" fillId="0" borderId="0" xfId="0" applyNumberFormat="1" applyFont="1" applyFill="1" applyBorder="1" applyAlignment="1">
      <alignment horizontal="center" vertical="center"/>
    </xf>
    <xf numFmtId="2" fontId="25" fillId="0" borderId="0" xfId="0" applyNumberFormat="1" applyFont="1" applyFill="1" applyBorder="1" applyAlignment="1">
      <alignment horizontal="center" vertical="center"/>
    </xf>
    <xf numFmtId="2" fontId="24" fillId="2" borderId="24" xfId="0" applyNumberFormat="1" applyFont="1" applyFill="1" applyBorder="1" applyAlignment="1">
      <alignment horizontal="left" vertical="top" wrapText="1"/>
    </xf>
    <xf numFmtId="2" fontId="18" fillId="0" borderId="0" xfId="0" applyNumberFormat="1" applyFont="1" applyFill="1" applyBorder="1" applyAlignment="1">
      <alignment vertical="top"/>
    </xf>
    <xf numFmtId="2" fontId="18" fillId="30" borderId="0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top"/>
    </xf>
    <xf numFmtId="2" fontId="31" fillId="8" borderId="128" xfId="0" applyNumberFormat="1" applyFont="1" applyFill="1" applyBorder="1" applyAlignment="1">
      <alignment vertical="top"/>
    </xf>
    <xf numFmtId="2" fontId="31" fillId="8" borderId="188" xfId="0" applyNumberFormat="1" applyFont="1" applyFill="1" applyBorder="1" applyAlignment="1">
      <alignment vertical="top"/>
    </xf>
    <xf numFmtId="2" fontId="7" fillId="23" borderId="185" xfId="0" applyNumberFormat="1" applyFont="1" applyFill="1" applyBorder="1" applyAlignment="1">
      <alignment vertical="top"/>
    </xf>
    <xf numFmtId="2" fontId="31" fillId="8" borderId="128" xfId="0" applyNumberFormat="1" applyFont="1" applyFill="1" applyBorder="1" applyAlignment="1">
      <alignment vertical="center"/>
    </xf>
    <xf numFmtId="2" fontId="31" fillId="8" borderId="188" xfId="0" applyNumberFormat="1" applyFont="1" applyFill="1" applyBorder="1" applyAlignment="1">
      <alignment vertical="center"/>
    </xf>
    <xf numFmtId="2" fontId="25" fillId="23" borderId="188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vertical="center"/>
    </xf>
    <xf numFmtId="2" fontId="18" fillId="30" borderId="0" xfId="0" applyNumberFormat="1" applyFont="1" applyFill="1" applyBorder="1" applyAlignment="1">
      <alignment vertical="center"/>
    </xf>
    <xf numFmtId="2" fontId="27" fillId="8" borderId="188" xfId="0" applyNumberFormat="1" applyFont="1" applyFill="1" applyBorder="1" applyAlignment="1">
      <alignment horizontal="right" vertical="center"/>
    </xf>
    <xf numFmtId="2" fontId="27" fillId="8" borderId="189" xfId="0" applyNumberFormat="1" applyFont="1" applyFill="1" applyBorder="1" applyAlignment="1">
      <alignment horizontal="right" vertical="center"/>
    </xf>
    <xf numFmtId="2" fontId="25" fillId="23" borderId="188" xfId="0" applyNumberFormat="1" applyFont="1" applyFill="1" applyBorder="1" applyAlignment="1">
      <alignment horizontal="center" vertical="center"/>
    </xf>
    <xf numFmtId="2" fontId="20" fillId="8" borderId="65" xfId="0" applyNumberFormat="1" applyFont="1" applyFill="1" applyBorder="1" applyAlignment="1">
      <alignment horizontal="center" vertical="center" wrapText="1"/>
    </xf>
    <xf numFmtId="2" fontId="31" fillId="8" borderId="189" xfId="0" applyNumberFormat="1" applyFont="1" applyFill="1" applyBorder="1" applyAlignment="1">
      <alignment vertical="top"/>
    </xf>
    <xf numFmtId="2" fontId="25" fillId="23" borderId="189" xfId="0" applyNumberFormat="1" applyFont="1" applyFill="1" applyBorder="1" applyAlignment="1">
      <alignment horizontal="center" vertical="center"/>
    </xf>
    <xf numFmtId="2" fontId="25" fillId="6" borderId="21" xfId="4" applyNumberFormat="1" applyFont="1" applyFill="1" applyBorder="1" applyAlignment="1">
      <alignment horizontal="left" vertical="center"/>
    </xf>
    <xf numFmtId="2" fontId="25" fillId="6" borderId="20" xfId="4" applyNumberFormat="1" applyFont="1" applyFill="1" applyBorder="1" applyAlignment="1">
      <alignment horizontal="left" vertical="center"/>
    </xf>
    <xf numFmtId="2" fontId="25" fillId="6" borderId="189" xfId="4" applyNumberFormat="1" applyFont="1" applyFill="1" applyBorder="1" applyAlignment="1">
      <alignment horizontal="right" vertical="center"/>
    </xf>
    <xf numFmtId="2" fontId="25" fillId="22" borderId="35" xfId="0" applyNumberFormat="1" applyFont="1" applyFill="1" applyBorder="1" applyAlignment="1">
      <alignment vertical="top"/>
    </xf>
    <xf numFmtId="2" fontId="27" fillId="8" borderId="36" xfId="4" applyNumberFormat="1" applyFont="1" applyFill="1" applyBorder="1" applyAlignment="1">
      <alignment vertical="center"/>
    </xf>
    <xf numFmtId="2" fontId="27" fillId="8" borderId="6" xfId="4" applyNumberFormat="1" applyFont="1" applyFill="1" applyBorder="1" applyAlignment="1">
      <alignment horizontal="center" vertical="center"/>
    </xf>
    <xf numFmtId="2" fontId="25" fillId="8" borderId="188" xfId="0" applyNumberFormat="1" applyFont="1" applyFill="1" applyBorder="1" applyAlignment="1">
      <alignment vertical="center"/>
    </xf>
    <xf numFmtId="2" fontId="27" fillId="8" borderId="188" xfId="0" applyNumberFormat="1" applyFont="1" applyFill="1" applyBorder="1" applyAlignment="1">
      <alignment vertical="center"/>
    </xf>
    <xf numFmtId="2" fontId="35" fillId="0" borderId="0" xfId="0" applyNumberFormat="1" applyFont="1" applyFill="1" applyBorder="1" applyAlignment="1">
      <alignment vertical="top"/>
    </xf>
    <xf numFmtId="2" fontId="35" fillId="30" borderId="0" xfId="0" applyNumberFormat="1" applyFont="1" applyFill="1" applyBorder="1" applyAlignment="1">
      <alignment vertical="top"/>
    </xf>
    <xf numFmtId="2" fontId="24" fillId="8" borderId="19" xfId="0" applyNumberFormat="1" applyFont="1" applyFill="1" applyBorder="1" applyAlignment="1">
      <alignment vertical="center" wrapText="1"/>
    </xf>
    <xf numFmtId="2" fontId="24" fillId="8" borderId="17" xfId="0" applyNumberFormat="1" applyFont="1" applyFill="1" applyBorder="1" applyAlignment="1">
      <alignment horizontal="center" vertical="center" wrapText="1"/>
    </xf>
    <xf numFmtId="2" fontId="7" fillId="8" borderId="18" xfId="0" applyNumberFormat="1" applyFont="1" applyFill="1" applyBorder="1" applyAlignment="1">
      <alignment vertical="top"/>
    </xf>
    <xf numFmtId="2" fontId="7" fillId="8" borderId="77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top"/>
    </xf>
    <xf numFmtId="2" fontId="24" fillId="6" borderId="21" xfId="4" applyNumberFormat="1" applyFont="1" applyFill="1" applyBorder="1" applyAlignment="1">
      <alignment horizontal="left" vertical="center"/>
    </xf>
    <xf numFmtId="2" fontId="25" fillId="6" borderId="9" xfId="4" applyNumberFormat="1" applyFont="1" applyFill="1" applyBorder="1" applyAlignment="1">
      <alignment horizontal="left" vertical="center"/>
    </xf>
    <xf numFmtId="2" fontId="27" fillId="0" borderId="36" xfId="4" applyNumberFormat="1" applyFont="1" applyFill="1" applyBorder="1" applyAlignment="1">
      <alignment vertical="center"/>
    </xf>
    <xf numFmtId="2" fontId="31" fillId="0" borderId="188" xfId="0" applyNumberFormat="1" applyFont="1" applyFill="1" applyBorder="1" applyAlignment="1">
      <alignment vertical="center"/>
    </xf>
    <xf numFmtId="2" fontId="25" fillId="0" borderId="188" xfId="0" applyNumberFormat="1" applyFont="1" applyFill="1" applyBorder="1" applyAlignment="1">
      <alignment vertical="center"/>
    </xf>
    <xf numFmtId="2" fontId="31" fillId="32" borderId="128" xfId="0" applyNumberFormat="1" applyFont="1" applyFill="1" applyBorder="1" applyAlignment="1">
      <alignment vertical="center"/>
    </xf>
    <xf numFmtId="2" fontId="31" fillId="32" borderId="188" xfId="0" applyNumberFormat="1" applyFont="1" applyFill="1" applyBorder="1" applyAlignment="1">
      <alignment vertical="center"/>
    </xf>
    <xf numFmtId="2" fontId="32" fillId="0" borderId="0" xfId="0" applyNumberFormat="1" applyFont="1" applyBorder="1"/>
    <xf numFmtId="2" fontId="25" fillId="6" borderId="188" xfId="4" applyNumberFormat="1" applyFont="1" applyFill="1" applyBorder="1" applyAlignment="1">
      <alignment horizontal="left" vertical="center"/>
    </xf>
    <xf numFmtId="2" fontId="24" fillId="8" borderId="4" xfId="0" applyNumberFormat="1" applyFont="1" applyFill="1" applyBorder="1" applyAlignment="1">
      <alignment horizontal="center" vertical="center" wrapText="1"/>
    </xf>
    <xf numFmtId="2" fontId="7" fillId="8" borderId="3" xfId="0" applyNumberFormat="1" applyFont="1" applyFill="1" applyBorder="1" applyAlignment="1">
      <alignment vertical="top"/>
    </xf>
    <xf numFmtId="2" fontId="7" fillId="23" borderId="68" xfId="0" applyNumberFormat="1" applyFont="1" applyFill="1" applyBorder="1" applyAlignment="1">
      <alignment vertical="center"/>
    </xf>
    <xf numFmtId="2" fontId="25" fillId="6" borderId="189" xfId="0" applyNumberFormat="1" applyFont="1" applyFill="1" applyBorder="1" applyAlignment="1"/>
    <xf numFmtId="2" fontId="29" fillId="2" borderId="128" xfId="4" applyNumberFormat="1" applyFont="1" applyFill="1" applyBorder="1" applyAlignment="1">
      <alignment vertical="center" wrapText="1"/>
    </xf>
    <xf numFmtId="2" fontId="27" fillId="2" borderId="189" xfId="0" applyNumberFormat="1" applyFont="1" applyFill="1" applyBorder="1" applyAlignment="1"/>
    <xf numFmtId="2" fontId="7" fillId="0" borderId="21" xfId="0" applyNumberFormat="1" applyFont="1" applyFill="1" applyBorder="1" applyAlignment="1">
      <alignment vertical="center"/>
    </xf>
    <xf numFmtId="2" fontId="7" fillId="0" borderId="128" xfId="0" applyNumberFormat="1" applyFont="1" applyFill="1" applyBorder="1" applyAlignment="1">
      <alignment vertical="center" wrapText="1"/>
    </xf>
    <xf numFmtId="2" fontId="31" fillId="0" borderId="185" xfId="0" applyNumberFormat="1" applyFont="1" applyFill="1" applyBorder="1" applyAlignment="1">
      <alignment vertical="top"/>
    </xf>
    <xf numFmtId="2" fontId="31" fillId="2" borderId="128" xfId="4" applyNumberFormat="1" applyFont="1" applyFill="1" applyBorder="1" applyAlignment="1">
      <alignment vertical="center" wrapText="1"/>
    </xf>
    <xf numFmtId="2" fontId="7" fillId="23" borderId="189" xfId="0" applyNumberFormat="1" applyFont="1" applyFill="1" applyBorder="1" applyAlignment="1">
      <alignment horizontal="center" vertical="top"/>
    </xf>
    <xf numFmtId="2" fontId="25" fillId="2" borderId="189" xfId="0" applyNumberFormat="1" applyFont="1" applyFill="1" applyBorder="1" applyAlignment="1"/>
    <xf numFmtId="2" fontId="28" fillId="2" borderId="189" xfId="0" applyNumberFormat="1" applyFont="1" applyFill="1" applyBorder="1" applyAlignment="1"/>
    <xf numFmtId="2" fontId="31" fillId="2" borderId="189" xfId="0" applyNumberFormat="1" applyFont="1" applyFill="1" applyBorder="1" applyAlignment="1"/>
    <xf numFmtId="2" fontId="31" fillId="2" borderId="75" xfId="4" applyNumberFormat="1" applyFont="1" applyFill="1" applyBorder="1" applyAlignment="1">
      <alignment vertical="center" wrapText="1"/>
    </xf>
    <xf numFmtId="2" fontId="24" fillId="8" borderId="84" xfId="0" applyNumberFormat="1" applyFont="1" applyFill="1" applyBorder="1" applyAlignment="1">
      <alignment vertical="center" wrapText="1"/>
    </xf>
    <xf numFmtId="2" fontId="24" fillId="8" borderId="68" xfId="0" applyNumberFormat="1" applyFont="1" applyFill="1" applyBorder="1" applyAlignment="1">
      <alignment horizontal="center" vertical="center" wrapText="1"/>
    </xf>
    <xf numFmtId="2" fontId="7" fillId="8" borderId="17" xfId="0" applyNumberFormat="1" applyFont="1" applyFill="1" applyBorder="1" applyAlignment="1">
      <alignment vertical="top"/>
    </xf>
    <xf numFmtId="2" fontId="24" fillId="6" borderId="83" xfId="4" applyNumberFormat="1" applyFont="1" applyFill="1" applyBorder="1" applyAlignment="1">
      <alignment horizontal="left" vertical="center"/>
    </xf>
    <xf numFmtId="2" fontId="25" fillId="6" borderId="189" xfId="0" applyNumberFormat="1" applyFont="1" applyFill="1" applyBorder="1" applyAlignment="1">
      <alignment vertical="center"/>
    </xf>
    <xf numFmtId="2" fontId="25" fillId="22" borderId="189" xfId="0" applyNumberFormat="1" applyFont="1" applyFill="1" applyBorder="1" applyAlignment="1">
      <alignment vertical="center"/>
    </xf>
    <xf numFmtId="2" fontId="29" fillId="0" borderId="83" xfId="0" applyNumberFormat="1" applyFont="1" applyFill="1" applyBorder="1" applyAlignment="1">
      <alignment vertical="center"/>
    </xf>
    <xf numFmtId="2" fontId="25" fillId="25" borderId="189" xfId="0" applyNumberFormat="1" applyFont="1" applyFill="1" applyBorder="1" applyAlignment="1">
      <alignment vertical="center"/>
    </xf>
    <xf numFmtId="2" fontId="30" fillId="0" borderId="0" xfId="0" applyNumberFormat="1" applyFont="1" applyBorder="1" applyAlignment="1">
      <alignment vertical="top"/>
    </xf>
    <xf numFmtId="2" fontId="7" fillId="0" borderId="202" xfId="0" applyNumberFormat="1" applyFont="1" applyFill="1" applyBorder="1" applyAlignment="1">
      <alignment vertical="center" wrapText="1"/>
    </xf>
    <xf numFmtId="2" fontId="31" fillId="2" borderId="199" xfId="0" applyNumberFormat="1" applyFont="1" applyFill="1" applyBorder="1" applyAlignment="1">
      <alignment vertical="center"/>
    </xf>
    <xf numFmtId="2" fontId="31" fillId="25" borderId="12" xfId="0" applyNumberFormat="1" applyFont="1" applyFill="1" applyBorder="1" applyAlignment="1">
      <alignment vertical="center"/>
    </xf>
    <xf numFmtId="2" fontId="18" fillId="0" borderId="0" xfId="0" applyNumberFormat="1" applyFont="1" applyBorder="1" applyAlignment="1">
      <alignment horizontal="center" vertical="top" wrapText="1"/>
    </xf>
    <xf numFmtId="2" fontId="39" fillId="0" borderId="189" xfId="0" applyNumberFormat="1" applyFont="1" applyBorder="1" applyAlignment="1">
      <alignment vertical="center"/>
    </xf>
    <xf numFmtId="2" fontId="18" fillId="0" borderId="189" xfId="0" applyNumberFormat="1" applyFont="1" applyBorder="1" applyAlignment="1">
      <alignment vertical="top"/>
    </xf>
    <xf numFmtId="3" fontId="29" fillId="8" borderId="189" xfId="0" applyNumberFormat="1" applyFont="1" applyFill="1" applyBorder="1" applyAlignment="1">
      <alignment vertical="center"/>
    </xf>
    <xf numFmtId="3" fontId="29" fillId="23" borderId="189" xfId="0" applyNumberFormat="1" applyFont="1" applyFill="1" applyBorder="1" applyAlignment="1">
      <alignment vertical="center"/>
    </xf>
    <xf numFmtId="3" fontId="7" fillId="28" borderId="189" xfId="0" applyNumberFormat="1" applyFont="1" applyFill="1" applyBorder="1" applyAlignment="1">
      <alignment vertical="center"/>
    </xf>
    <xf numFmtId="3" fontId="7" fillId="8" borderId="4" xfId="0" applyNumberFormat="1" applyFont="1" applyFill="1" applyBorder="1" applyAlignment="1">
      <alignment vertical="top"/>
    </xf>
    <xf numFmtId="3" fontId="7" fillId="8" borderId="2" xfId="0" applyNumberFormat="1" applyFont="1" applyFill="1" applyBorder="1" applyAlignment="1">
      <alignment vertical="top"/>
    </xf>
    <xf numFmtId="3" fontId="7" fillId="23" borderId="1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vertical="top"/>
    </xf>
    <xf numFmtId="3" fontId="31" fillId="0" borderId="165" xfId="0" applyNumberFormat="1" applyFont="1" applyFill="1" applyBorder="1" applyAlignment="1">
      <alignment vertical="top"/>
    </xf>
    <xf numFmtId="3" fontId="31" fillId="0" borderId="185" xfId="0" applyNumberFormat="1" applyFont="1" applyFill="1" applyBorder="1" applyAlignment="1">
      <alignment horizontal="right" vertical="center"/>
    </xf>
    <xf numFmtId="3" fontId="25" fillId="6" borderId="185" xfId="0" applyNumberFormat="1" applyFont="1" applyFill="1" applyBorder="1" applyAlignment="1">
      <alignment vertical="top"/>
    </xf>
    <xf numFmtId="3" fontId="27" fillId="2" borderId="13" xfId="0" applyNumberFormat="1" applyFont="1" applyFill="1" applyBorder="1" applyAlignment="1">
      <alignment vertical="top"/>
    </xf>
    <xf numFmtId="3" fontId="31" fillId="0" borderId="199" xfId="0" applyNumberFormat="1" applyFont="1" applyFill="1" applyBorder="1" applyAlignment="1">
      <alignment vertical="top"/>
    </xf>
    <xf numFmtId="3" fontId="31" fillId="0" borderId="199" xfId="0" applyNumberFormat="1" applyFont="1" applyFill="1" applyBorder="1" applyAlignment="1">
      <alignment horizontal="right" vertical="center"/>
    </xf>
    <xf numFmtId="3" fontId="31" fillId="0" borderId="188" xfId="4" applyNumberFormat="1" applyFont="1" applyFill="1" applyBorder="1" applyAlignment="1"/>
    <xf numFmtId="3" fontId="31" fillId="0" borderId="165" xfId="4" applyNumberFormat="1" applyFont="1" applyFill="1" applyBorder="1" applyAlignment="1"/>
    <xf numFmtId="3" fontId="25" fillId="6" borderId="9" xfId="0" applyNumberFormat="1" applyFont="1" applyFill="1" applyBorder="1" applyAlignment="1">
      <alignment vertical="top"/>
    </xf>
    <xf numFmtId="1" fontId="21" fillId="2" borderId="190" xfId="0" applyNumberFormat="1" applyFont="1" applyFill="1" applyBorder="1" applyAlignment="1">
      <alignment horizontal="center" vertical="top"/>
    </xf>
    <xf numFmtId="1" fontId="21" fillId="2" borderId="189" xfId="0" applyNumberFormat="1" applyFont="1" applyFill="1" applyBorder="1" applyAlignment="1">
      <alignment horizontal="center" vertical="top"/>
    </xf>
    <xf numFmtId="1" fontId="21" fillId="2" borderId="189" xfId="0" quotePrefix="1" applyNumberFormat="1" applyFont="1" applyFill="1" applyBorder="1" applyAlignment="1">
      <alignment horizontal="center" vertical="top"/>
    </xf>
    <xf numFmtId="1" fontId="21" fillId="2" borderId="184" xfId="0" quotePrefix="1" applyNumberFormat="1" applyFont="1" applyFill="1" applyBorder="1" applyAlignment="1">
      <alignment horizontal="center" vertical="top"/>
    </xf>
    <xf numFmtId="1" fontId="21" fillId="0" borderId="68" xfId="0" quotePrefix="1" applyNumberFormat="1" applyFont="1" applyFill="1" applyBorder="1" applyAlignment="1">
      <alignment horizontal="center" vertical="top"/>
    </xf>
    <xf numFmtId="0" fontId="7" fillId="0" borderId="3" xfId="0" quotePrefix="1" applyFont="1" applyBorder="1" applyAlignment="1">
      <alignment horizontal="center"/>
    </xf>
    <xf numFmtId="3" fontId="66" fillId="4" borderId="18" xfId="0" applyNumberFormat="1" applyFont="1" applyFill="1" applyBorder="1" applyAlignment="1">
      <alignment horizontal="right" vertical="center" wrapText="1"/>
    </xf>
    <xf numFmtId="3" fontId="36" fillId="4" borderId="8" xfId="0" applyNumberFormat="1" applyFont="1" applyFill="1" applyBorder="1" applyAlignment="1">
      <alignment horizontal="right" vertical="center" wrapText="1"/>
    </xf>
    <xf numFmtId="3" fontId="36" fillId="4" borderId="24" xfId="0" applyNumberFormat="1" applyFont="1" applyFill="1" applyBorder="1" applyAlignment="1">
      <alignment horizontal="right" vertical="center" wrapText="1"/>
    </xf>
    <xf numFmtId="3" fontId="66" fillId="6" borderId="192" xfId="0" applyNumberFormat="1" applyFont="1" applyFill="1" applyBorder="1" applyAlignment="1">
      <alignment horizontal="right" vertical="center" wrapText="1"/>
    </xf>
    <xf numFmtId="3" fontId="64" fillId="8" borderId="8" xfId="0" applyNumberFormat="1" applyFont="1" applyFill="1" applyBorder="1" applyAlignment="1">
      <alignment horizontal="right" vertical="center" wrapText="1"/>
    </xf>
    <xf numFmtId="3" fontId="8" fillId="0" borderId="8" xfId="0" applyNumberFormat="1" applyFont="1" applyFill="1" applyBorder="1" applyAlignment="1">
      <alignment vertical="center" wrapText="1"/>
    </xf>
    <xf numFmtId="3" fontId="64" fillId="8" borderId="192" xfId="0" applyNumberFormat="1" applyFont="1" applyFill="1" applyBorder="1" applyAlignment="1">
      <alignment vertical="center" wrapText="1"/>
    </xf>
    <xf numFmtId="3" fontId="62" fillId="6" borderId="192" xfId="0" applyNumberFormat="1" applyFont="1" applyFill="1" applyBorder="1" applyAlignment="1">
      <alignment wrapText="1"/>
    </xf>
    <xf numFmtId="3" fontId="65" fillId="8" borderId="192" xfId="0" applyNumberFormat="1" applyFont="1" applyFill="1" applyBorder="1" applyAlignment="1">
      <alignment vertical="center" wrapText="1"/>
    </xf>
    <xf numFmtId="3" fontId="8" fillId="0" borderId="24" xfId="0" applyNumberFormat="1" applyFont="1" applyFill="1" applyBorder="1" applyAlignment="1">
      <alignment vertical="center" wrapText="1"/>
    </xf>
    <xf numFmtId="3" fontId="62" fillId="52" borderId="51" xfId="0" applyNumberFormat="1" applyFont="1" applyFill="1" applyBorder="1" applyAlignment="1">
      <alignment vertical="center" wrapText="1"/>
    </xf>
    <xf numFmtId="3" fontId="62" fillId="52" borderId="24" xfId="0" applyNumberFormat="1" applyFont="1" applyFill="1" applyBorder="1" applyAlignment="1">
      <alignment vertical="center" wrapText="1"/>
    </xf>
    <xf numFmtId="3" fontId="7" fillId="0" borderId="11" xfId="0" applyNumberFormat="1" applyFont="1" applyFill="1" applyBorder="1" applyAlignment="1">
      <alignment vertical="center" wrapText="1"/>
    </xf>
    <xf numFmtId="3" fontId="66" fillId="7" borderId="128" xfId="0" applyNumberFormat="1" applyFont="1" applyFill="1" applyBorder="1" applyAlignment="1">
      <alignment horizontal="right" vertical="center" wrapText="1"/>
    </xf>
    <xf numFmtId="3" fontId="64" fillId="9" borderId="128" xfId="0" applyNumberFormat="1" applyFont="1" applyFill="1" applyBorder="1" applyAlignment="1">
      <alignment vertical="center" wrapText="1"/>
    </xf>
    <xf numFmtId="3" fontId="62" fillId="52" borderId="52" xfId="0" applyNumberFormat="1" applyFont="1" applyFill="1" applyBorder="1" applyAlignment="1">
      <alignment vertical="center" wrapText="1"/>
    </xf>
    <xf numFmtId="3" fontId="62" fillId="52" borderId="25" xfId="0" applyNumberFormat="1" applyFont="1" applyFill="1" applyBorder="1" applyAlignment="1">
      <alignment horizontal="center" vertical="center" wrapText="1"/>
    </xf>
    <xf numFmtId="3" fontId="66" fillId="4" borderId="77" xfId="0" applyNumberFormat="1" applyFont="1" applyFill="1" applyBorder="1" applyAlignment="1">
      <alignment horizontal="right" vertical="center" wrapText="1"/>
    </xf>
    <xf numFmtId="3" fontId="36" fillId="4" borderId="7" xfId="0" quotePrefix="1" applyNumberFormat="1" applyFont="1" applyFill="1" applyBorder="1" applyAlignment="1">
      <alignment horizontal="right" vertical="center"/>
    </xf>
    <xf numFmtId="3" fontId="36" fillId="4" borderId="141" xfId="0" quotePrefix="1" applyNumberFormat="1" applyFont="1" applyFill="1" applyBorder="1" applyAlignment="1">
      <alignment horizontal="right"/>
    </xf>
    <xf numFmtId="3" fontId="65" fillId="8" borderId="8" xfId="0" applyNumberFormat="1" applyFont="1" applyFill="1" applyBorder="1" applyAlignment="1">
      <alignment horizontal="right" vertical="center" wrapText="1"/>
    </xf>
    <xf numFmtId="3" fontId="62" fillId="6" borderId="192" xfId="0" applyNumberFormat="1" applyFont="1" applyFill="1" applyBorder="1" applyAlignment="1">
      <alignment vertical="center" wrapText="1"/>
    </xf>
    <xf numFmtId="3" fontId="65" fillId="8" borderId="8" xfId="0" applyNumberFormat="1" applyFont="1" applyFill="1" applyBorder="1" applyAlignment="1">
      <alignment vertical="center" wrapText="1"/>
    </xf>
    <xf numFmtId="3" fontId="8" fillId="0" borderId="141" xfId="0" applyNumberFormat="1" applyFont="1" applyFill="1" applyBorder="1" applyAlignment="1">
      <alignment vertical="center" wrapText="1"/>
    </xf>
    <xf numFmtId="3" fontId="7" fillId="2" borderId="11" xfId="0" applyNumberFormat="1" applyFont="1" applyFill="1" applyBorder="1" applyAlignment="1">
      <alignment vertical="center" wrapText="1"/>
    </xf>
    <xf numFmtId="3" fontId="65" fillId="9" borderId="21" xfId="0" applyNumberFormat="1" applyFont="1" applyFill="1" applyBorder="1" applyAlignment="1">
      <alignment horizontal="right" vertical="center" wrapText="1"/>
    </xf>
    <xf numFmtId="43" fontId="64" fillId="9" borderId="128" xfId="1" applyFont="1" applyFill="1" applyBorder="1" applyAlignment="1">
      <alignment horizontal="center" vertical="center" wrapText="1"/>
    </xf>
    <xf numFmtId="43" fontId="32" fillId="0" borderId="163" xfId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vertical="center"/>
    </xf>
    <xf numFmtId="3" fontId="31" fillId="0" borderId="200" xfId="4" applyNumberFormat="1" applyFont="1" applyFill="1" applyBorder="1" applyAlignment="1"/>
    <xf numFmtId="3" fontId="27" fillId="50" borderId="185" xfId="4" applyNumberFormat="1" applyFont="1" applyFill="1" applyBorder="1" applyAlignment="1">
      <alignment horizontal="right" vertical="center"/>
    </xf>
    <xf numFmtId="3" fontId="27" fillId="50" borderId="165" xfId="4" applyNumberFormat="1" applyFont="1" applyFill="1" applyBorder="1" applyAlignment="1">
      <alignment horizontal="right" vertical="center"/>
    </xf>
    <xf numFmtId="3" fontId="27" fillId="50" borderId="12" xfId="0" quotePrefix="1" applyNumberFormat="1" applyFont="1" applyFill="1" applyBorder="1" applyAlignment="1">
      <alignment horizontal="right" vertical="top"/>
    </xf>
    <xf numFmtId="3" fontId="27" fillId="21" borderId="195" xfId="4" applyNumberFormat="1" applyFont="1" applyFill="1" applyBorder="1" applyAlignment="1">
      <alignment horizontal="right" vertical="center"/>
    </xf>
    <xf numFmtId="3" fontId="27" fillId="21" borderId="199" xfId="4" applyNumberFormat="1" applyFont="1" applyFill="1" applyBorder="1" applyAlignment="1">
      <alignment horizontal="right" vertical="center"/>
    </xf>
    <xf numFmtId="3" fontId="27" fillId="21" borderId="185" xfId="4" applyNumberFormat="1" applyFont="1" applyFill="1" applyBorder="1" applyAlignment="1">
      <alignment horizontal="right" vertical="center"/>
    </xf>
    <xf numFmtId="0" fontId="24" fillId="8" borderId="45" xfId="0" applyFont="1" applyFill="1" applyBorder="1" applyAlignment="1">
      <alignment vertical="center" wrapText="1"/>
    </xf>
    <xf numFmtId="3" fontId="27" fillId="0" borderId="189" xfId="4" applyNumberFormat="1" applyFont="1" applyFill="1" applyBorder="1" applyAlignment="1">
      <alignment horizontal="right" vertical="center"/>
    </xf>
    <xf numFmtId="43" fontId="25" fillId="6" borderId="188" xfId="1" applyFont="1" applyFill="1" applyBorder="1" applyAlignment="1">
      <alignment horizontal="right" vertical="center"/>
    </xf>
    <xf numFmtId="43" fontId="27" fillId="0" borderId="188" xfId="1" applyFont="1" applyFill="1" applyBorder="1" applyAlignment="1">
      <alignment horizontal="right" vertical="center"/>
    </xf>
    <xf numFmtId="43" fontId="33" fillId="0" borderId="188" xfId="1" applyFont="1" applyFill="1" applyBorder="1" applyAlignment="1">
      <alignment vertical="center"/>
    </xf>
    <xf numFmtId="0" fontId="31" fillId="0" borderId="203" xfId="4" applyFont="1" applyFill="1" applyBorder="1" applyAlignment="1">
      <alignment vertical="center"/>
    </xf>
    <xf numFmtId="43" fontId="24" fillId="6" borderId="188" xfId="1" applyFont="1" applyFill="1" applyBorder="1" applyAlignment="1">
      <alignment vertical="center"/>
    </xf>
    <xf numFmtId="43" fontId="27" fillId="2" borderId="188" xfId="1" applyFont="1" applyFill="1" applyBorder="1" applyAlignment="1">
      <alignment vertical="center"/>
    </xf>
    <xf numFmtId="3" fontId="24" fillId="6" borderId="180" xfId="4" applyNumberFormat="1" applyFont="1" applyFill="1" applyBorder="1" applyAlignment="1">
      <alignment vertical="center"/>
    </xf>
    <xf numFmtId="3" fontId="27" fillId="2" borderId="189" xfId="4" applyNumberFormat="1" applyFont="1" applyFill="1" applyBorder="1" applyAlignment="1">
      <alignment vertical="center"/>
    </xf>
    <xf numFmtId="3" fontId="32" fillId="0" borderId="199" xfId="6" applyNumberFormat="1" applyFont="1" applyFill="1" applyBorder="1" applyAlignment="1">
      <alignment vertical="center"/>
    </xf>
    <xf numFmtId="3" fontId="27" fillId="25" borderId="189" xfId="4" applyNumberFormat="1" applyFont="1" applyFill="1" applyBorder="1" applyAlignment="1">
      <alignment horizontal="right" vertical="center"/>
    </xf>
    <xf numFmtId="3" fontId="7" fillId="0" borderId="199" xfId="4" applyNumberFormat="1" applyFont="1" applyFill="1" applyBorder="1" applyAlignment="1">
      <alignment horizontal="right" vertical="center"/>
    </xf>
    <xf numFmtId="43" fontId="7" fillId="0" borderId="199" xfId="1" applyFont="1" applyFill="1" applyBorder="1" applyAlignment="1">
      <alignment horizontal="right" vertical="center"/>
    </xf>
    <xf numFmtId="3" fontId="24" fillId="6" borderId="189" xfId="0" applyNumberFormat="1" applyFont="1" applyFill="1" applyBorder="1" applyAlignment="1">
      <alignment horizontal="right" vertical="center"/>
    </xf>
    <xf numFmtId="3" fontId="29" fillId="0" borderId="189" xfId="0" applyNumberFormat="1" applyFont="1" applyFill="1" applyBorder="1" applyAlignment="1">
      <alignment horizontal="right" vertical="center"/>
    </xf>
    <xf numFmtId="3" fontId="7" fillId="0" borderId="189" xfId="0" applyNumberFormat="1" applyFont="1" applyFill="1" applyBorder="1" applyAlignment="1">
      <alignment horizontal="right" vertical="center"/>
    </xf>
    <xf numFmtId="43" fontId="31" fillId="0" borderId="189" xfId="1" applyFont="1" applyFill="1" applyBorder="1" applyAlignment="1">
      <alignment vertical="center"/>
    </xf>
    <xf numFmtId="43" fontId="31" fillId="0" borderId="199" xfId="1" applyFont="1" applyFill="1" applyBorder="1" applyAlignment="1">
      <alignment vertical="center"/>
    </xf>
    <xf numFmtId="3" fontId="31" fillId="0" borderId="200" xfId="4" applyNumberFormat="1" applyFont="1" applyFill="1" applyBorder="1" applyAlignment="1">
      <alignment horizontal="right" vertical="center"/>
    </xf>
    <xf numFmtId="43" fontId="31" fillId="0" borderId="200" xfId="1" applyFont="1" applyFill="1" applyBorder="1" applyAlignment="1">
      <alignment horizontal="right" vertical="center"/>
    </xf>
    <xf numFmtId="3" fontId="31" fillId="25" borderId="200" xfId="4" applyNumberFormat="1" applyFont="1" applyFill="1" applyBorder="1" applyAlignment="1">
      <alignment horizontal="right" vertical="center"/>
    </xf>
    <xf numFmtId="3" fontId="28" fillId="23" borderId="189" xfId="4" applyNumberFormat="1" applyFont="1" applyFill="1" applyBorder="1" applyAlignment="1">
      <alignment horizontal="right" vertical="center"/>
    </xf>
    <xf numFmtId="3" fontId="24" fillId="6" borderId="189" xfId="4" applyNumberFormat="1" applyFont="1" applyFill="1" applyBorder="1" applyAlignment="1"/>
    <xf numFmtId="3" fontId="33" fillId="23" borderId="189" xfId="6" applyNumberFormat="1" applyFont="1" applyFill="1" applyBorder="1" applyAlignment="1">
      <alignment vertical="center"/>
    </xf>
    <xf numFmtId="3" fontId="31" fillId="23" borderId="189" xfId="4" applyNumberFormat="1" applyFont="1" applyFill="1" applyBorder="1" applyAlignment="1">
      <alignment vertical="center"/>
    </xf>
    <xf numFmtId="3" fontId="27" fillId="21" borderId="189" xfId="4" applyNumberFormat="1" applyFont="1" applyFill="1" applyBorder="1" applyAlignment="1">
      <alignment horizontal="right" vertical="center"/>
    </xf>
    <xf numFmtId="0" fontId="28" fillId="50" borderId="190" xfId="0" quotePrefix="1" applyFont="1" applyFill="1" applyBorder="1" applyAlignment="1">
      <alignment horizontal="center" vertical="top"/>
    </xf>
    <xf numFmtId="3" fontId="27" fillId="50" borderId="188" xfId="0" quotePrefix="1" applyNumberFormat="1" applyFont="1" applyFill="1" applyBorder="1" applyAlignment="1">
      <alignment horizontal="right" vertical="top"/>
    </xf>
    <xf numFmtId="43" fontId="27" fillId="50" borderId="188" xfId="1" quotePrefix="1" applyFont="1" applyFill="1" applyBorder="1" applyAlignment="1">
      <alignment horizontal="right" vertical="top"/>
    </xf>
    <xf numFmtId="0" fontId="25" fillId="6" borderId="188" xfId="0" applyFont="1" applyFill="1" applyBorder="1" applyAlignment="1">
      <alignment vertical="center"/>
    </xf>
    <xf numFmtId="3" fontId="25" fillId="6" borderId="192" xfId="0" applyNumberFormat="1" applyFont="1" applyFill="1" applyBorder="1" applyAlignment="1">
      <alignment vertical="center"/>
    </xf>
    <xf numFmtId="43" fontId="25" fillId="6" borderId="197" xfId="1" applyFont="1" applyFill="1" applyBorder="1" applyAlignment="1">
      <alignment vertical="center"/>
    </xf>
    <xf numFmtId="3" fontId="25" fillId="6" borderId="197" xfId="0" applyNumberFormat="1" applyFont="1" applyFill="1" applyBorder="1" applyAlignment="1">
      <alignment vertical="center"/>
    </xf>
    <xf numFmtId="0" fontId="27" fillId="8" borderId="188" xfId="4" applyFont="1" applyFill="1" applyBorder="1" applyAlignment="1">
      <alignment horizontal="left" vertical="center"/>
    </xf>
    <xf numFmtId="3" fontId="27" fillId="8" borderId="189" xfId="4" applyNumberFormat="1" applyFont="1" applyFill="1" applyBorder="1" applyAlignment="1">
      <alignment vertical="top"/>
    </xf>
    <xf numFmtId="43" fontId="27" fillId="8" borderId="189" xfId="1" applyFont="1" applyFill="1" applyBorder="1" applyAlignment="1">
      <alignment vertical="top"/>
    </xf>
    <xf numFmtId="3" fontId="27" fillId="23" borderId="189" xfId="4" applyNumberFormat="1" applyFont="1" applyFill="1" applyBorder="1" applyAlignment="1">
      <alignment vertical="top"/>
    </xf>
    <xf numFmtId="0" fontId="7" fillId="8" borderId="188" xfId="4" applyFont="1" applyFill="1" applyBorder="1" applyAlignment="1">
      <alignment vertical="top"/>
    </xf>
    <xf numFmtId="3" fontId="7" fillId="8" borderId="189" xfId="4" applyNumberFormat="1" applyFont="1" applyFill="1" applyBorder="1" applyAlignment="1">
      <alignment vertical="top"/>
    </xf>
    <xf numFmtId="43" fontId="7" fillId="8" borderId="189" xfId="1" applyFont="1" applyFill="1" applyBorder="1" applyAlignment="1">
      <alignment vertical="top"/>
    </xf>
    <xf numFmtId="3" fontId="7" fillId="25" borderId="189" xfId="4" applyNumberFormat="1" applyFont="1" applyFill="1" applyBorder="1" applyAlignment="1">
      <alignment vertical="top"/>
    </xf>
    <xf numFmtId="0" fontId="7" fillId="8" borderId="188" xfId="4" applyFont="1" applyFill="1" applyBorder="1" applyAlignment="1">
      <alignment vertical="center"/>
    </xf>
    <xf numFmtId="3" fontId="7" fillId="8" borderId="189" xfId="4" applyNumberFormat="1" applyFont="1" applyFill="1" applyBorder="1" applyAlignment="1">
      <alignment vertical="center"/>
    </xf>
    <xf numFmtId="43" fontId="31" fillId="8" borderId="189" xfId="1" applyFont="1" applyFill="1" applyBorder="1" applyAlignment="1">
      <alignment vertical="center"/>
    </xf>
    <xf numFmtId="43" fontId="7" fillId="8" borderId="189" xfId="1" applyFont="1" applyFill="1" applyBorder="1" applyAlignment="1">
      <alignment vertical="center"/>
    </xf>
    <xf numFmtId="0" fontId="7" fillId="8" borderId="190" xfId="4" applyFont="1" applyFill="1" applyBorder="1" applyAlignment="1">
      <alignment vertical="top"/>
    </xf>
    <xf numFmtId="3" fontId="31" fillId="8" borderId="189" xfId="4" applyNumberFormat="1" applyFont="1" applyFill="1" applyBorder="1" applyAlignment="1">
      <alignment vertical="top"/>
    </xf>
    <xf numFmtId="43" fontId="31" fillId="8" borderId="189" xfId="1" applyFont="1" applyFill="1" applyBorder="1" applyAlignment="1">
      <alignment vertical="top"/>
    </xf>
    <xf numFmtId="0" fontId="7" fillId="8" borderId="200" xfId="4" applyFont="1" applyFill="1" applyBorder="1" applyAlignment="1">
      <alignment vertical="top"/>
    </xf>
    <xf numFmtId="3" fontId="31" fillId="8" borderId="199" xfId="4" applyNumberFormat="1" applyFont="1" applyFill="1" applyBorder="1" applyAlignment="1">
      <alignment vertical="top"/>
    </xf>
    <xf numFmtId="3" fontId="25" fillId="6" borderId="190" xfId="4" applyNumberFormat="1" applyFont="1" applyFill="1" applyBorder="1" applyAlignment="1">
      <alignment vertical="center"/>
    </xf>
    <xf numFmtId="3" fontId="25" fillId="22" borderId="189" xfId="4" applyNumberFormat="1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horizontal="right" vertical="center"/>
    </xf>
    <xf numFmtId="43" fontId="7" fillId="0" borderId="189" xfId="1" applyFont="1" applyFill="1" applyBorder="1" applyAlignment="1">
      <alignment vertical="top"/>
    </xf>
    <xf numFmtId="3" fontId="31" fillId="0" borderId="199" xfId="4" applyNumberFormat="1" applyFont="1" applyFill="1" applyBorder="1" applyAlignment="1"/>
    <xf numFmtId="3" fontId="31" fillId="0" borderId="199" xfId="4" applyNumberFormat="1" applyFont="1" applyFill="1" applyBorder="1" applyAlignment="1">
      <alignment horizontal="right" vertical="center"/>
    </xf>
    <xf numFmtId="3" fontId="29" fillId="0" borderId="199" xfId="4" applyNumberFormat="1" applyFont="1" applyFill="1" applyBorder="1" applyAlignment="1">
      <alignment horizontal="right" vertical="center"/>
    </xf>
    <xf numFmtId="43" fontId="33" fillId="0" borderId="183" xfId="1" applyFont="1" applyFill="1" applyBorder="1" applyAlignment="1">
      <alignment vertical="center"/>
    </xf>
    <xf numFmtId="0" fontId="32" fillId="0" borderId="35" xfId="0" applyFont="1" applyFill="1" applyBorder="1" applyAlignment="1">
      <alignment horizontal="center" vertical="center" wrapText="1"/>
    </xf>
    <xf numFmtId="3" fontId="18" fillId="2" borderId="0" xfId="0" applyNumberFormat="1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3" fontId="18" fillId="51" borderId="0" xfId="0" applyNumberFormat="1" applyFont="1" applyFill="1" applyBorder="1" applyAlignment="1">
      <alignment vertical="top"/>
    </xf>
    <xf numFmtId="0" fontId="29" fillId="0" borderId="128" xfId="4" applyFont="1" applyFill="1" applyBorder="1" applyAlignment="1">
      <alignment vertical="center"/>
    </xf>
    <xf numFmtId="3" fontId="31" fillId="25" borderId="189" xfId="4" applyNumberFormat="1" applyFont="1" applyFill="1" applyBorder="1" applyAlignment="1">
      <alignment vertical="center"/>
    </xf>
    <xf numFmtId="3" fontId="31" fillId="0" borderId="189" xfId="4" applyNumberFormat="1" applyFont="1" applyFill="1" applyBorder="1" applyAlignment="1">
      <alignment vertical="top"/>
    </xf>
    <xf numFmtId="3" fontId="7" fillId="8" borderId="192" xfId="4" applyNumberFormat="1" applyFont="1" applyFill="1" applyBorder="1" applyAlignment="1">
      <alignment vertical="center" wrapText="1"/>
    </xf>
    <xf numFmtId="3" fontId="7" fillId="8" borderId="190" xfId="0" applyNumberFormat="1" applyFont="1" applyFill="1" applyBorder="1" applyAlignment="1">
      <alignment vertical="center"/>
    </xf>
    <xf numFmtId="3" fontId="7" fillId="8" borderId="189" xfId="0" applyNumberFormat="1" applyFont="1" applyFill="1" applyBorder="1" applyAlignment="1">
      <alignment vertical="center"/>
    </xf>
    <xf numFmtId="3" fontId="32" fillId="8" borderId="190" xfId="6" applyNumberFormat="1" applyFont="1" applyFill="1" applyBorder="1" applyAlignment="1">
      <alignment vertical="center"/>
    </xf>
    <xf numFmtId="3" fontId="32" fillId="8" borderId="188" xfId="6" applyNumberFormat="1" applyFont="1" applyFill="1" applyBorder="1" applyAlignment="1">
      <alignment vertical="center"/>
    </xf>
    <xf numFmtId="3" fontId="27" fillId="0" borderId="185" xfId="4" applyNumberFormat="1" applyFont="1" applyFill="1" applyBorder="1" applyAlignment="1">
      <alignment horizontal="right" vertical="center"/>
    </xf>
    <xf numFmtId="43" fontId="7" fillId="0" borderId="180" xfId="1" applyFont="1" applyFill="1" applyBorder="1" applyAlignment="1">
      <alignment horizontal="right" vertical="center"/>
    </xf>
    <xf numFmtId="43" fontId="7" fillId="0" borderId="180" xfId="1" applyNumberFormat="1" applyFont="1" applyFill="1" applyBorder="1" applyAlignment="1">
      <alignment horizontal="right" vertical="center"/>
    </xf>
    <xf numFmtId="3" fontId="31" fillId="23" borderId="188" xfId="4" applyNumberFormat="1" applyFont="1" applyFill="1" applyBorder="1" applyAlignment="1">
      <alignment vertical="center"/>
    </xf>
    <xf numFmtId="43" fontId="27" fillId="0" borderId="180" xfId="1" applyFont="1" applyFill="1" applyBorder="1" applyAlignment="1">
      <alignment horizontal="right" vertical="center"/>
    </xf>
    <xf numFmtId="3" fontId="33" fillId="0" borderId="35" xfId="6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horizontal="right" vertical="center"/>
    </xf>
    <xf numFmtId="43" fontId="7" fillId="0" borderId="200" xfId="1" applyFont="1" applyFill="1" applyBorder="1" applyAlignment="1">
      <alignment horizontal="right" vertical="center"/>
    </xf>
    <xf numFmtId="3" fontId="27" fillId="21" borderId="72" xfId="4" applyNumberFormat="1" applyFont="1" applyFill="1" applyBorder="1" applyAlignment="1">
      <alignment horizontal="right" vertical="center"/>
    </xf>
    <xf numFmtId="3" fontId="27" fillId="21" borderId="198" xfId="4" applyNumberFormat="1" applyFont="1" applyFill="1" applyBorder="1" applyAlignment="1">
      <alignment horizontal="right" vertical="center"/>
    </xf>
    <xf numFmtId="3" fontId="27" fillId="25" borderId="188" xfId="0" applyNumberFormat="1" applyFont="1" applyFill="1" applyBorder="1" applyAlignment="1">
      <alignment vertical="center"/>
    </xf>
    <xf numFmtId="0" fontId="7" fillId="3" borderId="1" xfId="0" quotePrefix="1" applyFont="1" applyFill="1" applyBorder="1" applyAlignment="1">
      <alignment horizontal="center"/>
    </xf>
    <xf numFmtId="3" fontId="66" fillId="5" borderId="84" xfId="0" applyNumberFormat="1" applyFont="1" applyFill="1" applyBorder="1" applyAlignment="1">
      <alignment horizontal="right" vertical="center" wrapText="1"/>
    </xf>
    <xf numFmtId="3" fontId="36" fillId="3" borderId="83" xfId="0" applyNumberFormat="1" applyFont="1" applyFill="1" applyBorder="1" applyAlignment="1">
      <alignment vertical="center" wrapText="1"/>
    </xf>
    <xf numFmtId="3" fontId="36" fillId="3" borderId="66" xfId="0" applyNumberFormat="1" applyFont="1" applyFill="1" applyBorder="1" applyAlignment="1">
      <alignment vertical="center" wrapText="1"/>
    </xf>
    <xf numFmtId="3" fontId="7" fillId="0" borderId="26" xfId="0" applyNumberFormat="1" applyFont="1" applyFill="1" applyBorder="1" applyAlignment="1">
      <alignment vertical="center" wrapText="1"/>
    </xf>
    <xf numFmtId="3" fontId="66" fillId="7" borderId="196" xfId="0" applyNumberFormat="1" applyFont="1" applyFill="1" applyBorder="1" applyAlignment="1">
      <alignment horizontal="right" vertical="center" wrapText="1"/>
    </xf>
    <xf numFmtId="3" fontId="64" fillId="9" borderId="83" xfId="0" applyNumberFormat="1" applyFont="1" applyFill="1" applyBorder="1" applyAlignment="1">
      <alignment horizontal="right" vertical="center" wrapText="1"/>
    </xf>
    <xf numFmtId="3" fontId="6" fillId="3" borderId="83" xfId="0" applyNumberFormat="1" applyFont="1" applyFill="1" applyBorder="1" applyAlignment="1">
      <alignment vertical="center" wrapText="1"/>
    </xf>
    <xf numFmtId="3" fontId="6" fillId="3" borderId="83" xfId="0" applyNumberFormat="1" applyFont="1" applyFill="1" applyBorder="1" applyAlignment="1">
      <alignment horizontal="center" vertical="center" wrapText="1"/>
    </xf>
    <xf numFmtId="3" fontId="64" fillId="9" borderId="196" xfId="0" applyNumberFormat="1" applyFont="1" applyFill="1" applyBorder="1" applyAlignment="1">
      <alignment vertical="center" wrapText="1"/>
    </xf>
    <xf numFmtId="3" fontId="29" fillId="2" borderId="163" xfId="4" applyNumberFormat="1" applyFont="1" applyFill="1" applyBorder="1" applyAlignment="1">
      <alignment vertical="center" wrapText="1"/>
    </xf>
    <xf numFmtId="3" fontId="28" fillId="25" borderId="163" xfId="4" applyNumberFormat="1" applyFont="1" applyFill="1" applyBorder="1" applyAlignment="1">
      <alignment horizontal="right" vertical="center"/>
    </xf>
    <xf numFmtId="43" fontId="25" fillId="6" borderId="163" xfId="1" applyFont="1" applyFill="1" applyBorder="1" applyAlignment="1">
      <alignment horizontal="right" vertical="center"/>
    </xf>
    <xf numFmtId="43" fontId="27" fillId="0" borderId="163" xfId="1" applyFont="1" applyFill="1" applyBorder="1" applyAlignment="1">
      <alignment horizontal="right" vertical="center"/>
    </xf>
    <xf numFmtId="3" fontId="31" fillId="0" borderId="204" xfId="4" applyNumberFormat="1" applyFont="1" applyFill="1" applyBorder="1" applyAlignment="1">
      <alignment vertical="center"/>
    </xf>
    <xf numFmtId="3" fontId="0" fillId="0" borderId="132" xfId="0" applyNumberFormat="1" applyFont="1" applyBorder="1" applyAlignment="1">
      <alignment vertical="center"/>
    </xf>
    <xf numFmtId="3" fontId="0" fillId="0" borderId="100" xfId="0" applyNumberFormat="1" applyFont="1" applyBorder="1" applyAlignment="1">
      <alignment vertical="center"/>
    </xf>
    <xf numFmtId="0" fontId="0" fillId="0" borderId="122" xfId="0" applyFont="1" applyBorder="1" applyAlignment="1">
      <alignment vertical="center"/>
    </xf>
    <xf numFmtId="43" fontId="31" fillId="0" borderId="163" xfId="1" applyFont="1" applyFill="1" applyBorder="1" applyAlignment="1">
      <alignment horizontal="right" vertical="center"/>
    </xf>
    <xf numFmtId="0" fontId="28" fillId="57" borderId="163" xfId="4" applyFont="1" applyFill="1" applyBorder="1" applyAlignment="1">
      <alignment vertical="top"/>
    </xf>
    <xf numFmtId="3" fontId="63" fillId="57" borderId="163" xfId="6" applyNumberFormat="1" applyFont="1" applyFill="1" applyBorder="1" applyAlignment="1">
      <alignment vertical="center"/>
    </xf>
    <xf numFmtId="43" fontId="38" fillId="57" borderId="189" xfId="1" applyFont="1" applyFill="1" applyBorder="1" applyAlignment="1">
      <alignment horizontal="right" vertical="center"/>
    </xf>
    <xf numFmtId="43" fontId="28" fillId="57" borderId="163" xfId="1" applyFont="1" applyFill="1" applyBorder="1" applyAlignment="1">
      <alignment horizontal="right" vertical="center"/>
    </xf>
    <xf numFmtId="3" fontId="38" fillId="57" borderId="163" xfId="4" applyNumberFormat="1" applyFont="1" applyFill="1" applyBorder="1" applyAlignment="1">
      <alignment horizontal="right" vertical="center"/>
    </xf>
    <xf numFmtId="0" fontId="0" fillId="0" borderId="120" xfId="0" applyFont="1" applyBorder="1"/>
    <xf numFmtId="0" fontId="28" fillId="56" borderId="163" xfId="4" applyFont="1" applyFill="1" applyBorder="1" applyAlignment="1">
      <alignment vertical="top"/>
    </xf>
    <xf numFmtId="3" fontId="63" fillId="56" borderId="163" xfId="6" applyNumberFormat="1" applyFont="1" applyFill="1" applyBorder="1" applyAlignment="1">
      <alignment vertical="center"/>
    </xf>
    <xf numFmtId="43" fontId="38" fillId="56" borderId="189" xfId="1" applyFont="1" applyFill="1" applyBorder="1" applyAlignment="1">
      <alignment horizontal="right" vertical="center"/>
    </xf>
    <xf numFmtId="43" fontId="28" fillId="56" borderId="163" xfId="1" applyFont="1" applyFill="1" applyBorder="1" applyAlignment="1">
      <alignment horizontal="right" vertical="center"/>
    </xf>
    <xf numFmtId="3" fontId="38" fillId="56" borderId="163" xfId="4" applyNumberFormat="1" applyFont="1" applyFill="1" applyBorder="1" applyAlignment="1">
      <alignment horizontal="right" vertical="center"/>
    </xf>
    <xf numFmtId="0" fontId="7" fillId="57" borderId="163" xfId="4" applyFont="1" applyFill="1" applyBorder="1" applyAlignment="1">
      <alignment vertical="top"/>
    </xf>
    <xf numFmtId="3" fontId="32" fillId="57" borderId="163" xfId="6" applyNumberFormat="1" applyFont="1" applyFill="1" applyBorder="1" applyAlignment="1">
      <alignment vertical="center"/>
    </xf>
    <xf numFmtId="43" fontId="7" fillId="57" borderId="189" xfId="1" applyFont="1" applyFill="1" applyBorder="1" applyAlignment="1">
      <alignment horizontal="right" vertical="center"/>
    </xf>
    <xf numFmtId="43" fontId="7" fillId="57" borderId="163" xfId="1" applyFont="1" applyFill="1" applyBorder="1" applyAlignment="1">
      <alignment horizontal="right" vertical="center"/>
    </xf>
    <xf numFmtId="3" fontId="7" fillId="57" borderId="163" xfId="4" applyNumberFormat="1" applyFont="1" applyFill="1" applyBorder="1" applyAlignment="1">
      <alignment horizontal="right" vertical="center"/>
    </xf>
    <xf numFmtId="0" fontId="7" fillId="56" borderId="163" xfId="4" applyFont="1" applyFill="1" applyBorder="1" applyAlignment="1">
      <alignment vertical="top"/>
    </xf>
    <xf numFmtId="0" fontId="32" fillId="56" borderId="163" xfId="0" applyFont="1" applyFill="1" applyBorder="1" applyAlignment="1">
      <alignment horizontal="center" vertical="center" wrapText="1"/>
    </xf>
    <xf numFmtId="3" fontId="32" fillId="56" borderId="163" xfId="6" applyNumberFormat="1" applyFont="1" applyFill="1" applyBorder="1" applyAlignment="1">
      <alignment vertical="center"/>
    </xf>
    <xf numFmtId="43" fontId="7" fillId="56" borderId="189" xfId="1" applyFont="1" applyFill="1" applyBorder="1" applyAlignment="1">
      <alignment horizontal="right" vertical="center"/>
    </xf>
    <xf numFmtId="43" fontId="7" fillId="56" borderId="163" xfId="1" applyFont="1" applyFill="1" applyBorder="1" applyAlignment="1">
      <alignment horizontal="right" vertical="center"/>
    </xf>
    <xf numFmtId="3" fontId="7" fillId="56" borderId="163" xfId="4" applyNumberFormat="1" applyFont="1" applyFill="1" applyBorder="1" applyAlignment="1">
      <alignment horizontal="right" vertical="center"/>
    </xf>
    <xf numFmtId="43" fontId="24" fillId="6" borderId="163" xfId="1" applyFont="1" applyFill="1" applyBorder="1" applyAlignment="1"/>
    <xf numFmtId="43" fontId="25" fillId="6" borderId="183" xfId="1" applyFont="1" applyFill="1" applyBorder="1" applyAlignment="1">
      <alignment horizontal="right" vertical="center"/>
    </xf>
    <xf numFmtId="43" fontId="27" fillId="0" borderId="183" xfId="1" applyFont="1" applyFill="1" applyBorder="1" applyAlignment="1">
      <alignment horizontal="right" vertical="center"/>
    </xf>
    <xf numFmtId="43" fontId="31" fillId="0" borderId="182" xfId="1" applyFont="1" applyFill="1" applyBorder="1" applyAlignment="1">
      <alignment vertical="center"/>
    </xf>
    <xf numFmtId="43" fontId="31" fillId="0" borderId="183" xfId="1" applyFont="1" applyFill="1" applyBorder="1" applyAlignment="1">
      <alignment horizontal="right" vertical="center"/>
    </xf>
    <xf numFmtId="0" fontId="38" fillId="57" borderId="183" xfId="4" applyFont="1" applyFill="1" applyBorder="1" applyAlignment="1">
      <alignment vertical="top"/>
    </xf>
    <xf numFmtId="3" fontId="63" fillId="57" borderId="183" xfId="6" applyNumberFormat="1" applyFont="1" applyFill="1" applyBorder="1" applyAlignment="1">
      <alignment vertical="center"/>
    </xf>
    <xf numFmtId="43" fontId="38" fillId="57" borderId="183" xfId="1" applyFont="1" applyFill="1" applyBorder="1" applyAlignment="1">
      <alignment horizontal="right" vertical="center"/>
    </xf>
    <xf numFmtId="43" fontId="28" fillId="57" borderId="183" xfId="1" applyFont="1" applyFill="1" applyBorder="1" applyAlignment="1">
      <alignment horizontal="right" vertical="center"/>
    </xf>
    <xf numFmtId="3" fontId="38" fillId="57" borderId="183" xfId="4" applyNumberFormat="1" applyFont="1" applyFill="1" applyBorder="1" applyAlignment="1">
      <alignment horizontal="right" vertical="center"/>
    </xf>
    <xf numFmtId="3" fontId="38" fillId="25" borderId="183" xfId="4" applyNumberFormat="1" applyFont="1" applyFill="1" applyBorder="1" applyAlignment="1">
      <alignment horizontal="right" vertical="center"/>
    </xf>
    <xf numFmtId="3" fontId="28" fillId="25" borderId="183" xfId="4" applyNumberFormat="1" applyFont="1" applyFill="1" applyBorder="1" applyAlignment="1">
      <alignment horizontal="right" vertical="center"/>
    </xf>
    <xf numFmtId="0" fontId="38" fillId="52" borderId="183" xfId="4" applyFont="1" applyFill="1" applyBorder="1" applyAlignment="1">
      <alignment vertical="top"/>
    </xf>
    <xf numFmtId="3" fontId="63" fillId="52" borderId="183" xfId="6" applyNumberFormat="1" applyFont="1" applyFill="1" applyBorder="1" applyAlignment="1">
      <alignment vertical="center"/>
    </xf>
    <xf numFmtId="43" fontId="38" fillId="52" borderId="183" xfId="1" applyFont="1" applyFill="1" applyBorder="1" applyAlignment="1">
      <alignment horizontal="right" vertical="center"/>
    </xf>
    <xf numFmtId="43" fontId="28" fillId="52" borderId="183" xfId="1" applyFont="1" applyFill="1" applyBorder="1" applyAlignment="1">
      <alignment horizontal="right" vertical="center"/>
    </xf>
    <xf numFmtId="3" fontId="38" fillId="52" borderId="183" xfId="4" applyNumberFormat="1" applyFont="1" applyFill="1" applyBorder="1" applyAlignment="1">
      <alignment horizontal="right" vertical="center"/>
    </xf>
    <xf numFmtId="3" fontId="31" fillId="25" borderId="189" xfId="4" applyNumberFormat="1" applyFont="1" applyFill="1" applyBorder="1" applyAlignment="1">
      <alignment horizontal="right" vertical="center"/>
    </xf>
    <xf numFmtId="0" fontId="39" fillId="0" borderId="189" xfId="0" applyFont="1" applyBorder="1"/>
    <xf numFmtId="3" fontId="38" fillId="25" borderId="189" xfId="4" applyNumberFormat="1" applyFont="1" applyFill="1" applyBorder="1" applyAlignment="1">
      <alignment horizontal="right" vertical="center"/>
    </xf>
    <xf numFmtId="43" fontId="7" fillId="0" borderId="183" xfId="1" applyFont="1" applyFill="1" applyBorder="1" applyAlignment="1">
      <alignment horizontal="right" vertical="center"/>
    </xf>
    <xf numFmtId="0" fontId="63" fillId="0" borderId="183" xfId="0" applyFont="1" applyFill="1" applyBorder="1" applyAlignment="1">
      <alignment horizontal="center" vertical="center" wrapText="1"/>
    </xf>
    <xf numFmtId="0" fontId="63" fillId="52" borderId="183" xfId="0" applyFont="1" applyFill="1" applyBorder="1" applyAlignment="1">
      <alignment horizontal="center" vertical="center" wrapText="1"/>
    </xf>
    <xf numFmtId="43" fontId="24" fillId="6" borderId="183" xfId="1" applyFont="1" applyFill="1" applyBorder="1" applyAlignment="1"/>
    <xf numFmtId="0" fontId="0" fillId="32" borderId="189" xfId="0" applyFont="1" applyFill="1" applyBorder="1"/>
    <xf numFmtId="43" fontId="24" fillId="32" borderId="189" xfId="1" applyFont="1" applyFill="1" applyBorder="1" applyAlignment="1"/>
    <xf numFmtId="3" fontId="31" fillId="32" borderId="189" xfId="4" applyNumberFormat="1" applyFont="1" applyFill="1" applyBorder="1" applyAlignment="1"/>
    <xf numFmtId="3" fontId="0" fillId="32" borderId="189" xfId="0" applyNumberFormat="1" applyFont="1" applyFill="1" applyBorder="1"/>
    <xf numFmtId="43" fontId="31" fillId="32" borderId="189" xfId="1" applyFont="1" applyFill="1" applyBorder="1" applyAlignment="1"/>
    <xf numFmtId="43" fontId="27" fillId="0" borderId="63" xfId="4" applyNumberFormat="1" applyFont="1" applyFill="1" applyBorder="1" applyAlignment="1">
      <alignment horizontal="right" vertical="center"/>
    </xf>
    <xf numFmtId="43" fontId="7" fillId="0" borderId="63" xfId="4" applyNumberFormat="1" applyFont="1" applyFill="1" applyBorder="1" applyAlignment="1">
      <alignment horizontal="right" vertical="center"/>
    </xf>
    <xf numFmtId="43" fontId="33" fillId="0" borderId="30" xfId="6" applyNumberFormat="1" applyFont="1" applyFill="1" applyBorder="1" applyAlignment="1">
      <alignment vertical="center"/>
    </xf>
    <xf numFmtId="43" fontId="27" fillId="0" borderId="165" xfId="1" applyFont="1" applyFill="1" applyBorder="1" applyAlignment="1">
      <alignment horizontal="right" vertical="center"/>
    </xf>
    <xf numFmtId="43" fontId="27" fillId="0" borderId="165" xfId="4" applyNumberFormat="1" applyFont="1" applyFill="1" applyBorder="1" applyAlignment="1">
      <alignment horizontal="right" vertical="center"/>
    </xf>
    <xf numFmtId="41" fontId="27" fillId="0" borderId="165" xfId="4" applyNumberFormat="1" applyFont="1" applyFill="1" applyBorder="1" applyAlignment="1">
      <alignment horizontal="right" vertical="center"/>
    </xf>
    <xf numFmtId="41" fontId="7" fillId="0" borderId="165" xfId="4" applyNumberFormat="1" applyFont="1" applyFill="1" applyBorder="1" applyAlignment="1">
      <alignment horizontal="right" vertical="center"/>
    </xf>
    <xf numFmtId="41" fontId="24" fillId="6" borderId="188" xfId="4" applyNumberFormat="1" applyFont="1" applyFill="1" applyBorder="1" applyAlignment="1">
      <alignment vertical="center"/>
    </xf>
    <xf numFmtId="41" fontId="33" fillId="0" borderId="189" xfId="6" applyNumberFormat="1" applyFont="1" applyFill="1" applyBorder="1" applyAlignment="1">
      <alignment vertical="center"/>
    </xf>
    <xf numFmtId="43" fontId="7" fillId="0" borderId="204" xfId="1" applyFont="1" applyFill="1" applyBorder="1" applyAlignment="1">
      <alignment horizontal="right" vertical="center"/>
    </xf>
    <xf numFmtId="41" fontId="7" fillId="0" borderId="199" xfId="4" applyNumberFormat="1" applyFont="1" applyFill="1" applyBorder="1" applyAlignment="1">
      <alignment horizontal="right" vertical="center"/>
    </xf>
    <xf numFmtId="43" fontId="24" fillId="6" borderId="188" xfId="1" applyNumberFormat="1" applyFont="1" applyFill="1" applyBorder="1" applyAlignment="1">
      <alignment vertical="center"/>
    </xf>
    <xf numFmtId="43" fontId="7" fillId="0" borderId="180" xfId="4" applyNumberFormat="1" applyFont="1" applyFill="1" applyBorder="1" applyAlignment="1">
      <alignment horizontal="right" vertical="center"/>
    </xf>
    <xf numFmtId="164" fontId="31" fillId="0" borderId="180" xfId="4" applyNumberFormat="1" applyFont="1" applyFill="1" applyBorder="1" applyAlignment="1">
      <alignment vertical="center"/>
    </xf>
    <xf numFmtId="164" fontId="7" fillId="0" borderId="180" xfId="1" applyNumberFormat="1" applyFont="1" applyFill="1" applyBorder="1" applyAlignment="1">
      <alignment horizontal="right" vertical="center"/>
    </xf>
    <xf numFmtId="43" fontId="27" fillId="0" borderId="180" xfId="1" applyNumberFormat="1" applyFont="1" applyFill="1" applyBorder="1" applyAlignment="1">
      <alignment horizontal="right" vertical="center"/>
    </xf>
    <xf numFmtId="43" fontId="27" fillId="0" borderId="180" xfId="4" applyNumberFormat="1" applyFont="1" applyFill="1" applyBorder="1" applyAlignment="1">
      <alignment horizontal="right" vertical="center"/>
    </xf>
    <xf numFmtId="3" fontId="24" fillId="6" borderId="188" xfId="1" applyNumberFormat="1" applyFont="1" applyFill="1" applyBorder="1" applyAlignment="1">
      <alignment vertical="center"/>
    </xf>
    <xf numFmtId="164" fontId="27" fillId="0" borderId="180" xfId="1" applyNumberFormat="1" applyFont="1" applyFill="1" applyBorder="1" applyAlignment="1">
      <alignment horizontal="right" vertical="center"/>
    </xf>
    <xf numFmtId="43" fontId="33" fillId="0" borderId="189" xfId="1" applyNumberFormat="1" applyFont="1" applyFill="1" applyBorder="1" applyAlignment="1">
      <alignment vertical="center"/>
    </xf>
    <xf numFmtId="164" fontId="7" fillId="0" borderId="188" xfId="1" applyNumberFormat="1" applyFont="1" applyFill="1" applyBorder="1" applyAlignment="1">
      <alignment horizontal="right" vertical="center"/>
    </xf>
    <xf numFmtId="43" fontId="7" fillId="0" borderId="189" xfId="1" applyNumberFormat="1" applyFont="1" applyFill="1" applyBorder="1" applyAlignment="1">
      <alignment horizontal="right" vertical="center"/>
    </xf>
    <xf numFmtId="43" fontId="7" fillId="0" borderId="188" xfId="1" applyNumberFormat="1" applyFont="1" applyFill="1" applyBorder="1" applyAlignment="1">
      <alignment horizontal="right" vertical="center"/>
    </xf>
    <xf numFmtId="3" fontId="27" fillId="2" borderId="36" xfId="4" applyNumberFormat="1" applyFont="1" applyFill="1" applyBorder="1" applyAlignment="1">
      <alignment vertical="center" wrapText="1"/>
    </xf>
    <xf numFmtId="43" fontId="33" fillId="0" borderId="35" xfId="1" applyNumberFormat="1" applyFont="1" applyFill="1" applyBorder="1" applyAlignment="1">
      <alignment vertical="center"/>
    </xf>
    <xf numFmtId="43" fontId="33" fillId="0" borderId="35" xfId="6" applyNumberFormat="1" applyFont="1" applyFill="1" applyBorder="1" applyAlignment="1">
      <alignment vertical="center"/>
    </xf>
    <xf numFmtId="43" fontId="7" fillId="0" borderId="199" xfId="1" applyNumberFormat="1" applyFont="1" applyFill="1" applyBorder="1" applyAlignment="1">
      <alignment horizontal="right" vertical="center"/>
    </xf>
    <xf numFmtId="43" fontId="7" fillId="0" borderId="199" xfId="4" applyNumberFormat="1" applyFont="1" applyFill="1" applyBorder="1" applyAlignment="1">
      <alignment horizontal="right" vertical="center"/>
    </xf>
    <xf numFmtId="0" fontId="65" fillId="0" borderId="205" xfId="0" applyFont="1" applyBorder="1" applyAlignment="1">
      <alignment horizontal="center" vertical="center"/>
    </xf>
    <xf numFmtId="3" fontId="8" fillId="6" borderId="18" xfId="0" applyNumberFormat="1" applyFont="1" applyFill="1" applyBorder="1"/>
    <xf numFmtId="3" fontId="8" fillId="6" borderId="172" xfId="0" applyNumberFormat="1" applyFont="1" applyFill="1" applyBorder="1"/>
    <xf numFmtId="3" fontId="6" fillId="6" borderId="127" xfId="0" applyNumberFormat="1" applyFont="1" applyFill="1" applyBorder="1"/>
    <xf numFmtId="3" fontId="36" fillId="15" borderId="51" xfId="0" applyNumberFormat="1" applyFont="1" applyFill="1" applyBorder="1" applyAlignment="1">
      <alignment vertical="center"/>
    </xf>
    <xf numFmtId="3" fontId="8" fillId="6" borderId="205" xfId="0" applyNumberFormat="1" applyFont="1" applyFill="1" applyBorder="1"/>
    <xf numFmtId="3" fontId="8" fillId="6" borderId="127" xfId="0" applyNumberFormat="1" applyFont="1" applyFill="1" applyBorder="1"/>
    <xf numFmtId="3" fontId="8" fillId="8" borderId="172" xfId="0" applyNumberFormat="1" applyFont="1" applyFill="1" applyBorder="1"/>
    <xf numFmtId="3" fontId="8" fillId="8" borderId="205" xfId="0" applyNumberFormat="1" applyFont="1" applyFill="1" applyBorder="1"/>
    <xf numFmtId="3" fontId="8" fillId="8" borderId="127" xfId="0" applyNumberFormat="1" applyFont="1" applyFill="1" applyBorder="1"/>
    <xf numFmtId="3" fontId="19" fillId="16" borderId="51" xfId="5" applyNumberFormat="1" applyFont="1" applyFill="1" applyBorder="1"/>
    <xf numFmtId="3" fontId="8" fillId="8" borderId="18" xfId="0" applyNumberFormat="1" applyFont="1" applyFill="1" applyBorder="1"/>
    <xf numFmtId="3" fontId="8" fillId="8" borderId="172" xfId="0" applyNumberFormat="1" applyFont="1" applyFill="1" applyBorder="1" applyAlignment="1">
      <alignment vertical="center"/>
    </xf>
    <xf numFmtId="3" fontId="65" fillId="17" borderId="7" xfId="0" applyNumberFormat="1" applyFont="1" applyFill="1" applyBorder="1"/>
    <xf numFmtId="3" fontId="36" fillId="18" borderId="24" xfId="0" applyNumberFormat="1" applyFont="1" applyFill="1" applyBorder="1" applyAlignment="1">
      <alignment vertical="center"/>
    </xf>
    <xf numFmtId="3" fontId="6" fillId="11" borderId="18" xfId="0" applyNumberFormat="1" applyFont="1" applyFill="1" applyBorder="1"/>
    <xf numFmtId="3" fontId="6" fillId="11" borderId="172" xfId="0" applyNumberFormat="1" applyFont="1" applyFill="1" applyBorder="1"/>
    <xf numFmtId="3" fontId="6" fillId="11" borderId="127" xfId="0" applyNumberFormat="1" applyFont="1" applyFill="1" applyBorder="1"/>
    <xf numFmtId="3" fontId="76" fillId="18" borderId="51" xfId="0" applyNumberFormat="1" applyFont="1" applyFill="1" applyBorder="1" applyAlignment="1">
      <alignment vertical="top"/>
    </xf>
    <xf numFmtId="3" fontId="36" fillId="18" borderId="51" xfId="0" applyNumberFormat="1" applyFont="1" applyFill="1" applyBorder="1"/>
    <xf numFmtId="3" fontId="6" fillId="11" borderId="172" xfId="0" applyNumberFormat="1" applyFont="1" applyFill="1" applyBorder="1" applyAlignment="1">
      <alignment vertical="center"/>
    </xf>
    <xf numFmtId="0" fontId="65" fillId="0" borderId="165" xfId="0" applyFont="1" applyBorder="1" applyAlignment="1">
      <alignment horizontal="center" vertical="center"/>
    </xf>
    <xf numFmtId="3" fontId="8" fillId="6" borderId="188" xfId="0" applyNumberFormat="1" applyFont="1" applyFill="1" applyBorder="1"/>
    <xf numFmtId="3" fontId="6" fillId="6" borderId="204" xfId="0" applyNumberFormat="1" applyFont="1" applyFill="1" applyBorder="1"/>
    <xf numFmtId="3" fontId="8" fillId="6" borderId="165" xfId="0" applyNumberFormat="1" applyFont="1" applyFill="1" applyBorder="1"/>
    <xf numFmtId="3" fontId="8" fillId="6" borderId="204" xfId="0" applyNumberFormat="1" applyFont="1" applyFill="1" applyBorder="1"/>
    <xf numFmtId="3" fontId="8" fillId="8" borderId="188" xfId="0" applyNumberFormat="1" applyFont="1" applyFill="1" applyBorder="1"/>
    <xf numFmtId="3" fontId="8" fillId="8" borderId="165" xfId="0" applyNumberFormat="1" applyFont="1" applyFill="1" applyBorder="1"/>
    <xf numFmtId="3" fontId="8" fillId="8" borderId="204" xfId="0" applyNumberFormat="1" applyFont="1" applyFill="1" applyBorder="1"/>
    <xf numFmtId="3" fontId="8" fillId="8" borderId="188" xfId="0" applyNumberFormat="1" applyFont="1" applyFill="1" applyBorder="1" applyAlignment="1">
      <alignment vertical="center"/>
    </xf>
    <xf numFmtId="3" fontId="65" fillId="17" borderId="9" xfId="0" applyNumberFormat="1" applyFont="1" applyFill="1" applyBorder="1"/>
    <xf numFmtId="3" fontId="6" fillId="11" borderId="188" xfId="0" applyNumberFormat="1" applyFont="1" applyFill="1" applyBorder="1"/>
    <xf numFmtId="3" fontId="6" fillId="11" borderId="204" xfId="0" applyNumberFormat="1" applyFont="1" applyFill="1" applyBorder="1"/>
    <xf numFmtId="3" fontId="6" fillId="11" borderId="188" xfId="0" applyNumberFormat="1" applyFont="1" applyFill="1" applyBorder="1" applyAlignment="1">
      <alignment vertical="center"/>
    </xf>
    <xf numFmtId="0" fontId="65" fillId="0" borderId="5" xfId="0" applyFont="1" applyBorder="1" applyAlignment="1">
      <alignment horizontal="center" vertical="center"/>
    </xf>
    <xf numFmtId="3" fontId="62" fillId="2" borderId="11" xfId="0" applyNumberFormat="1" applyFont="1" applyFill="1" applyBorder="1" applyAlignment="1">
      <alignment vertical="center" wrapText="1"/>
    </xf>
    <xf numFmtId="3" fontId="8" fillId="0" borderId="11" xfId="0" applyNumberFormat="1" applyFont="1" applyFill="1" applyBorder="1" applyAlignment="1">
      <alignment vertical="center" wrapText="1"/>
    </xf>
    <xf numFmtId="3" fontId="19" fillId="14" borderId="5" xfId="0" applyNumberFormat="1" applyFont="1" applyFill="1" applyBorder="1" applyAlignment="1">
      <alignment vertical="center" wrapText="1"/>
    </xf>
    <xf numFmtId="3" fontId="24" fillId="14" borderId="11" xfId="0" applyNumberFormat="1" applyFont="1" applyFill="1" applyBorder="1" applyAlignment="1">
      <alignment vertical="center" wrapText="1"/>
    </xf>
    <xf numFmtId="3" fontId="24" fillId="14" borderId="25" xfId="0" applyNumberFormat="1" applyFont="1" applyFill="1" applyBorder="1" applyAlignment="1">
      <alignment vertical="center" wrapText="1"/>
    </xf>
    <xf numFmtId="3" fontId="72" fillId="0" borderId="11" xfId="0" applyNumberFormat="1" applyFont="1" applyFill="1" applyBorder="1" applyAlignment="1">
      <alignment vertical="center" wrapText="1"/>
    </xf>
    <xf numFmtId="0" fontId="8" fillId="15" borderId="5" xfId="0" applyFont="1" applyFill="1" applyBorder="1"/>
    <xf numFmtId="3" fontId="36" fillId="15" borderId="25" xfId="0" applyNumberFormat="1" applyFont="1" applyFill="1" applyBorder="1" applyAlignment="1">
      <alignment vertical="center"/>
    </xf>
    <xf numFmtId="3" fontId="8" fillId="6" borderId="19" xfId="0" applyNumberFormat="1" applyFont="1" applyFill="1" applyBorder="1"/>
    <xf numFmtId="3" fontId="8" fillId="6" borderId="128" xfId="0" applyNumberFormat="1" applyFont="1" applyFill="1" applyBorder="1"/>
    <xf numFmtId="3" fontId="6" fillId="6" borderId="75" xfId="0" applyNumberFormat="1" applyFont="1" applyFill="1" applyBorder="1"/>
    <xf numFmtId="3" fontId="76" fillId="12" borderId="11" xfId="0" applyNumberFormat="1" applyFont="1" applyFill="1" applyBorder="1" applyAlignment="1">
      <alignment vertical="center"/>
    </xf>
    <xf numFmtId="3" fontId="36" fillId="15" borderId="52" xfId="0" applyNumberFormat="1" applyFont="1" applyFill="1" applyBorder="1" applyAlignment="1">
      <alignment vertical="center"/>
    </xf>
    <xf numFmtId="3" fontId="8" fillId="6" borderId="138" xfId="0" applyNumberFormat="1" applyFont="1" applyFill="1" applyBorder="1"/>
    <xf numFmtId="3" fontId="8" fillId="6" borderId="75" xfId="0" applyNumberFormat="1" applyFont="1" applyFill="1" applyBorder="1"/>
    <xf numFmtId="3" fontId="76" fillId="12" borderId="11" xfId="0" applyNumberFormat="1" applyFont="1" applyFill="1" applyBorder="1"/>
    <xf numFmtId="3" fontId="76" fillId="12" borderId="21" xfId="0" applyNumberFormat="1" applyFont="1" applyFill="1" applyBorder="1"/>
    <xf numFmtId="0" fontId="65" fillId="0" borderId="138" xfId="0" applyFont="1" applyBorder="1" applyAlignment="1">
      <alignment horizontal="center" vertical="center"/>
    </xf>
    <xf numFmtId="0" fontId="8" fillId="16" borderId="5" xfId="0" applyFont="1" applyFill="1" applyBorder="1"/>
    <xf numFmtId="3" fontId="36" fillId="16" borderId="25" xfId="5" applyNumberFormat="1" applyFont="1" applyFill="1" applyBorder="1" applyAlignment="1">
      <alignment vertical="center"/>
    </xf>
    <xf numFmtId="3" fontId="8" fillId="8" borderId="128" xfId="0" applyNumberFormat="1" applyFont="1" applyFill="1" applyBorder="1"/>
    <xf numFmtId="3" fontId="8" fillId="8" borderId="138" xfId="0" applyNumberFormat="1" applyFont="1" applyFill="1" applyBorder="1"/>
    <xf numFmtId="3" fontId="8" fillId="8" borderId="75" xfId="0" applyNumberFormat="1" applyFont="1" applyFill="1" applyBorder="1"/>
    <xf numFmtId="3" fontId="77" fillId="17" borderId="11" xfId="0" applyNumberFormat="1" applyFont="1" applyFill="1" applyBorder="1"/>
    <xf numFmtId="3" fontId="77" fillId="8" borderId="11" xfId="0" applyNumberFormat="1" applyFont="1" applyFill="1" applyBorder="1"/>
    <xf numFmtId="3" fontId="19" fillId="8" borderId="11" xfId="0" applyNumberFormat="1" applyFont="1" applyFill="1" applyBorder="1"/>
    <xf numFmtId="3" fontId="19" fillId="16" borderId="52" xfId="5" applyNumberFormat="1" applyFont="1" applyFill="1" applyBorder="1"/>
    <xf numFmtId="3" fontId="8" fillId="8" borderId="19" xfId="0" applyNumberFormat="1" applyFont="1" applyFill="1" applyBorder="1"/>
    <xf numFmtId="3" fontId="8" fillId="8" borderId="128" xfId="0" applyNumberFormat="1" applyFont="1" applyFill="1" applyBorder="1" applyAlignment="1">
      <alignment vertical="center"/>
    </xf>
    <xf numFmtId="3" fontId="65" fillId="17" borderId="21" xfId="0" applyNumberFormat="1" applyFont="1" applyFill="1" applyBorder="1"/>
    <xf numFmtId="0" fontId="8" fillId="18" borderId="5" xfId="0" applyFont="1" applyFill="1" applyBorder="1" applyAlignment="1">
      <alignment vertical="center"/>
    </xf>
    <xf numFmtId="3" fontId="36" fillId="18" borderId="25" xfId="0" applyNumberFormat="1" applyFont="1" applyFill="1" applyBorder="1" applyAlignment="1">
      <alignment vertical="center"/>
    </xf>
    <xf numFmtId="3" fontId="6" fillId="11" borderId="19" xfId="0" applyNumberFormat="1" applyFont="1" applyFill="1" applyBorder="1"/>
    <xf numFmtId="3" fontId="6" fillId="11" borderId="128" xfId="0" applyNumberFormat="1" applyFont="1" applyFill="1" applyBorder="1"/>
    <xf numFmtId="3" fontId="6" fillId="11" borderId="75" xfId="0" applyNumberFormat="1" applyFont="1" applyFill="1" applyBorder="1"/>
    <xf numFmtId="3" fontId="76" fillId="18" borderId="52" xfId="0" applyNumberFormat="1" applyFont="1" applyFill="1" applyBorder="1" applyAlignment="1">
      <alignment vertical="top"/>
    </xf>
    <xf numFmtId="3" fontId="76" fillId="2" borderId="11" xfId="0" applyNumberFormat="1" applyFont="1" applyFill="1" applyBorder="1" applyAlignment="1">
      <alignment vertical="top"/>
    </xf>
    <xf numFmtId="3" fontId="36" fillId="18" borderId="52" xfId="0" applyNumberFormat="1" applyFont="1" applyFill="1" applyBorder="1"/>
    <xf numFmtId="3" fontId="6" fillId="11" borderId="128" xfId="0" applyNumberFormat="1" applyFont="1" applyFill="1" applyBorder="1" applyAlignment="1">
      <alignment vertical="center"/>
    </xf>
    <xf numFmtId="3" fontId="8" fillId="18" borderId="25" xfId="0" applyNumberFormat="1" applyFont="1" applyFill="1" applyBorder="1"/>
    <xf numFmtId="3" fontId="38" fillId="0" borderId="189" xfId="4" applyNumberFormat="1" applyFont="1" applyFill="1" applyBorder="1" applyAlignment="1">
      <alignment horizontal="right" vertical="center"/>
    </xf>
    <xf numFmtId="0" fontId="39" fillId="0" borderId="179" xfId="0" applyFont="1" applyBorder="1"/>
    <xf numFmtId="3" fontId="0" fillId="0" borderId="174" xfId="0" applyNumberFormat="1" applyFont="1" applyBorder="1"/>
    <xf numFmtId="0" fontId="0" fillId="0" borderId="174" xfId="0" applyFont="1" applyBorder="1"/>
    <xf numFmtId="3" fontId="37" fillId="0" borderId="189" xfId="0" applyNumberFormat="1" applyFont="1" applyBorder="1"/>
    <xf numFmtId="3" fontId="8" fillId="0" borderId="189" xfId="0" applyNumberFormat="1" applyFont="1" applyBorder="1" applyAlignment="1">
      <alignment vertical="top"/>
    </xf>
    <xf numFmtId="0" fontId="24" fillId="0" borderId="43" xfId="4" applyFont="1" applyFill="1" applyBorder="1" applyAlignment="1">
      <alignment vertical="center" wrapText="1"/>
    </xf>
    <xf numFmtId="3" fontId="23" fillId="6" borderId="164" xfId="6" applyNumberFormat="1" applyFont="1" applyFill="1" applyBorder="1" applyAlignment="1">
      <alignment horizontal="right" vertical="center"/>
    </xf>
    <xf numFmtId="43" fontId="23" fillId="6" borderId="164" xfId="1" applyFont="1" applyFill="1" applyBorder="1" applyAlignment="1">
      <alignment horizontal="right" vertical="center"/>
    </xf>
    <xf numFmtId="3" fontId="25" fillId="22" borderId="174" xfId="4" applyNumberFormat="1" applyFont="1" applyFill="1" applyBorder="1" applyAlignment="1">
      <alignment horizontal="right" vertical="center"/>
    </xf>
    <xf numFmtId="3" fontId="33" fillId="0" borderId="164" xfId="6" applyNumberFormat="1" applyFont="1" applyFill="1" applyBorder="1" applyAlignment="1">
      <alignment horizontal="right" vertical="center"/>
    </xf>
    <xf numFmtId="43" fontId="33" fillId="0" borderId="164" xfId="1" applyFont="1" applyFill="1" applyBorder="1" applyAlignment="1">
      <alignment horizontal="right" vertical="center"/>
    </xf>
    <xf numFmtId="43" fontId="31" fillId="0" borderId="164" xfId="1" applyFont="1" applyFill="1" applyBorder="1" applyAlignment="1">
      <alignment horizontal="right" vertical="center"/>
    </xf>
    <xf numFmtId="43" fontId="31" fillId="0" borderId="204" xfId="1" applyFont="1" applyFill="1" applyBorder="1" applyAlignment="1">
      <alignment vertical="center"/>
    </xf>
    <xf numFmtId="3" fontId="24" fillId="22" borderId="174" xfId="4" applyNumberFormat="1" applyFont="1" applyFill="1" applyBorder="1" applyAlignment="1">
      <alignment horizontal="right" vertical="center"/>
    </xf>
    <xf numFmtId="3" fontId="32" fillId="0" borderId="174" xfId="6" applyNumberFormat="1" applyFont="1" applyFill="1" applyBorder="1" applyAlignment="1">
      <alignment vertical="center"/>
    </xf>
    <xf numFmtId="3" fontId="25" fillId="6" borderId="174" xfId="4" applyNumberFormat="1" applyFont="1" applyFill="1" applyBorder="1" applyAlignment="1">
      <alignment horizontal="right" vertical="center"/>
    </xf>
    <xf numFmtId="3" fontId="33" fillId="0" borderId="174" xfId="6" applyNumberFormat="1" applyFont="1" applyFill="1" applyBorder="1" applyAlignment="1">
      <alignment vertical="center"/>
    </xf>
    <xf numFmtId="3" fontId="7" fillId="0" borderId="174" xfId="4" applyNumberFormat="1" applyFont="1" applyFill="1" applyBorder="1" applyAlignment="1">
      <alignment horizontal="right" vertical="center"/>
    </xf>
    <xf numFmtId="3" fontId="27" fillId="2" borderId="174" xfId="4" applyNumberFormat="1" applyFont="1" applyFill="1" applyBorder="1" applyAlignment="1">
      <alignment vertical="center"/>
    </xf>
    <xf numFmtId="3" fontId="7" fillId="0" borderId="164" xfId="0" applyNumberFormat="1" applyFont="1" applyFill="1" applyBorder="1" applyAlignment="1">
      <alignment vertical="top"/>
    </xf>
    <xf numFmtId="3" fontId="27" fillId="0" borderId="174" xfId="4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>
      <alignment vertical="center"/>
    </xf>
    <xf numFmtId="3" fontId="31" fillId="23" borderId="199" xfId="4" applyNumberFormat="1" applyFont="1" applyFill="1" applyBorder="1" applyAlignment="1">
      <alignment vertical="center"/>
    </xf>
    <xf numFmtId="0" fontId="23" fillId="0" borderId="166" xfId="0" applyFont="1" applyFill="1" applyBorder="1" applyAlignment="1">
      <alignment horizontal="center" vertical="center" wrapText="1"/>
    </xf>
    <xf numFmtId="3" fontId="31" fillId="0" borderId="164" xfId="4" applyNumberFormat="1" applyFont="1" applyFill="1" applyBorder="1" applyAlignment="1">
      <alignment horizontal="right" vertical="center"/>
    </xf>
    <xf numFmtId="0" fontId="25" fillId="6" borderId="168" xfId="4" applyFont="1" applyFill="1" applyBorder="1" applyAlignment="1">
      <alignment horizontal="center" vertical="center"/>
    </xf>
    <xf numFmtId="0" fontId="31" fillId="0" borderId="169" xfId="4" applyFont="1" applyFill="1" applyBorder="1" applyAlignment="1">
      <alignment vertical="center"/>
    </xf>
    <xf numFmtId="0" fontId="7" fillId="0" borderId="169" xfId="4" applyFont="1" applyFill="1" applyBorder="1" applyAlignment="1">
      <alignment vertical="center"/>
    </xf>
    <xf numFmtId="0" fontId="27" fillId="2" borderId="169" xfId="4" applyFont="1" applyFill="1" applyBorder="1" applyAlignment="1">
      <alignment vertical="center"/>
    </xf>
    <xf numFmtId="43" fontId="32" fillId="0" borderId="164" xfId="1" applyFont="1" applyFill="1" applyBorder="1" applyAlignment="1">
      <alignment vertical="center"/>
    </xf>
    <xf numFmtId="3" fontId="27" fillId="2" borderId="163" xfId="4" applyNumberFormat="1" applyFont="1" applyFill="1" applyBorder="1" applyAlignment="1">
      <alignment vertical="center"/>
    </xf>
    <xf numFmtId="43" fontId="7" fillId="0" borderId="173" xfId="1" applyFont="1" applyFill="1" applyBorder="1" applyAlignment="1">
      <alignment horizontal="right" vertical="center"/>
    </xf>
    <xf numFmtId="43" fontId="32" fillId="0" borderId="174" xfId="1" applyFont="1" applyFill="1" applyBorder="1" applyAlignment="1">
      <alignment vertical="center"/>
    </xf>
    <xf numFmtId="3" fontId="24" fillId="22" borderId="183" xfId="4" applyNumberFormat="1" applyFont="1" applyFill="1" applyBorder="1" applyAlignment="1">
      <alignment horizontal="right" vertical="center"/>
    </xf>
    <xf numFmtId="43" fontId="7" fillId="0" borderId="72" xfId="1" applyFont="1" applyFill="1" applyBorder="1" applyAlignment="1">
      <alignment horizontal="right" vertical="center"/>
    </xf>
    <xf numFmtId="43" fontId="25" fillId="6" borderId="9" xfId="1" applyFont="1" applyFill="1" applyBorder="1" applyAlignment="1">
      <alignment vertical="center"/>
    </xf>
    <xf numFmtId="3" fontId="25" fillId="6" borderId="174" xfId="4" applyNumberFormat="1" applyFont="1" applyFill="1" applyBorder="1" applyAlignment="1">
      <alignment vertical="center"/>
    </xf>
    <xf numFmtId="43" fontId="25" fillId="6" borderId="174" xfId="1" applyFont="1" applyFill="1" applyBorder="1" applyAlignment="1">
      <alignment vertical="center"/>
    </xf>
    <xf numFmtId="3" fontId="27" fillId="0" borderId="27" xfId="4" applyNumberFormat="1" applyFont="1" applyFill="1" applyBorder="1" applyAlignment="1">
      <alignment vertical="center"/>
    </xf>
    <xf numFmtId="43" fontId="27" fillId="0" borderId="27" xfId="1" applyFont="1" applyFill="1" applyBorder="1" applyAlignment="1">
      <alignment vertical="center"/>
    </xf>
    <xf numFmtId="3" fontId="31" fillId="0" borderId="165" xfId="4" applyNumberFormat="1" applyFont="1" applyFill="1" applyBorder="1" applyAlignment="1">
      <alignment horizontal="right" vertical="center"/>
    </xf>
    <xf numFmtId="43" fontId="33" fillId="0" borderId="174" xfId="1" applyFont="1" applyFill="1" applyBorder="1" applyAlignment="1">
      <alignment vertical="center"/>
    </xf>
    <xf numFmtId="43" fontId="24" fillId="6" borderId="174" xfId="1" applyFont="1" applyFill="1" applyBorder="1" applyAlignment="1">
      <alignment vertical="center"/>
    </xf>
    <xf numFmtId="3" fontId="24" fillId="6" borderId="174" xfId="4" applyNumberFormat="1" applyFont="1" applyFill="1" applyBorder="1" applyAlignment="1">
      <alignment vertical="center"/>
    </xf>
    <xf numFmtId="3" fontId="24" fillId="26" borderId="107" xfId="4" applyNumberFormat="1" applyFont="1" applyFill="1" applyBorder="1" applyAlignment="1">
      <alignment horizontal="center" vertical="center"/>
    </xf>
    <xf numFmtId="3" fontId="32" fillId="0" borderId="9" xfId="6" applyNumberFormat="1" applyFont="1" applyFill="1" applyBorder="1" applyAlignment="1">
      <alignment vertical="center"/>
    </xf>
    <xf numFmtId="43" fontId="32" fillId="0" borderId="9" xfId="1" applyFont="1" applyFill="1" applyBorder="1" applyAlignment="1">
      <alignment vertical="center"/>
    </xf>
    <xf numFmtId="3" fontId="32" fillId="0" borderId="10" xfId="6" applyNumberFormat="1" applyFont="1" applyFill="1" applyBorder="1" applyAlignment="1">
      <alignment vertical="center"/>
    </xf>
    <xf numFmtId="43" fontId="32" fillId="0" borderId="10" xfId="1" applyFont="1" applyFill="1" applyBorder="1" applyAlignment="1">
      <alignment vertical="center"/>
    </xf>
    <xf numFmtId="43" fontId="29" fillId="2" borderId="188" xfId="1" applyFont="1" applyFill="1" applyBorder="1" applyAlignment="1">
      <alignment vertical="center"/>
    </xf>
    <xf numFmtId="43" fontId="31" fillId="0" borderId="188" xfId="1" applyFont="1" applyFill="1" applyBorder="1" applyAlignment="1">
      <alignment vertical="center"/>
    </xf>
    <xf numFmtId="3" fontId="29" fillId="2" borderId="164" xfId="4" applyNumberFormat="1" applyFont="1" applyFill="1" applyBorder="1" applyAlignment="1">
      <alignment vertical="center"/>
    </xf>
    <xf numFmtId="3" fontId="31" fillId="25" borderId="165" xfId="4" applyNumberFormat="1" applyFont="1" applyFill="1" applyBorder="1" applyAlignment="1">
      <alignment horizontal="right" vertical="center"/>
    </xf>
    <xf numFmtId="3" fontId="32" fillId="0" borderId="20" xfId="0" applyNumberFormat="1" applyFont="1" applyBorder="1" applyAlignment="1">
      <alignment horizontal="center" vertical="center"/>
    </xf>
    <xf numFmtId="43" fontId="29" fillId="2" borderId="164" xfId="1" applyFont="1" applyFill="1" applyBorder="1" applyAlignment="1">
      <alignment vertical="center"/>
    </xf>
    <xf numFmtId="3" fontId="8" fillId="0" borderId="199" xfId="4" applyNumberFormat="1" applyFont="1" applyFill="1" applyBorder="1" applyAlignment="1">
      <alignment horizontal="right" vertical="center"/>
    </xf>
    <xf numFmtId="3" fontId="8" fillId="0" borderId="141" xfId="4" applyNumberFormat="1" applyFont="1" applyFill="1" applyBorder="1" applyAlignment="1">
      <alignment horizontal="right" vertical="center"/>
    </xf>
    <xf numFmtId="0" fontId="31" fillId="0" borderId="21" xfId="4" applyFont="1" applyFill="1" applyBorder="1" applyAlignment="1">
      <alignment vertical="center"/>
    </xf>
    <xf numFmtId="3" fontId="31" fillId="0" borderId="141" xfId="4" applyNumberFormat="1" applyFont="1" applyFill="1" applyBorder="1" applyAlignment="1">
      <alignment horizontal="right" vertical="center"/>
    </xf>
    <xf numFmtId="0" fontId="24" fillId="8" borderId="189" xfId="4" applyFont="1" applyFill="1" applyBorder="1" applyAlignment="1">
      <alignment vertical="center" wrapText="1"/>
    </xf>
    <xf numFmtId="0" fontId="24" fillId="8" borderId="189" xfId="4" applyFont="1" applyFill="1" applyBorder="1" applyAlignment="1">
      <alignment horizontal="center" vertical="center" wrapText="1"/>
    </xf>
    <xf numFmtId="0" fontId="24" fillId="6" borderId="189" xfId="4" applyFont="1" applyFill="1" applyBorder="1" applyAlignment="1">
      <alignment horizontal="left" vertical="center"/>
    </xf>
    <xf numFmtId="3" fontId="29" fillId="2" borderId="189" xfId="4" applyNumberFormat="1" applyFont="1" applyFill="1" applyBorder="1" applyAlignment="1">
      <alignment vertical="top" wrapText="1"/>
    </xf>
    <xf numFmtId="0" fontId="7" fillId="0" borderId="189" xfId="4" applyFont="1" applyFill="1" applyBorder="1" applyAlignment="1">
      <alignment vertical="top"/>
    </xf>
    <xf numFmtId="0" fontId="29" fillId="2" borderId="189" xfId="4" applyFont="1" applyFill="1" applyBorder="1" applyAlignment="1">
      <alignment vertical="top"/>
    </xf>
    <xf numFmtId="0" fontId="32" fillId="0" borderId="199" xfId="0" applyFont="1" applyBorder="1"/>
    <xf numFmtId="0" fontId="24" fillId="8" borderId="35" xfId="4" applyFont="1" applyFill="1" applyBorder="1" applyAlignment="1">
      <alignment vertical="center" wrapText="1"/>
    </xf>
    <xf numFmtId="0" fontId="24" fillId="8" borderId="35" xfId="4" applyFont="1" applyFill="1" applyBorder="1" applyAlignment="1">
      <alignment horizontal="center" vertical="center" wrapText="1"/>
    </xf>
    <xf numFmtId="3" fontId="24" fillId="8" borderId="35" xfId="4" applyNumberFormat="1" applyFont="1" applyFill="1" applyBorder="1" applyAlignment="1">
      <alignment horizontal="right" vertical="center"/>
    </xf>
    <xf numFmtId="3" fontId="24" fillId="22" borderId="35" xfId="4" applyNumberFormat="1" applyFont="1" applyFill="1" applyBorder="1" applyAlignment="1">
      <alignment horizontal="right" vertical="center"/>
    </xf>
    <xf numFmtId="0" fontId="29" fillId="2" borderId="163" xfId="4" applyFont="1" applyFill="1" applyBorder="1" applyAlignment="1">
      <alignment vertical="top"/>
    </xf>
    <xf numFmtId="3" fontId="33" fillId="25" borderId="163" xfId="6" applyNumberFormat="1" applyFont="1" applyFill="1" applyBorder="1" applyAlignment="1">
      <alignment vertical="center"/>
    </xf>
    <xf numFmtId="0" fontId="32" fillId="0" borderId="124" xfId="0" applyFont="1" applyBorder="1" applyAlignment="1">
      <alignment vertical="center"/>
    </xf>
    <xf numFmtId="0" fontId="24" fillId="8" borderId="179" xfId="4" applyFont="1" applyFill="1" applyBorder="1" applyAlignment="1">
      <alignment vertical="center" wrapText="1"/>
    </xf>
    <xf numFmtId="0" fontId="24" fillId="8" borderId="179" xfId="4" applyFont="1" applyFill="1" applyBorder="1" applyAlignment="1">
      <alignment horizontal="center" vertical="center" wrapText="1"/>
    </xf>
    <xf numFmtId="3" fontId="24" fillId="22" borderId="179" xfId="4" applyNumberFormat="1" applyFont="1" applyFill="1" applyBorder="1" applyAlignment="1">
      <alignment horizontal="right" vertical="center"/>
    </xf>
    <xf numFmtId="0" fontId="24" fillId="6" borderId="179" xfId="4" applyFont="1" applyFill="1" applyBorder="1" applyAlignment="1">
      <alignment horizontal="left" vertical="center"/>
    </xf>
    <xf numFmtId="0" fontId="25" fillId="6" borderId="179" xfId="4" applyFont="1" applyFill="1" applyBorder="1" applyAlignment="1">
      <alignment horizontal="left" vertical="center"/>
    </xf>
    <xf numFmtId="3" fontId="25" fillId="6" borderId="179" xfId="4" applyNumberFormat="1" applyFont="1" applyFill="1" applyBorder="1" applyAlignment="1">
      <alignment horizontal="right" vertical="center"/>
    </xf>
    <xf numFmtId="3" fontId="25" fillId="22" borderId="179" xfId="4" applyNumberFormat="1" applyFont="1" applyFill="1" applyBorder="1" applyAlignment="1">
      <alignment horizontal="right" vertical="center"/>
    </xf>
    <xf numFmtId="3" fontId="29" fillId="2" borderId="179" xfId="4" applyNumberFormat="1" applyFont="1" applyFill="1" applyBorder="1" applyAlignment="1">
      <alignment vertical="top" wrapText="1"/>
    </xf>
    <xf numFmtId="0" fontId="7" fillId="0" borderId="179" xfId="4" applyFont="1" applyFill="1" applyBorder="1" applyAlignment="1">
      <alignment vertical="top"/>
    </xf>
    <xf numFmtId="3" fontId="31" fillId="0" borderId="179" xfId="0" applyNumberFormat="1" applyFont="1" applyFill="1" applyBorder="1" applyAlignment="1">
      <alignment vertical="top"/>
    </xf>
    <xf numFmtId="3" fontId="7" fillId="0" borderId="179" xfId="4" applyNumberFormat="1" applyFont="1" applyFill="1" applyBorder="1" applyAlignment="1">
      <alignment horizontal="right" vertical="center"/>
    </xf>
    <xf numFmtId="0" fontId="29" fillId="2" borderId="179" xfId="4" applyFont="1" applyFill="1" applyBorder="1" applyAlignment="1">
      <alignment vertical="top"/>
    </xf>
    <xf numFmtId="3" fontId="33" fillId="0" borderId="179" xfId="6" applyNumberFormat="1" applyFont="1" applyFill="1" applyBorder="1" applyAlignment="1">
      <alignment vertical="center"/>
    </xf>
    <xf numFmtId="3" fontId="33" fillId="25" borderId="179" xfId="6" applyNumberFormat="1" applyFont="1" applyFill="1" applyBorder="1" applyAlignment="1">
      <alignment vertical="center"/>
    </xf>
    <xf numFmtId="3" fontId="31" fillId="0" borderId="179" xfId="0" applyNumberFormat="1" applyFont="1" applyFill="1" applyBorder="1" applyAlignment="1">
      <alignment horizontal="right"/>
    </xf>
    <xf numFmtId="3" fontId="31" fillId="0" borderId="179" xfId="0" applyNumberFormat="1" applyFont="1" applyFill="1" applyBorder="1" applyAlignment="1">
      <alignment horizontal="right" vertical="center"/>
    </xf>
    <xf numFmtId="3" fontId="32" fillId="0" borderId="179" xfId="6" applyNumberFormat="1" applyFont="1" applyFill="1" applyBorder="1" applyAlignment="1">
      <alignment vertical="center"/>
    </xf>
    <xf numFmtId="3" fontId="24" fillId="6" borderId="189" xfId="4" applyNumberFormat="1" applyFont="1" applyFill="1" applyBorder="1" applyAlignment="1">
      <alignment horizontal="right" vertical="center"/>
    </xf>
    <xf numFmtId="3" fontId="29" fillId="2" borderId="189" xfId="4" applyNumberFormat="1" applyFont="1" applyFill="1" applyBorder="1" applyAlignment="1">
      <alignment vertical="center" wrapText="1"/>
    </xf>
    <xf numFmtId="0" fontId="7" fillId="0" borderId="199" xfId="4" applyFont="1" applyFill="1" applyBorder="1" applyAlignment="1">
      <alignment vertical="center"/>
    </xf>
    <xf numFmtId="0" fontId="7" fillId="0" borderId="183" xfId="4" applyFont="1" applyFill="1" applyBorder="1" applyAlignment="1">
      <alignment vertical="center"/>
    </xf>
    <xf numFmtId="0" fontId="31" fillId="6" borderId="28" xfId="0" applyFont="1" applyFill="1" applyBorder="1" applyAlignment="1">
      <alignment vertical="top"/>
    </xf>
    <xf numFmtId="3" fontId="25" fillId="22" borderId="90" xfId="0" applyNumberFormat="1" applyFont="1" applyFill="1" applyBorder="1" applyAlignment="1">
      <alignment vertical="top"/>
    </xf>
    <xf numFmtId="3" fontId="28" fillId="2" borderId="9" xfId="0" applyNumberFormat="1" applyFont="1" applyFill="1" applyBorder="1" applyAlignment="1">
      <alignment vertical="top"/>
    </xf>
    <xf numFmtId="3" fontId="31" fillId="0" borderId="130" xfId="0" applyNumberFormat="1" applyFont="1" applyFill="1" applyBorder="1" applyAlignment="1">
      <alignment horizontal="right" vertical="center"/>
    </xf>
    <xf numFmtId="0" fontId="28" fillId="0" borderId="138" xfId="0" applyFont="1" applyFill="1" applyBorder="1" applyAlignment="1">
      <alignment vertical="top"/>
    </xf>
    <xf numFmtId="3" fontId="31" fillId="0" borderId="165" xfId="0" applyNumberFormat="1" applyFont="1" applyFill="1" applyBorder="1" applyAlignment="1">
      <alignment horizontal="right" vertical="center"/>
    </xf>
    <xf numFmtId="3" fontId="31" fillId="25" borderId="173" xfId="0" applyNumberFormat="1" applyFont="1" applyFill="1" applyBorder="1" applyAlignment="1">
      <alignment vertical="top"/>
    </xf>
    <xf numFmtId="0" fontId="28" fillId="0" borderId="21" xfId="0" applyFont="1" applyFill="1" applyBorder="1" applyAlignment="1">
      <alignment vertical="top"/>
    </xf>
    <xf numFmtId="3" fontId="28" fillId="0" borderId="9" xfId="0" applyNumberFormat="1" applyFont="1" applyFill="1" applyBorder="1" applyAlignment="1">
      <alignment horizontal="right" vertical="center"/>
    </xf>
    <xf numFmtId="3" fontId="28" fillId="25" borderId="35" xfId="0" applyNumberFormat="1" applyFont="1" applyFill="1" applyBorder="1" applyAlignment="1">
      <alignment vertical="top"/>
    </xf>
    <xf numFmtId="3" fontId="28" fillId="0" borderId="164" xfId="0" applyNumberFormat="1" applyFont="1" applyFill="1" applyBorder="1" applyAlignment="1">
      <alignment horizontal="right" vertical="center"/>
    </xf>
    <xf numFmtId="3" fontId="28" fillId="25" borderId="130" xfId="0" applyNumberFormat="1" applyFont="1" applyFill="1" applyBorder="1" applyAlignment="1">
      <alignment vertical="top"/>
    </xf>
    <xf numFmtId="0" fontId="27" fillId="2" borderId="94" xfId="4" applyFont="1" applyFill="1" applyBorder="1" applyAlignment="1">
      <alignment vertical="top"/>
    </xf>
    <xf numFmtId="3" fontId="25" fillId="6" borderId="182" xfId="0" applyNumberFormat="1" applyFont="1" applyFill="1" applyBorder="1" applyAlignment="1">
      <alignment vertical="top"/>
    </xf>
    <xf numFmtId="43" fontId="25" fillId="6" borderId="182" xfId="1" applyFont="1" applyFill="1" applyBorder="1" applyAlignment="1">
      <alignment vertical="top"/>
    </xf>
    <xf numFmtId="3" fontId="25" fillId="22" borderId="182" xfId="0" applyNumberFormat="1" applyFont="1" applyFill="1" applyBorder="1" applyAlignment="1">
      <alignment vertical="top"/>
    </xf>
    <xf numFmtId="43" fontId="27" fillId="2" borderId="188" xfId="1" applyFont="1" applyFill="1" applyBorder="1" applyAlignment="1">
      <alignment vertical="top"/>
    </xf>
    <xf numFmtId="3" fontId="31" fillId="2" borderId="9" xfId="0" applyNumberFormat="1" applyFont="1" applyFill="1" applyBorder="1" applyAlignment="1">
      <alignment vertical="top"/>
    </xf>
    <xf numFmtId="43" fontId="27" fillId="2" borderId="9" xfId="1" applyFont="1" applyFill="1" applyBorder="1" applyAlignment="1">
      <alignment vertical="top"/>
    </xf>
    <xf numFmtId="43" fontId="31" fillId="2" borderId="9" xfId="1" applyFont="1" applyFill="1" applyBorder="1" applyAlignment="1">
      <alignment vertical="top"/>
    </xf>
    <xf numFmtId="0" fontId="31" fillId="0" borderId="21" xfId="0" applyFont="1" applyFill="1" applyBorder="1" applyAlignment="1">
      <alignment vertical="center"/>
    </xf>
    <xf numFmtId="3" fontId="28" fillId="2" borderId="188" xfId="0" applyNumberFormat="1" applyFont="1" applyFill="1" applyBorder="1" applyAlignment="1">
      <alignment vertical="center"/>
    </xf>
    <xf numFmtId="3" fontId="31" fillId="0" borderId="9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center"/>
    </xf>
    <xf numFmtId="3" fontId="31" fillId="25" borderId="130" xfId="0" applyNumberFormat="1" applyFont="1" applyFill="1" applyBorder="1" applyAlignment="1">
      <alignment vertical="center"/>
    </xf>
    <xf numFmtId="43" fontId="31" fillId="0" borderId="9" xfId="1" applyFont="1" applyFill="1" applyBorder="1" applyAlignment="1">
      <alignment vertical="top"/>
    </xf>
    <xf numFmtId="0" fontId="31" fillId="0" borderId="11" xfId="4" applyFont="1" applyFill="1" applyBorder="1" applyAlignment="1">
      <alignment vertical="center"/>
    </xf>
    <xf numFmtId="3" fontId="31" fillId="0" borderId="35" xfId="0" applyNumberFormat="1" applyFont="1" applyFill="1" applyBorder="1" applyAlignment="1">
      <alignment horizontal="right" vertical="center"/>
    </xf>
    <xf numFmtId="43" fontId="31" fillId="0" borderId="35" xfId="1" applyFont="1" applyFill="1" applyBorder="1" applyAlignment="1">
      <alignment horizontal="right" vertical="center"/>
    </xf>
    <xf numFmtId="0" fontId="31" fillId="0" borderId="21" xfId="0" applyFont="1" applyFill="1" applyBorder="1" applyAlignment="1">
      <alignment horizontal="left" vertical="center" wrapText="1"/>
    </xf>
    <xf numFmtId="3" fontId="31" fillId="0" borderId="9" xfId="0" applyNumberFormat="1" applyFont="1" applyFill="1" applyBorder="1" applyAlignment="1">
      <alignment horizontal="right" vertical="center"/>
    </xf>
    <xf numFmtId="3" fontId="31" fillId="0" borderId="189" xfId="0" applyNumberFormat="1" applyFont="1" applyFill="1" applyBorder="1" applyAlignment="1">
      <alignment horizontal="right" vertical="center"/>
    </xf>
    <xf numFmtId="3" fontId="25" fillId="25" borderId="10" xfId="0" applyNumberFormat="1" applyFont="1" applyFill="1" applyBorder="1" applyAlignment="1">
      <alignment vertical="top"/>
    </xf>
    <xf numFmtId="43" fontId="31" fillId="0" borderId="13" xfId="1" applyFont="1" applyFill="1" applyBorder="1" applyAlignment="1">
      <alignment horizontal="right" vertical="center"/>
    </xf>
    <xf numFmtId="0" fontId="7" fillId="6" borderId="181" xfId="0" applyFont="1" applyFill="1" applyBorder="1" applyAlignment="1">
      <alignment horizontal="left" vertical="center" wrapText="1"/>
    </xf>
    <xf numFmtId="43" fontId="31" fillId="0" borderId="189" xfId="1" applyFont="1" applyFill="1" applyBorder="1" applyAlignment="1">
      <alignment vertical="top"/>
    </xf>
    <xf numFmtId="0" fontId="27" fillId="2" borderId="172" xfId="4" applyFont="1" applyFill="1" applyBorder="1" applyAlignment="1">
      <alignment vertical="top"/>
    </xf>
    <xf numFmtId="3" fontId="28" fillId="50" borderId="9" xfId="0" applyNumberFormat="1" applyFont="1" applyFill="1" applyBorder="1" applyAlignment="1">
      <alignment horizontal="right"/>
    </xf>
    <xf numFmtId="0" fontId="7" fillId="23" borderId="68" xfId="0" applyFont="1" applyFill="1" applyBorder="1" applyAlignment="1">
      <alignment vertical="top"/>
    </xf>
    <xf numFmtId="3" fontId="38" fillId="0" borderId="163" xfId="0" applyNumberFormat="1" applyFont="1" applyFill="1" applyBorder="1" applyAlignment="1">
      <alignment vertical="center"/>
    </xf>
    <xf numFmtId="3" fontId="38" fillId="0" borderId="124" xfId="0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 wrapText="1"/>
    </xf>
    <xf numFmtId="0" fontId="19" fillId="0" borderId="26" xfId="4" applyFont="1" applyFill="1" applyBorder="1" applyAlignment="1">
      <alignment vertical="center" wrapText="1"/>
    </xf>
    <xf numFmtId="3" fontId="7" fillId="0" borderId="35" xfId="0" applyNumberFormat="1" applyFont="1" applyFill="1" applyBorder="1" applyAlignment="1">
      <alignment vertical="center"/>
    </xf>
    <xf numFmtId="3" fontId="24" fillId="22" borderId="13" xfId="0" applyNumberFormat="1" applyFont="1" applyFill="1" applyBorder="1" applyAlignment="1">
      <alignment vertical="center"/>
    </xf>
    <xf numFmtId="0" fontId="17" fillId="2" borderId="43" xfId="0" applyFont="1" applyFill="1" applyBorder="1" applyAlignment="1">
      <alignment vertical="center" wrapText="1"/>
    </xf>
    <xf numFmtId="0" fontId="7" fillId="0" borderId="128" xfId="0" applyFont="1" applyFill="1" applyBorder="1" applyAlignment="1">
      <alignment vertical="center" wrapText="1"/>
    </xf>
    <xf numFmtId="0" fontId="7" fillId="0" borderId="75" xfId="0" applyFont="1" applyFill="1" applyBorder="1" applyAlignment="1">
      <alignment vertical="center" wrapText="1"/>
    </xf>
    <xf numFmtId="0" fontId="19" fillId="0" borderId="66" xfId="4" applyFont="1" applyFill="1" applyBorder="1" applyAlignment="1">
      <alignment vertical="center" wrapText="1"/>
    </xf>
    <xf numFmtId="3" fontId="24" fillId="22" borderId="12" xfId="0" applyNumberFormat="1" applyFont="1" applyFill="1" applyBorder="1" applyAlignment="1">
      <alignment vertical="center"/>
    </xf>
    <xf numFmtId="0" fontId="17" fillId="2" borderId="41" xfId="0" applyFont="1" applyFill="1" applyBorder="1" applyAlignment="1">
      <alignment vertical="center" wrapText="1"/>
    </xf>
    <xf numFmtId="0" fontId="25" fillId="8" borderId="21" xfId="0" applyFont="1" applyFill="1" applyBorder="1" applyAlignment="1">
      <alignment vertical="center" wrapText="1"/>
    </xf>
    <xf numFmtId="0" fontId="25" fillId="8" borderId="83" xfId="0" applyFont="1" applyFill="1" applyBorder="1" applyAlignment="1">
      <alignment horizontal="center" vertical="center" wrapText="1"/>
    </xf>
    <xf numFmtId="3" fontId="31" fillId="8" borderId="7" xfId="0" applyNumberFormat="1" applyFont="1" applyFill="1" applyBorder="1" applyAlignment="1">
      <alignment vertical="top"/>
    </xf>
    <xf numFmtId="3" fontId="31" fillId="8" borderId="8" xfId="0" applyNumberFormat="1" applyFont="1" applyFill="1" applyBorder="1" applyAlignment="1">
      <alignment vertical="top"/>
    </xf>
    <xf numFmtId="0" fontId="31" fillId="8" borderId="8" xfId="0" applyFont="1" applyFill="1" applyBorder="1" applyAlignment="1">
      <alignment vertical="top"/>
    </xf>
    <xf numFmtId="0" fontId="31" fillId="8" borderId="9" xfId="0" applyFont="1" applyFill="1" applyBorder="1" applyAlignment="1">
      <alignment vertical="top"/>
    </xf>
    <xf numFmtId="0" fontId="7" fillId="23" borderId="35" xfId="0" applyFont="1" applyFill="1" applyBorder="1" applyAlignment="1">
      <alignment vertical="top"/>
    </xf>
    <xf numFmtId="0" fontId="62" fillId="6" borderId="20" xfId="4" applyFont="1" applyFill="1" applyBorder="1" applyAlignment="1">
      <alignment horizontal="left" vertical="center"/>
    </xf>
    <xf numFmtId="3" fontId="27" fillId="0" borderId="88" xfId="0" applyNumberFormat="1" applyFont="1" applyFill="1" applyBorder="1" applyAlignment="1">
      <alignment vertical="center"/>
    </xf>
    <xf numFmtId="0" fontId="8" fillId="0" borderId="21" xfId="4" applyFont="1" applyFill="1" applyBorder="1" applyAlignment="1">
      <alignment vertical="center" wrapText="1"/>
    </xf>
    <xf numFmtId="3" fontId="31" fillId="0" borderId="88" xfId="0" applyNumberFormat="1" applyFont="1" applyFill="1" applyBorder="1" applyAlignment="1">
      <alignment vertical="center"/>
    </xf>
    <xf numFmtId="3" fontId="31" fillId="0" borderId="90" xfId="0" applyNumberFormat="1" applyFont="1" applyFill="1" applyBorder="1" applyAlignment="1">
      <alignment vertical="top"/>
    </xf>
    <xf numFmtId="3" fontId="31" fillId="0" borderId="98" xfId="0" applyNumberFormat="1" applyFont="1" applyFill="1" applyBorder="1" applyAlignment="1">
      <alignment vertical="center"/>
    </xf>
    <xf numFmtId="3" fontId="31" fillId="22" borderId="35" xfId="0" applyNumberFormat="1" applyFont="1" applyFill="1" applyBorder="1" applyAlignment="1">
      <alignment vertical="center"/>
    </xf>
    <xf numFmtId="3" fontId="28" fillId="0" borderId="88" xfId="0" applyNumberFormat="1" applyFont="1" applyFill="1" applyBorder="1" applyAlignment="1">
      <alignment vertical="center"/>
    </xf>
    <xf numFmtId="3" fontId="28" fillId="0" borderId="90" xfId="0" applyNumberFormat="1" applyFont="1" applyFill="1" applyBorder="1" applyAlignment="1">
      <alignment vertical="top"/>
    </xf>
    <xf numFmtId="3" fontId="28" fillId="0" borderId="98" xfId="0" applyNumberFormat="1" applyFont="1" applyFill="1" applyBorder="1" applyAlignment="1">
      <alignment vertical="center"/>
    </xf>
    <xf numFmtId="3" fontId="28" fillId="22" borderId="35" xfId="0" applyNumberFormat="1" applyFont="1" applyFill="1" applyBorder="1" applyAlignment="1">
      <alignment vertical="center"/>
    </xf>
    <xf numFmtId="3" fontId="27" fillId="22" borderId="35" xfId="0" applyNumberFormat="1" applyFont="1" applyFill="1" applyBorder="1" applyAlignment="1">
      <alignment vertical="center"/>
    </xf>
    <xf numFmtId="0" fontId="7" fillId="0" borderId="32" xfId="4" applyFont="1" applyFill="1" applyBorder="1" applyAlignment="1">
      <alignment vertical="top"/>
    </xf>
    <xf numFmtId="0" fontId="7" fillId="0" borderId="32" xfId="0" applyFont="1" applyFill="1" applyBorder="1" applyAlignment="1">
      <alignment vertical="center" wrapText="1"/>
    </xf>
    <xf numFmtId="3" fontId="25" fillId="6" borderId="101" xfId="0" applyNumberFormat="1" applyFont="1" applyFill="1" applyBorder="1" applyAlignment="1">
      <alignment vertical="center"/>
    </xf>
    <xf numFmtId="3" fontId="27" fillId="0" borderId="100" xfId="0" applyNumberFormat="1" applyFont="1" applyFill="1" applyBorder="1" applyAlignment="1">
      <alignment vertical="center"/>
    </xf>
    <xf numFmtId="3" fontId="27" fillId="0" borderId="100" xfId="0" applyNumberFormat="1" applyFont="1" applyFill="1" applyBorder="1" applyAlignment="1">
      <alignment vertical="top"/>
    </xf>
    <xf numFmtId="3" fontId="31" fillId="0" borderId="100" xfId="0" applyNumberFormat="1" applyFont="1" applyFill="1" applyBorder="1" applyAlignment="1">
      <alignment vertical="center"/>
    </xf>
    <xf numFmtId="3" fontId="28" fillId="0" borderId="100" xfId="0" applyNumberFormat="1" applyFont="1" applyFill="1" applyBorder="1" applyAlignment="1">
      <alignment vertical="center"/>
    </xf>
    <xf numFmtId="3" fontId="25" fillId="0" borderId="100" xfId="0" applyNumberFormat="1" applyFont="1" applyFill="1" applyBorder="1" applyAlignment="1">
      <alignment vertical="center"/>
    </xf>
    <xf numFmtId="3" fontId="25" fillId="0" borderId="100" xfId="0" applyNumberFormat="1" applyFont="1" applyFill="1" applyBorder="1" applyAlignment="1">
      <alignment vertical="top"/>
    </xf>
    <xf numFmtId="0" fontId="7" fillId="0" borderId="104" xfId="0" applyFont="1" applyFill="1" applyBorder="1" applyAlignment="1">
      <alignment vertical="center" wrapText="1"/>
    </xf>
    <xf numFmtId="3" fontId="28" fillId="0" borderId="99" xfId="0" applyNumberFormat="1" applyFont="1" applyFill="1" applyBorder="1" applyAlignment="1">
      <alignment vertical="center"/>
    </xf>
    <xf numFmtId="3" fontId="28" fillId="0" borderId="99" xfId="0" applyNumberFormat="1" applyFont="1" applyFill="1" applyBorder="1" applyAlignment="1">
      <alignment vertical="top"/>
    </xf>
    <xf numFmtId="3" fontId="31" fillId="8" borderId="108" xfId="0" applyNumberFormat="1" applyFont="1" applyFill="1" applyBorder="1" applyAlignment="1">
      <alignment vertical="top"/>
    </xf>
    <xf numFmtId="3" fontId="31" fillId="8" borderId="106" xfId="0" applyNumberFormat="1" applyFont="1" applyFill="1" applyBorder="1" applyAlignment="1">
      <alignment vertical="top"/>
    </xf>
    <xf numFmtId="0" fontId="31" fillId="8" borderId="106" xfId="0" applyFont="1" applyFill="1" applyBorder="1" applyAlignment="1">
      <alignment vertical="top"/>
    </xf>
    <xf numFmtId="0" fontId="31" fillId="8" borderId="101" xfId="0" applyFont="1" applyFill="1" applyBorder="1" applyAlignment="1">
      <alignment vertical="top"/>
    </xf>
    <xf numFmtId="3" fontId="25" fillId="22" borderId="100" xfId="0" applyNumberFormat="1" applyFont="1" applyFill="1" applyBorder="1" applyAlignment="1">
      <alignment horizontal="center" vertical="center"/>
    </xf>
    <xf numFmtId="0" fontId="62" fillId="6" borderId="102" xfId="4" applyFont="1" applyFill="1" applyBorder="1" applyAlignment="1">
      <alignment horizontal="left" vertical="center"/>
    </xf>
    <xf numFmtId="3" fontId="25" fillId="22" borderId="35" xfId="0" applyNumberFormat="1" applyFont="1" applyFill="1" applyBorder="1" applyAlignment="1">
      <alignment horizontal="right" vertical="center"/>
    </xf>
    <xf numFmtId="3" fontId="25" fillId="22" borderId="100" xfId="0" applyNumberFormat="1" applyFont="1" applyFill="1" applyBorder="1" applyAlignment="1">
      <alignment horizontal="right" vertical="center"/>
    </xf>
    <xf numFmtId="0" fontId="8" fillId="0" borderId="21" xfId="0" applyFont="1" applyBorder="1" applyAlignment="1">
      <alignment vertical="center" wrapText="1"/>
    </xf>
    <xf numFmtId="3" fontId="28" fillId="0" borderId="100" xfId="0" applyNumberFormat="1" applyFont="1" applyFill="1" applyBorder="1" applyAlignment="1">
      <alignment vertical="top"/>
    </xf>
    <xf numFmtId="3" fontId="28" fillId="22" borderId="100" xfId="0" applyNumberFormat="1" applyFont="1" applyFill="1" applyBorder="1" applyAlignment="1">
      <alignment horizontal="right" vertical="center"/>
    </xf>
    <xf numFmtId="3" fontId="31" fillId="22" borderId="100" xfId="0" applyNumberFormat="1" applyFont="1" applyFill="1" applyBorder="1" applyAlignment="1">
      <alignment horizontal="right" vertical="center"/>
    </xf>
    <xf numFmtId="0" fontId="7" fillId="0" borderId="32" xfId="0" applyFont="1" applyBorder="1" applyAlignment="1">
      <alignment vertical="center" wrapText="1"/>
    </xf>
    <xf numFmtId="3" fontId="31" fillId="0" borderId="47" xfId="0" applyNumberFormat="1" applyFont="1" applyFill="1" applyBorder="1" applyAlignment="1">
      <alignment vertical="center"/>
    </xf>
    <xf numFmtId="3" fontId="31" fillId="0" borderId="70" xfId="0" applyNumberFormat="1" applyFont="1" applyFill="1" applyBorder="1" applyAlignment="1">
      <alignment vertical="top"/>
    </xf>
    <xf numFmtId="0" fontId="7" fillId="0" borderId="25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28" fillId="0" borderId="12" xfId="0" applyNumberFormat="1" applyFont="1" applyFill="1" applyBorder="1" applyAlignment="1">
      <alignment vertical="center"/>
    </xf>
    <xf numFmtId="3" fontId="28" fillId="0" borderId="23" xfId="0" applyNumberFormat="1" applyFont="1" applyFill="1" applyBorder="1" applyAlignment="1">
      <alignment vertical="top"/>
    </xf>
    <xf numFmtId="3" fontId="28" fillId="0" borderId="72" xfId="0" applyNumberFormat="1" applyFont="1" applyFill="1" applyBorder="1" applyAlignment="1">
      <alignment vertical="center"/>
    </xf>
    <xf numFmtId="3" fontId="25" fillId="22" borderId="12" xfId="0" applyNumberFormat="1" applyFont="1" applyFill="1" applyBorder="1" applyAlignment="1">
      <alignment vertical="center"/>
    </xf>
    <xf numFmtId="3" fontId="31" fillId="32" borderId="9" xfId="0" applyNumberFormat="1" applyFont="1" applyFill="1" applyBorder="1" applyAlignment="1">
      <alignment vertical="top"/>
    </xf>
    <xf numFmtId="0" fontId="6" fillId="0" borderId="28" xfId="0" applyFont="1" applyFill="1" applyBorder="1" applyAlignment="1">
      <alignment vertical="center" wrapText="1"/>
    </xf>
    <xf numFmtId="3" fontId="27" fillId="32" borderId="90" xfId="0" applyNumberFormat="1" applyFont="1" applyFill="1" applyBorder="1" applyAlignment="1">
      <alignment vertical="top"/>
    </xf>
    <xf numFmtId="0" fontId="31" fillId="0" borderId="95" xfId="0" applyFont="1" applyFill="1" applyBorder="1" applyAlignment="1">
      <alignment horizontal="left" vertical="center" wrapText="1"/>
    </xf>
    <xf numFmtId="3" fontId="31" fillId="32" borderId="13" xfId="0" applyNumberFormat="1" applyFont="1" applyFill="1" applyBorder="1" applyAlignment="1">
      <alignment horizontal="right" vertical="center"/>
    </xf>
    <xf numFmtId="3" fontId="31" fillId="32" borderId="124" xfId="0" applyNumberFormat="1" applyFont="1" applyFill="1" applyBorder="1" applyAlignment="1">
      <alignment horizontal="right" vertical="center"/>
    </xf>
    <xf numFmtId="3" fontId="24" fillId="22" borderId="188" xfId="0" applyNumberFormat="1" applyFont="1" applyFill="1" applyBorder="1" applyAlignment="1">
      <alignment vertical="top"/>
    </xf>
    <xf numFmtId="3" fontId="25" fillId="2" borderId="188" xfId="0" applyNumberFormat="1" applyFont="1" applyFill="1" applyBorder="1" applyAlignment="1">
      <alignment vertical="center"/>
    </xf>
    <xf numFmtId="3" fontId="27" fillId="2" borderId="188" xfId="0" applyNumberFormat="1" applyFont="1" applyFill="1" applyBorder="1" applyAlignment="1">
      <alignment vertical="center"/>
    </xf>
    <xf numFmtId="43" fontId="27" fillId="32" borderId="188" xfId="1" applyFont="1" applyFill="1" applyBorder="1" applyAlignment="1">
      <alignment vertical="center"/>
    </xf>
    <xf numFmtId="3" fontId="29" fillId="26" borderId="188" xfId="0" applyNumberFormat="1" applyFont="1" applyFill="1" applyBorder="1" applyAlignment="1">
      <alignment vertical="center"/>
    </xf>
    <xf numFmtId="0" fontId="31" fillId="2" borderId="75" xfId="0" applyFont="1" applyFill="1" applyBorder="1" applyAlignment="1">
      <alignment vertical="center"/>
    </xf>
    <xf numFmtId="3" fontId="31" fillId="2" borderId="140" xfId="0" applyNumberFormat="1" applyFont="1" applyFill="1" applyBorder="1" applyAlignment="1">
      <alignment vertical="top"/>
    </xf>
    <xf numFmtId="3" fontId="31" fillId="2" borderId="124" xfId="0" applyNumberFormat="1" applyFont="1" applyFill="1" applyBorder="1" applyAlignment="1">
      <alignment vertical="top"/>
    </xf>
    <xf numFmtId="3" fontId="31" fillId="32" borderId="124" xfId="0" applyNumberFormat="1" applyFont="1" applyFill="1" applyBorder="1" applyAlignment="1">
      <alignment vertical="top"/>
    </xf>
    <xf numFmtId="43" fontId="31" fillId="32" borderId="124" xfId="1" applyFont="1" applyFill="1" applyBorder="1" applyAlignment="1">
      <alignment vertical="top"/>
    </xf>
    <xf numFmtId="3" fontId="27" fillId="0" borderId="130" xfId="4" applyNumberFormat="1" applyFont="1" applyFill="1" applyBorder="1" applyAlignment="1">
      <alignment vertical="center" wrapText="1"/>
    </xf>
    <xf numFmtId="0" fontId="32" fillId="0" borderId="130" xfId="0" applyFont="1" applyBorder="1" applyAlignment="1">
      <alignment vertical="center"/>
    </xf>
    <xf numFmtId="0" fontId="25" fillId="6" borderId="174" xfId="4" applyFont="1" applyFill="1" applyBorder="1" applyAlignment="1">
      <alignment horizontal="left" vertical="center"/>
    </xf>
    <xf numFmtId="0" fontId="31" fillId="6" borderId="174" xfId="0" applyFont="1" applyFill="1" applyBorder="1" applyAlignment="1">
      <alignment vertical="top"/>
    </xf>
    <xf numFmtId="3" fontId="25" fillId="6" borderId="174" xfId="0" applyNumberFormat="1" applyFont="1" applyFill="1" applyBorder="1" applyAlignment="1">
      <alignment vertical="top"/>
    </xf>
    <xf numFmtId="3" fontId="25" fillId="22" borderId="174" xfId="0" applyNumberFormat="1" applyFont="1" applyFill="1" applyBorder="1" applyAlignment="1">
      <alignment vertical="top"/>
    </xf>
    <xf numFmtId="3" fontId="27" fillId="0" borderId="174" xfId="4" applyNumberFormat="1" applyFont="1" applyFill="1" applyBorder="1" applyAlignment="1">
      <alignment vertical="top" wrapText="1"/>
    </xf>
    <xf numFmtId="3" fontId="27" fillId="0" borderId="174" xfId="0" applyNumberFormat="1" applyFont="1" applyFill="1" applyBorder="1" applyAlignment="1">
      <alignment vertical="top"/>
    </xf>
    <xf numFmtId="3" fontId="25" fillId="25" borderId="174" xfId="0" applyNumberFormat="1" applyFont="1" applyFill="1" applyBorder="1" applyAlignment="1">
      <alignment vertical="top"/>
    </xf>
    <xf numFmtId="0" fontId="32" fillId="0" borderId="174" xfId="0" applyFont="1" applyBorder="1"/>
    <xf numFmtId="3" fontId="31" fillId="0" borderId="174" xfId="0" applyNumberFormat="1" applyFont="1" applyFill="1" applyBorder="1" applyAlignment="1">
      <alignment vertical="top"/>
    </xf>
    <xf numFmtId="3" fontId="31" fillId="2" borderId="174" xfId="0" applyNumberFormat="1" applyFont="1" applyFill="1" applyBorder="1" applyAlignment="1">
      <alignment vertical="top"/>
    </xf>
    <xf numFmtId="3" fontId="31" fillId="2" borderId="35" xfId="0" applyNumberFormat="1" applyFont="1" applyFill="1" applyBorder="1" applyAlignment="1">
      <alignment vertical="top"/>
    </xf>
    <xf numFmtId="0" fontId="32" fillId="0" borderId="174" xfId="0" applyFont="1" applyBorder="1" applyAlignment="1">
      <alignment vertical="center"/>
    </xf>
    <xf numFmtId="3" fontId="31" fillId="2" borderId="174" xfId="0" applyNumberFormat="1" applyFont="1" applyFill="1" applyBorder="1" applyAlignment="1">
      <alignment vertical="center"/>
    </xf>
    <xf numFmtId="3" fontId="31" fillId="23" borderId="174" xfId="0" applyNumberFormat="1" applyFont="1" applyFill="1" applyBorder="1" applyAlignment="1">
      <alignment vertical="top"/>
    </xf>
    <xf numFmtId="0" fontId="33" fillId="0" borderId="174" xfId="0" applyFont="1" applyBorder="1" applyAlignment="1">
      <alignment vertical="center"/>
    </xf>
    <xf numFmtId="3" fontId="27" fillId="0" borderId="174" xfId="0" applyNumberFormat="1" applyFont="1" applyFill="1" applyBorder="1" applyAlignment="1">
      <alignment vertical="center"/>
    </xf>
    <xf numFmtId="3" fontId="27" fillId="0" borderId="35" xfId="0" applyNumberFormat="1" applyFont="1" applyFill="1" applyBorder="1" applyAlignment="1">
      <alignment vertical="center"/>
    </xf>
    <xf numFmtId="3" fontId="27" fillId="25" borderId="35" xfId="0" applyNumberFormat="1" applyFont="1" applyFill="1" applyBorder="1" applyAlignment="1">
      <alignment horizontal="center" vertical="center"/>
    </xf>
    <xf numFmtId="3" fontId="31" fillId="0" borderId="35" xfId="0" applyNumberFormat="1" applyFont="1" applyFill="1" applyBorder="1" applyAlignment="1">
      <alignment vertical="center"/>
    </xf>
    <xf numFmtId="3" fontId="31" fillId="25" borderId="35" xfId="0" applyNumberFormat="1" applyFont="1" applyFill="1" applyBorder="1" applyAlignment="1">
      <alignment horizontal="center" vertical="center"/>
    </xf>
    <xf numFmtId="0" fontId="31" fillId="6" borderId="174" xfId="0" applyFont="1" applyFill="1" applyBorder="1" applyAlignment="1">
      <alignment vertical="center"/>
    </xf>
    <xf numFmtId="3" fontId="25" fillId="6" borderId="174" xfId="0" applyNumberFormat="1" applyFont="1" applyFill="1" applyBorder="1" applyAlignment="1">
      <alignment vertical="center"/>
    </xf>
    <xf numFmtId="3" fontId="27" fillId="0" borderId="174" xfId="4" applyNumberFormat="1" applyFont="1" applyFill="1" applyBorder="1" applyAlignment="1">
      <alignment vertical="center" wrapText="1"/>
    </xf>
    <xf numFmtId="3" fontId="25" fillId="22" borderId="2" xfId="0" applyNumberFormat="1" applyFont="1" applyFill="1" applyBorder="1" applyAlignment="1">
      <alignment vertical="top"/>
    </xf>
    <xf numFmtId="0" fontId="32" fillId="0" borderId="13" xfId="0" applyFont="1" applyBorder="1" applyAlignment="1">
      <alignment vertical="center"/>
    </xf>
    <xf numFmtId="3" fontId="31" fillId="0" borderId="35" xfId="0" applyNumberFormat="1" applyFont="1" applyFill="1" applyBorder="1" applyAlignment="1">
      <alignment vertical="top"/>
    </xf>
    <xf numFmtId="3" fontId="31" fillId="23" borderId="35" xfId="0" applyNumberFormat="1" applyFont="1" applyFill="1" applyBorder="1" applyAlignment="1">
      <alignment horizontal="center" vertical="top"/>
    </xf>
    <xf numFmtId="3" fontId="27" fillId="2" borderId="130" xfId="4" applyNumberFormat="1" applyFont="1" applyFill="1" applyBorder="1" applyAlignment="1">
      <alignment vertical="center" wrapText="1"/>
    </xf>
    <xf numFmtId="0" fontId="31" fillId="6" borderId="189" xfId="0" applyFont="1" applyFill="1" applyBorder="1" applyAlignment="1">
      <alignment vertical="top"/>
    </xf>
    <xf numFmtId="3" fontId="27" fillId="0" borderId="189" xfId="4" applyNumberFormat="1" applyFont="1" applyFill="1" applyBorder="1" applyAlignment="1">
      <alignment vertical="top" wrapText="1"/>
    </xf>
    <xf numFmtId="0" fontId="32" fillId="0" borderId="189" xfId="0" applyFont="1" applyBorder="1"/>
    <xf numFmtId="3" fontId="31" fillId="2" borderId="189" xfId="0" applyNumberFormat="1" applyFont="1" applyFill="1" applyBorder="1" applyAlignment="1">
      <alignment vertical="top"/>
    </xf>
    <xf numFmtId="0" fontId="32" fillId="0" borderId="189" xfId="0" applyFont="1" applyBorder="1" applyAlignment="1">
      <alignment vertical="center"/>
    </xf>
    <xf numFmtId="3" fontId="31" fillId="2" borderId="189" xfId="0" applyNumberFormat="1" applyFont="1" applyFill="1" applyBorder="1" applyAlignment="1">
      <alignment vertical="center"/>
    </xf>
    <xf numFmtId="0" fontId="33" fillId="0" borderId="189" xfId="0" applyFont="1" applyBorder="1" applyAlignment="1">
      <alignment vertical="center"/>
    </xf>
    <xf numFmtId="0" fontId="31" fillId="6" borderId="189" xfId="0" applyFont="1" applyFill="1" applyBorder="1" applyAlignment="1">
      <alignment vertical="center"/>
    </xf>
    <xf numFmtId="43" fontId="27" fillId="0" borderId="35" xfId="1" applyFont="1" applyFill="1" applyBorder="1" applyAlignment="1">
      <alignment vertical="center"/>
    </xf>
    <xf numFmtId="43" fontId="25" fillId="6" borderId="35" xfId="1" applyFont="1" applyFill="1" applyBorder="1" applyAlignment="1">
      <alignment vertical="center"/>
    </xf>
    <xf numFmtId="3" fontId="31" fillId="0" borderId="206" xfId="4" applyNumberFormat="1" applyFont="1" applyFill="1" applyBorder="1" applyAlignment="1">
      <alignment vertical="center"/>
    </xf>
    <xf numFmtId="43" fontId="31" fillId="0" borderId="206" xfId="1" applyFont="1" applyFill="1" applyBorder="1" applyAlignment="1"/>
    <xf numFmtId="3" fontId="31" fillId="2" borderId="35" xfId="0" applyNumberFormat="1" applyFont="1" applyFill="1" applyBorder="1" applyAlignment="1">
      <alignment vertical="center"/>
    </xf>
    <xf numFmtId="3" fontId="31" fillId="23" borderId="35" xfId="0" applyNumberFormat="1" applyFont="1" applyFill="1" applyBorder="1" applyAlignment="1">
      <alignment vertical="top"/>
    </xf>
    <xf numFmtId="0" fontId="24" fillId="8" borderId="19" xfId="4" applyFont="1" applyFill="1" applyBorder="1" applyAlignment="1">
      <alignment horizontal="left" vertical="center" wrapText="1"/>
    </xf>
    <xf numFmtId="3" fontId="31" fillId="0" borderId="141" xfId="4" applyNumberFormat="1" applyFont="1" applyFill="1" applyBorder="1" applyAlignment="1">
      <alignment vertical="top"/>
    </xf>
    <xf numFmtId="3" fontId="7" fillId="0" borderId="165" xfId="4" applyNumberFormat="1" applyFont="1" applyFill="1" applyBorder="1" applyAlignment="1">
      <alignment vertical="center"/>
    </xf>
    <xf numFmtId="0" fontId="7" fillId="32" borderId="75" xfId="4" applyFont="1" applyFill="1" applyBorder="1" applyAlignment="1">
      <alignment vertical="top"/>
    </xf>
    <xf numFmtId="3" fontId="24" fillId="6" borderId="125" xfId="4" applyNumberFormat="1" applyFont="1" applyFill="1" applyBorder="1" applyAlignment="1">
      <alignment vertical="center"/>
    </xf>
    <xf numFmtId="3" fontId="25" fillId="22" borderId="122" xfId="4" applyNumberFormat="1" applyFont="1" applyFill="1" applyBorder="1" applyAlignment="1">
      <alignment horizontal="right" vertical="center"/>
    </xf>
    <xf numFmtId="3" fontId="27" fillId="0" borderId="114" xfId="4" applyNumberFormat="1" applyFont="1" applyFill="1" applyBorder="1" applyAlignment="1">
      <alignment horizontal="right" vertical="center"/>
    </xf>
    <xf numFmtId="3" fontId="27" fillId="25" borderId="125" xfId="4" applyNumberFormat="1" applyFont="1" applyFill="1" applyBorder="1" applyAlignment="1">
      <alignment horizontal="right" vertical="center"/>
    </xf>
    <xf numFmtId="3" fontId="7" fillId="0" borderId="114" xfId="4" applyNumberFormat="1" applyFont="1" applyFill="1" applyBorder="1" applyAlignment="1">
      <alignment horizontal="right" vertical="center"/>
    </xf>
    <xf numFmtId="3" fontId="33" fillId="0" borderId="122" xfId="6" applyNumberFormat="1" applyFont="1" applyFill="1" applyBorder="1" applyAlignment="1">
      <alignment vertical="center"/>
    </xf>
    <xf numFmtId="3" fontId="27" fillId="23" borderId="88" xfId="4" applyNumberFormat="1" applyFont="1" applyFill="1" applyBorder="1" applyAlignment="1">
      <alignment vertical="center"/>
    </xf>
    <xf numFmtId="3" fontId="27" fillId="23" borderId="189" xfId="4" applyNumberFormat="1" applyFont="1" applyFill="1" applyBorder="1" applyAlignment="1">
      <alignment vertical="center"/>
    </xf>
    <xf numFmtId="0" fontId="24" fillId="8" borderId="21" xfId="0" applyFont="1" applyFill="1" applyBorder="1" applyAlignment="1">
      <alignment vertical="center" wrapText="1"/>
    </xf>
    <xf numFmtId="43" fontId="31" fillId="0" borderId="165" xfId="1" applyFont="1" applyFill="1" applyBorder="1" applyAlignment="1"/>
    <xf numFmtId="3" fontId="28" fillId="0" borderId="165" xfId="4" applyNumberFormat="1" applyFont="1" applyFill="1" applyBorder="1" applyAlignment="1">
      <alignment horizontal="right" vertical="center"/>
    </xf>
    <xf numFmtId="0" fontId="24" fillId="8" borderId="16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vertical="center"/>
    </xf>
    <xf numFmtId="43" fontId="33" fillId="0" borderId="90" xfId="6" applyNumberFormat="1" applyFont="1" applyFill="1" applyBorder="1" applyAlignment="1">
      <alignment vertical="center"/>
    </xf>
    <xf numFmtId="43" fontId="31" fillId="0" borderId="63" xfId="4" applyNumberFormat="1" applyFont="1" applyFill="1" applyBorder="1" applyAlignment="1">
      <alignment vertical="center"/>
    </xf>
    <xf numFmtId="0" fontId="28" fillId="0" borderId="172" xfId="4" applyFont="1" applyFill="1" applyBorder="1" applyAlignment="1">
      <alignment horizontal="right" vertical="center"/>
    </xf>
    <xf numFmtId="41" fontId="31" fillId="0" borderId="165" xfId="1" applyNumberFormat="1" applyFont="1" applyFill="1" applyBorder="1" applyAlignment="1"/>
    <xf numFmtId="43" fontId="33" fillId="0" borderId="174" xfId="6" applyNumberFormat="1" applyFont="1" applyFill="1" applyBorder="1" applyAlignment="1">
      <alignment vertical="center"/>
    </xf>
    <xf numFmtId="43" fontId="33" fillId="0" borderId="29" xfId="6" applyNumberFormat="1" applyFont="1" applyFill="1" applyBorder="1" applyAlignment="1">
      <alignment vertical="center"/>
    </xf>
    <xf numFmtId="3" fontId="32" fillId="0" borderId="165" xfId="6" applyNumberFormat="1" applyFont="1" applyFill="1" applyBorder="1" applyAlignment="1">
      <alignment vertical="center"/>
    </xf>
    <xf numFmtId="43" fontId="32" fillId="0" borderId="165" xfId="6" applyNumberFormat="1" applyFont="1" applyFill="1" applyBorder="1" applyAlignment="1">
      <alignment vertical="center"/>
    </xf>
    <xf numFmtId="3" fontId="28" fillId="2" borderId="128" xfId="4" applyNumberFormat="1" applyFont="1" applyFill="1" applyBorder="1" applyAlignment="1">
      <alignment horizontal="right" vertical="center" wrapText="1"/>
    </xf>
    <xf numFmtId="41" fontId="31" fillId="0" borderId="165" xfId="1" applyNumberFormat="1" applyFont="1" applyFill="1" applyBorder="1" applyAlignment="1">
      <alignment horizontal="right" vertical="center"/>
    </xf>
    <xf numFmtId="43" fontId="32" fillId="0" borderId="174" xfId="6" applyNumberFormat="1" applyFont="1" applyFill="1" applyBorder="1" applyAlignment="1">
      <alignment vertical="center"/>
    </xf>
    <xf numFmtId="0" fontId="39" fillId="0" borderId="128" xfId="0" applyFont="1" applyBorder="1" applyAlignment="1">
      <alignment horizontal="right" vertical="center"/>
    </xf>
    <xf numFmtId="41" fontId="31" fillId="0" borderId="29" xfId="1" applyNumberFormat="1" applyFont="1" applyFill="1" applyBorder="1" applyAlignment="1"/>
    <xf numFmtId="43" fontId="7" fillId="0" borderId="163" xfId="4" applyNumberFormat="1" applyFont="1" applyFill="1" applyBorder="1" applyAlignment="1">
      <alignment horizontal="right" vertical="center"/>
    </xf>
    <xf numFmtId="43" fontId="32" fillId="0" borderId="30" xfId="6" applyNumberFormat="1" applyFont="1" applyFill="1" applyBorder="1" applyAlignment="1">
      <alignment vertical="center"/>
    </xf>
    <xf numFmtId="3" fontId="24" fillId="6" borderId="188" xfId="1" applyNumberFormat="1" applyFont="1" applyFill="1" applyBorder="1" applyAlignment="1">
      <alignment horizontal="right" vertical="center"/>
    </xf>
    <xf numFmtId="3" fontId="27" fillId="0" borderId="185" xfId="1" applyNumberFormat="1" applyFont="1" applyFill="1" applyBorder="1" applyAlignment="1">
      <alignment horizontal="right" vertical="center"/>
    </xf>
    <xf numFmtId="43" fontId="27" fillId="0" borderId="185" xfId="1" applyFont="1" applyFill="1" applyBorder="1" applyAlignment="1">
      <alignment horizontal="right" vertical="center"/>
    </xf>
    <xf numFmtId="43" fontId="31" fillId="0" borderId="188" xfId="1" applyFont="1" applyFill="1" applyBorder="1" applyAlignment="1"/>
    <xf numFmtId="3" fontId="31" fillId="0" borderId="188" xfId="1" applyNumberFormat="1" applyFont="1" applyFill="1" applyBorder="1" applyAlignment="1">
      <alignment horizontal="right"/>
    </xf>
    <xf numFmtId="3" fontId="33" fillId="0" borderId="189" xfId="1" applyNumberFormat="1" applyFont="1" applyFill="1" applyBorder="1" applyAlignment="1">
      <alignment horizontal="right" vertical="center"/>
    </xf>
    <xf numFmtId="43" fontId="31" fillId="0" borderId="200" xfId="1" applyFont="1" applyFill="1" applyBorder="1" applyAlignment="1"/>
    <xf numFmtId="3" fontId="31" fillId="0" borderId="200" xfId="1" applyNumberFormat="1" applyFont="1" applyFill="1" applyBorder="1" applyAlignment="1">
      <alignment horizontal="right"/>
    </xf>
    <xf numFmtId="43" fontId="31" fillId="0" borderId="180" xfId="4" applyNumberFormat="1" applyFont="1" applyFill="1" applyBorder="1" applyAlignment="1">
      <alignment vertical="center"/>
    </xf>
    <xf numFmtId="0" fontId="28" fillId="0" borderId="192" xfId="4" applyFont="1" applyFill="1" applyBorder="1" applyAlignment="1">
      <alignment horizontal="right" vertical="center"/>
    </xf>
    <xf numFmtId="3" fontId="28" fillId="0" borderId="180" xfId="4" applyNumberFormat="1" applyFont="1" applyFill="1" applyBorder="1" applyAlignment="1">
      <alignment vertical="center"/>
    </xf>
    <xf numFmtId="41" fontId="28" fillId="0" borderId="180" xfId="1" applyNumberFormat="1" applyFont="1" applyFill="1" applyBorder="1" applyAlignment="1"/>
    <xf numFmtId="43" fontId="33" fillId="0" borderId="189" xfId="6" applyNumberFormat="1" applyFont="1" applyFill="1" applyBorder="1" applyAlignment="1">
      <alignment vertical="center"/>
    </xf>
    <xf numFmtId="3" fontId="32" fillId="0" borderId="180" xfId="6" applyNumberFormat="1" applyFont="1" applyFill="1" applyBorder="1" applyAlignment="1">
      <alignment vertical="center"/>
    </xf>
    <xf numFmtId="43" fontId="32" fillId="0" borderId="180" xfId="6" applyNumberFormat="1" applyFont="1" applyFill="1" applyBorder="1" applyAlignment="1">
      <alignment vertical="center"/>
    </xf>
    <xf numFmtId="43" fontId="33" fillId="0" borderId="180" xfId="6" applyNumberFormat="1" applyFont="1" applyFill="1" applyBorder="1" applyAlignment="1">
      <alignment vertical="center"/>
    </xf>
    <xf numFmtId="41" fontId="28" fillId="0" borderId="180" xfId="1" applyNumberFormat="1" applyFont="1" applyFill="1" applyBorder="1" applyAlignment="1">
      <alignment horizontal="right" vertical="center"/>
    </xf>
    <xf numFmtId="3" fontId="28" fillId="0" borderId="180" xfId="4" applyNumberFormat="1" applyFont="1" applyFill="1" applyBorder="1" applyAlignment="1">
      <alignment horizontal="right" vertical="center"/>
    </xf>
    <xf numFmtId="43" fontId="63" fillId="0" borderId="189" xfId="6" applyNumberFormat="1" applyFont="1" applyFill="1" applyBorder="1" applyAlignment="1">
      <alignment vertical="center"/>
    </xf>
    <xf numFmtId="43" fontId="32" fillId="0" borderId="189" xfId="6" applyNumberFormat="1" applyFont="1" applyFill="1" applyBorder="1" applyAlignment="1">
      <alignment vertical="center"/>
    </xf>
    <xf numFmtId="41" fontId="28" fillId="0" borderId="188" xfId="1" applyNumberFormat="1" applyFont="1" applyFill="1" applyBorder="1" applyAlignment="1"/>
    <xf numFmtId="3" fontId="31" fillId="2" borderId="199" xfId="0" applyNumberFormat="1" applyFont="1" applyFill="1" applyBorder="1" applyAlignment="1">
      <alignment vertical="center"/>
    </xf>
    <xf numFmtId="3" fontId="31" fillId="23" borderId="199" xfId="0" applyNumberFormat="1" applyFont="1" applyFill="1" applyBorder="1" applyAlignment="1">
      <alignment vertical="top"/>
    </xf>
    <xf numFmtId="43" fontId="27" fillId="2" borderId="189" xfId="1" applyFont="1" applyFill="1" applyBorder="1" applyAlignment="1">
      <alignment vertical="center"/>
    </xf>
    <xf numFmtId="3" fontId="17" fillId="6" borderId="190" xfId="4" applyNumberFormat="1" applyFont="1" applyFill="1" applyBorder="1" applyAlignment="1">
      <alignment vertical="center"/>
    </xf>
    <xf numFmtId="3" fontId="7" fillId="0" borderId="199" xfId="4" applyNumberFormat="1" applyFont="1" applyFill="1" applyBorder="1" applyAlignment="1"/>
    <xf numFmtId="3" fontId="7" fillId="0" borderId="199" xfId="4" applyNumberFormat="1" applyFont="1" applyFill="1" applyBorder="1" applyAlignment="1">
      <alignment vertical="top"/>
    </xf>
    <xf numFmtId="0" fontId="28" fillId="0" borderId="192" xfId="4" quotePrefix="1" applyFont="1" applyFill="1" applyBorder="1" applyAlignment="1">
      <alignment horizontal="right" vertical="center"/>
    </xf>
    <xf numFmtId="3" fontId="31" fillId="23" borderId="185" xfId="4" applyNumberFormat="1" applyFont="1" applyFill="1" applyBorder="1" applyAlignment="1">
      <alignment vertical="center"/>
    </xf>
    <xf numFmtId="0" fontId="7" fillId="0" borderId="8" xfId="4" applyFont="1" applyFill="1" applyBorder="1" applyAlignment="1">
      <alignment vertical="center"/>
    </xf>
    <xf numFmtId="3" fontId="7" fillId="0" borderId="27" xfId="4" applyNumberFormat="1" applyFont="1" applyFill="1" applyBorder="1" applyAlignment="1">
      <alignment horizontal="right" vertical="center"/>
    </xf>
    <xf numFmtId="3" fontId="31" fillId="23" borderId="35" xfId="4" applyNumberFormat="1" applyFont="1" applyFill="1" applyBorder="1" applyAlignment="1">
      <alignment vertical="center"/>
    </xf>
    <xf numFmtId="0" fontId="38" fillId="0" borderId="35" xfId="4" applyFont="1" applyFill="1" applyBorder="1" applyAlignment="1">
      <alignment vertical="top"/>
    </xf>
    <xf numFmtId="3" fontId="63" fillId="0" borderId="35" xfId="6" applyNumberFormat="1" applyFont="1" applyFill="1" applyBorder="1" applyAlignment="1">
      <alignment vertical="center"/>
    </xf>
    <xf numFmtId="3" fontId="38" fillId="0" borderId="35" xfId="4" applyNumberFormat="1" applyFont="1" applyFill="1" applyBorder="1" applyAlignment="1">
      <alignment horizontal="right" vertical="center"/>
    </xf>
    <xf numFmtId="3" fontId="38" fillId="25" borderId="35" xfId="4" applyNumberFormat="1" applyFont="1" applyFill="1" applyBorder="1" applyAlignment="1">
      <alignment horizontal="right" vertical="center"/>
    </xf>
    <xf numFmtId="0" fontId="7" fillId="6" borderId="20" xfId="0" applyFont="1" applyFill="1" applyBorder="1" applyAlignment="1">
      <alignment vertical="center"/>
    </xf>
    <xf numFmtId="3" fontId="8" fillId="6" borderId="35" xfId="0" applyNumberFormat="1" applyFont="1" applyFill="1" applyBorder="1"/>
    <xf numFmtId="3" fontId="8" fillId="6" borderId="8" xfId="0" applyNumberFormat="1" applyFont="1" applyFill="1" applyBorder="1"/>
    <xf numFmtId="3" fontId="8" fillId="6" borderId="21" xfId="0" applyNumberFormat="1" applyFont="1" applyFill="1" applyBorder="1"/>
    <xf numFmtId="3" fontId="8" fillId="6" borderId="9" xfId="0" applyNumberFormat="1" applyFont="1" applyFill="1" applyBorder="1"/>
    <xf numFmtId="3" fontId="6" fillId="6" borderId="35" xfId="0" applyNumberFormat="1" applyFont="1" applyFill="1" applyBorder="1" applyAlignment="1">
      <alignment vertical="center"/>
    </xf>
    <xf numFmtId="43" fontId="29" fillId="0" borderId="189" xfId="1" applyFont="1" applyFill="1" applyBorder="1" applyAlignment="1">
      <alignment horizontal="right" vertical="center"/>
    </xf>
    <xf numFmtId="3" fontId="7" fillId="0" borderId="199" xfId="0" applyNumberFormat="1" applyFont="1" applyFill="1" applyBorder="1" applyAlignment="1">
      <alignment vertical="top"/>
    </xf>
    <xf numFmtId="43" fontId="7" fillId="0" borderId="199" xfId="1" applyFont="1" applyFill="1" applyBorder="1" applyAlignment="1">
      <alignment vertical="top"/>
    </xf>
    <xf numFmtId="3" fontId="7" fillId="25" borderId="199" xfId="4" applyNumberFormat="1" applyFont="1" applyFill="1" applyBorder="1" applyAlignment="1">
      <alignment vertical="top"/>
    </xf>
    <xf numFmtId="3" fontId="7" fillId="0" borderId="189" xfId="0" applyNumberFormat="1" applyFont="1" applyFill="1" applyBorder="1" applyAlignment="1">
      <alignment vertical="top"/>
    </xf>
    <xf numFmtId="3" fontId="24" fillId="34" borderId="189" xfId="4" applyNumberFormat="1" applyFont="1" applyFill="1" applyBorder="1" applyAlignment="1">
      <alignment horizontal="center" vertical="center"/>
    </xf>
    <xf numFmtId="3" fontId="7" fillId="0" borderId="197" xfId="4" applyNumberFormat="1" applyFont="1" applyFill="1" applyBorder="1" applyAlignment="1">
      <alignment vertical="top"/>
    </xf>
    <xf numFmtId="0" fontId="37" fillId="0" borderId="189" xfId="0" applyFont="1" applyBorder="1" applyAlignment="1">
      <alignment vertical="center"/>
    </xf>
    <xf numFmtId="0" fontId="0" fillId="0" borderId="189" xfId="0" applyFont="1" applyBorder="1"/>
    <xf numFmtId="0" fontId="39" fillId="0" borderId="189" xfId="0" applyFont="1" applyBorder="1" applyAlignment="1">
      <alignment vertical="center"/>
    </xf>
    <xf numFmtId="0" fontId="25" fillId="0" borderId="24" xfId="0" applyFont="1" applyBorder="1" applyAlignment="1">
      <alignment vertical="top"/>
    </xf>
    <xf numFmtId="0" fontId="21" fillId="0" borderId="24" xfId="0" applyFont="1" applyBorder="1" applyAlignment="1">
      <alignment horizontal="center" vertical="top" wrapText="1"/>
    </xf>
    <xf numFmtId="2" fontId="31" fillId="0" borderId="206" xfId="0" applyNumberFormat="1" applyFont="1" applyFill="1" applyBorder="1" applyAlignment="1">
      <alignment vertical="center"/>
    </xf>
    <xf numFmtId="2" fontId="17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vertical="top"/>
    </xf>
    <xf numFmtId="2" fontId="18" fillId="0" borderId="24" xfId="0" applyNumberFormat="1" applyFont="1" applyBorder="1" applyAlignment="1">
      <alignment horizontal="center" vertical="top" wrapText="1"/>
    </xf>
    <xf numFmtId="0" fontId="19" fillId="0" borderId="24" xfId="0" applyFont="1" applyBorder="1" applyAlignment="1">
      <alignment vertical="top"/>
    </xf>
    <xf numFmtId="0" fontId="0" fillId="0" borderId="24" xfId="0" applyFont="1" applyBorder="1" applyAlignment="1">
      <alignment horizontal="center" vertical="top" wrapText="1"/>
    </xf>
    <xf numFmtId="3" fontId="31" fillId="0" borderId="189" xfId="0" applyNumberFormat="1" applyFont="1" applyFill="1" applyBorder="1" applyAlignment="1">
      <alignment horizontal="right"/>
    </xf>
    <xf numFmtId="0" fontId="7" fillId="0" borderId="199" xfId="4" applyFont="1" applyFill="1" applyBorder="1" applyAlignment="1">
      <alignment vertical="top"/>
    </xf>
    <xf numFmtId="3" fontId="27" fillId="23" borderId="189" xfId="4" applyNumberFormat="1" applyFont="1" applyFill="1" applyBorder="1" applyAlignment="1">
      <alignment horizontal="right" vertical="center"/>
    </xf>
    <xf numFmtId="0" fontId="7" fillId="54" borderId="189" xfId="4" applyFont="1" applyFill="1" applyBorder="1" applyAlignment="1">
      <alignment vertical="top"/>
    </xf>
    <xf numFmtId="3" fontId="32" fillId="54" borderId="189" xfId="6" applyNumberFormat="1" applyFont="1" applyFill="1" applyBorder="1" applyAlignment="1">
      <alignment vertical="center"/>
    </xf>
    <xf numFmtId="3" fontId="7" fillId="54" borderId="189" xfId="4" applyNumberFormat="1" applyFont="1" applyFill="1" applyBorder="1" applyAlignment="1">
      <alignment horizontal="right" vertical="center"/>
    </xf>
    <xf numFmtId="3" fontId="31" fillId="54" borderId="189" xfId="4" applyNumberFormat="1" applyFont="1" applyFill="1" applyBorder="1" applyAlignment="1">
      <alignment horizontal="right" vertical="center"/>
    </xf>
    <xf numFmtId="3" fontId="7" fillId="25" borderId="189" xfId="4" applyNumberFormat="1" applyFont="1" applyFill="1" applyBorder="1" applyAlignment="1">
      <alignment horizontal="right" vertical="center"/>
    </xf>
    <xf numFmtId="0" fontId="7" fillId="57" borderId="189" xfId="4" applyFont="1" applyFill="1" applyBorder="1" applyAlignment="1">
      <alignment vertical="top"/>
    </xf>
    <xf numFmtId="3" fontId="32" fillId="57" borderId="189" xfId="6" applyNumberFormat="1" applyFont="1" applyFill="1" applyBorder="1" applyAlignment="1">
      <alignment vertical="center"/>
    </xf>
    <xf numFmtId="3" fontId="7" fillId="57" borderId="189" xfId="4" applyNumberFormat="1" applyFont="1" applyFill="1" applyBorder="1" applyAlignment="1">
      <alignment horizontal="right" vertical="center"/>
    </xf>
    <xf numFmtId="3" fontId="31" fillId="57" borderId="189" xfId="4" applyNumberFormat="1" applyFont="1" applyFill="1" applyBorder="1" applyAlignment="1">
      <alignment horizontal="right" vertical="center"/>
    </xf>
    <xf numFmtId="0" fontId="32" fillId="57" borderId="189" xfId="0" applyFont="1" applyFill="1" applyBorder="1" applyAlignment="1">
      <alignment horizontal="center" vertical="center" wrapText="1"/>
    </xf>
    <xf numFmtId="0" fontId="25" fillId="6" borderId="190" xfId="4" applyFont="1" applyFill="1" applyBorder="1" applyAlignment="1">
      <alignment horizontal="center" vertical="center"/>
    </xf>
    <xf numFmtId="3" fontId="32" fillId="0" borderId="206" xfId="6" applyNumberFormat="1" applyFont="1" applyFill="1" applyBorder="1" applyAlignment="1">
      <alignment vertical="center"/>
    </xf>
    <xf numFmtId="0" fontId="65" fillId="0" borderId="197" xfId="0" applyFont="1" applyBorder="1" applyAlignment="1">
      <alignment horizontal="center" vertical="center"/>
    </xf>
    <xf numFmtId="0" fontId="65" fillId="0" borderId="207" xfId="0" applyFont="1" applyBorder="1" applyAlignment="1">
      <alignment horizontal="center" vertical="center"/>
    </xf>
    <xf numFmtId="0" fontId="65" fillId="0" borderId="185" xfId="0" applyFont="1" applyBorder="1" applyAlignment="1">
      <alignment horizontal="center" vertical="center"/>
    </xf>
    <xf numFmtId="0" fontId="65" fillId="0" borderId="185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3" fontId="8" fillId="6" borderId="189" xfId="0" applyNumberFormat="1" applyFont="1" applyFill="1" applyBorder="1"/>
    <xf numFmtId="3" fontId="8" fillId="6" borderId="192" xfId="0" applyNumberFormat="1" applyFont="1" applyFill="1" applyBorder="1"/>
    <xf numFmtId="3" fontId="6" fillId="6" borderId="189" xfId="0" applyNumberFormat="1" applyFont="1" applyFill="1" applyBorder="1"/>
    <xf numFmtId="3" fontId="8" fillId="6" borderId="199" xfId="0" applyNumberFormat="1" applyFont="1" applyFill="1" applyBorder="1"/>
    <xf numFmtId="3" fontId="8" fillId="6" borderId="206" xfId="0" applyNumberFormat="1" applyFont="1" applyFill="1" applyBorder="1"/>
    <xf numFmtId="3" fontId="6" fillId="6" borderId="199" xfId="0" applyNumberFormat="1" applyFont="1" applyFill="1" applyBorder="1"/>
    <xf numFmtId="0" fontId="6" fillId="0" borderId="208" xfId="0" applyFont="1" applyFill="1" applyBorder="1" applyAlignment="1">
      <alignment vertical="center" wrapText="1"/>
    </xf>
    <xf numFmtId="0" fontId="31" fillId="50" borderId="208" xfId="4" applyFont="1" applyFill="1" applyBorder="1" applyAlignment="1">
      <alignment horizontal="left" vertical="center"/>
    </xf>
    <xf numFmtId="0" fontId="27" fillId="2" borderId="208" xfId="4" applyFont="1" applyFill="1" applyBorder="1" applyAlignment="1">
      <alignment vertical="top"/>
    </xf>
    <xf numFmtId="3" fontId="27" fillId="0" borderId="164" xfId="0" applyNumberFormat="1" applyFont="1" applyFill="1" applyBorder="1" applyAlignment="1">
      <alignment vertical="top"/>
    </xf>
    <xf numFmtId="3" fontId="27" fillId="25" borderId="174" xfId="0" applyNumberFormat="1" applyFont="1" applyFill="1" applyBorder="1" applyAlignment="1">
      <alignment vertical="top"/>
    </xf>
    <xf numFmtId="0" fontId="25" fillId="0" borderId="0" xfId="0" applyFont="1" applyBorder="1" applyAlignment="1">
      <alignment vertical="center"/>
    </xf>
    <xf numFmtId="0" fontId="18" fillId="0" borderId="189" xfId="0" applyFont="1" applyBorder="1" applyAlignment="1">
      <alignment vertical="center"/>
    </xf>
    <xf numFmtId="3" fontId="8" fillId="0" borderId="189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 wrapText="1"/>
    </xf>
    <xf numFmtId="0" fontId="29" fillId="8" borderId="208" xfId="4" applyFont="1" applyFill="1" applyBorder="1" applyAlignment="1">
      <alignment vertical="top"/>
    </xf>
    <xf numFmtId="3" fontId="27" fillId="8" borderId="174" xfId="4" applyNumberFormat="1" applyFont="1" applyFill="1" applyBorder="1" applyAlignment="1">
      <alignment vertical="top"/>
    </xf>
    <xf numFmtId="0" fontId="7" fillId="8" borderId="208" xfId="4" applyFont="1" applyFill="1" applyBorder="1" applyAlignment="1">
      <alignment vertical="top" wrapText="1"/>
    </xf>
    <xf numFmtId="3" fontId="7" fillId="8" borderId="174" xfId="4" applyNumberFormat="1" applyFont="1" applyFill="1" applyBorder="1" applyAlignment="1">
      <alignment vertical="top"/>
    </xf>
    <xf numFmtId="0" fontId="7" fillId="8" borderId="208" xfId="4" applyFont="1" applyFill="1" applyBorder="1" applyAlignment="1">
      <alignment vertical="top"/>
    </xf>
    <xf numFmtId="0" fontId="31" fillId="8" borderId="206" xfId="4" applyFont="1" applyFill="1" applyBorder="1" applyAlignment="1">
      <alignment horizontal="left" vertical="center"/>
    </xf>
    <xf numFmtId="3" fontId="7" fillId="8" borderId="199" xfId="4" applyNumberFormat="1" applyFont="1" applyFill="1" applyBorder="1" applyAlignment="1">
      <alignment vertical="top"/>
    </xf>
    <xf numFmtId="3" fontId="7" fillId="23" borderId="77" xfId="4" applyNumberFormat="1" applyFont="1" applyFill="1" applyBorder="1" applyAlignment="1">
      <alignment horizontal="right" vertical="center"/>
    </xf>
    <xf numFmtId="0" fontId="24" fillId="6" borderId="208" xfId="4" applyFont="1" applyFill="1" applyBorder="1" applyAlignment="1">
      <alignment horizontal="left" vertical="center"/>
    </xf>
    <xf numFmtId="3" fontId="24" fillId="22" borderId="174" xfId="4" applyNumberFormat="1" applyFont="1" applyFill="1" applyBorder="1" applyAlignment="1">
      <alignment vertical="center"/>
    </xf>
    <xf numFmtId="0" fontId="29" fillId="0" borderId="208" xfId="4" applyFont="1" applyFill="1" applyBorder="1" applyAlignment="1">
      <alignment vertical="top"/>
    </xf>
    <xf numFmtId="3" fontId="29" fillId="0" borderId="174" xfId="4" applyNumberFormat="1" applyFont="1" applyFill="1" applyBorder="1" applyAlignment="1">
      <alignment horizontal="right" vertical="center"/>
    </xf>
    <xf numFmtId="3" fontId="29" fillId="25" borderId="174" xfId="4" applyNumberFormat="1" applyFont="1" applyFill="1" applyBorder="1" applyAlignment="1">
      <alignment horizontal="right" vertical="center"/>
    </xf>
    <xf numFmtId="0" fontId="7" fillId="0" borderId="208" xfId="4" applyFont="1" applyFill="1" applyBorder="1" applyAlignment="1">
      <alignment vertical="top"/>
    </xf>
    <xf numFmtId="3" fontId="7" fillId="0" borderId="174" xfId="4" applyNumberFormat="1" applyFont="1" applyFill="1" applyBorder="1" applyAlignment="1"/>
    <xf numFmtId="3" fontId="7" fillId="0" borderId="174" xfId="4" applyNumberFormat="1" applyFont="1" applyFill="1" applyBorder="1" applyAlignment="1">
      <alignment vertical="top"/>
    </xf>
    <xf numFmtId="3" fontId="7" fillId="25" borderId="174" xfId="4" applyNumberFormat="1" applyFont="1" applyFill="1" applyBorder="1" applyAlignment="1">
      <alignment vertical="center"/>
    </xf>
    <xf numFmtId="0" fontId="7" fillId="32" borderId="208" xfId="4" applyFont="1" applyFill="1" applyBorder="1" applyAlignment="1">
      <alignment vertical="top"/>
    </xf>
    <xf numFmtId="0" fontId="29" fillId="0" borderId="208" xfId="4" applyFont="1" applyFill="1" applyBorder="1" applyAlignment="1">
      <alignment horizontal="left" vertical="center"/>
    </xf>
    <xf numFmtId="0" fontId="29" fillId="8" borderId="190" xfId="4" applyFont="1" applyFill="1" applyBorder="1" applyAlignment="1">
      <alignment vertical="center"/>
    </xf>
    <xf numFmtId="3" fontId="29" fillId="23" borderId="174" xfId="4" applyNumberFormat="1" applyFont="1" applyFill="1" applyBorder="1" applyAlignment="1">
      <alignment vertical="center"/>
    </xf>
    <xf numFmtId="3" fontId="31" fillId="23" borderId="174" xfId="4" applyNumberFormat="1" applyFont="1" applyFill="1" applyBorder="1" applyAlignment="1">
      <alignment horizontal="right" vertical="center"/>
    </xf>
    <xf numFmtId="3" fontId="7" fillId="8" borderId="190" xfId="4" applyNumberFormat="1" applyFont="1" applyFill="1" applyBorder="1" applyAlignment="1">
      <alignment vertical="center" wrapText="1"/>
    </xf>
    <xf numFmtId="3" fontId="27" fillId="23" borderId="174" xfId="4" applyNumberFormat="1" applyFont="1" applyFill="1" applyBorder="1" applyAlignment="1">
      <alignment vertical="center"/>
    </xf>
    <xf numFmtId="0" fontId="7" fillId="8" borderId="190" xfId="4" applyFont="1" applyFill="1" applyBorder="1" applyAlignment="1">
      <alignment vertical="center" wrapText="1"/>
    </xf>
    <xf numFmtId="0" fontId="7" fillId="8" borderId="208" xfId="4" applyFont="1" applyFill="1" applyBorder="1" applyAlignment="1">
      <alignment vertical="center" wrapText="1"/>
    </xf>
    <xf numFmtId="0" fontId="25" fillId="6" borderId="208" xfId="4" applyFont="1" applyFill="1" applyBorder="1" applyAlignment="1">
      <alignment horizontal="left" vertical="center"/>
    </xf>
    <xf numFmtId="3" fontId="27" fillId="8" borderId="208" xfId="4" applyNumberFormat="1" applyFont="1" applyFill="1" applyBorder="1" applyAlignment="1">
      <alignment vertical="center" wrapText="1"/>
    </xf>
    <xf numFmtId="3" fontId="27" fillId="8" borderId="190" xfId="4" applyNumberFormat="1" applyFont="1" applyFill="1" applyBorder="1" applyAlignment="1">
      <alignment vertical="center" wrapText="1"/>
    </xf>
    <xf numFmtId="0" fontId="27" fillId="8" borderId="208" xfId="4" applyFont="1" applyFill="1" applyBorder="1" applyAlignment="1">
      <alignment vertical="center"/>
    </xf>
    <xf numFmtId="0" fontId="27" fillId="8" borderId="190" xfId="4" applyFont="1" applyFill="1" applyBorder="1" applyAlignment="1">
      <alignment vertical="center"/>
    </xf>
    <xf numFmtId="0" fontId="7" fillId="8" borderId="190" xfId="4" applyFont="1" applyFill="1" applyBorder="1" applyAlignment="1">
      <alignment vertical="center"/>
    </xf>
    <xf numFmtId="3" fontId="7" fillId="8" borderId="174" xfId="4" applyNumberFormat="1" applyFont="1" applyFill="1" applyBorder="1" applyAlignment="1">
      <alignment vertical="center"/>
    </xf>
    <xf numFmtId="0" fontId="18" fillId="8" borderId="41" xfId="4" applyFont="1" applyFill="1" applyBorder="1" applyAlignment="1">
      <alignment vertical="center" wrapText="1"/>
    </xf>
    <xf numFmtId="0" fontId="17" fillId="13" borderId="5" xfId="4" applyFont="1" applyFill="1" applyBorder="1" applyAlignment="1">
      <alignment horizontal="center" vertical="center"/>
    </xf>
    <xf numFmtId="0" fontId="24" fillId="13" borderId="45" xfId="4" applyFont="1" applyFill="1" applyBorder="1" applyAlignment="1">
      <alignment vertical="center" wrapText="1"/>
    </xf>
    <xf numFmtId="0" fontId="24" fillId="13" borderId="14" xfId="4" applyFont="1" applyFill="1" applyBorder="1" applyAlignment="1">
      <alignment vertical="center" wrapText="1"/>
    </xf>
    <xf numFmtId="0" fontId="7" fillId="13" borderId="3" xfId="4" applyFont="1" applyFill="1" applyBorder="1" applyAlignment="1">
      <alignment horizontal="right" vertical="center"/>
    </xf>
    <xf numFmtId="3" fontId="7" fillId="13" borderId="2" xfId="4" applyNumberFormat="1" applyFont="1" applyFill="1" applyBorder="1" applyAlignment="1">
      <alignment horizontal="right" vertical="center"/>
    </xf>
    <xf numFmtId="3" fontId="7" fillId="24" borderId="77" xfId="4" applyNumberFormat="1" applyFont="1" applyFill="1" applyBorder="1" applyAlignment="1">
      <alignment horizontal="right" vertical="center"/>
    </xf>
    <xf numFmtId="3" fontId="7" fillId="24" borderId="68" xfId="4" applyNumberFormat="1" applyFont="1" applyFill="1" applyBorder="1" applyAlignment="1">
      <alignment horizontal="right" vertical="center"/>
    </xf>
    <xf numFmtId="3" fontId="18" fillId="13" borderId="42" xfId="4" applyNumberFormat="1" applyFont="1" applyFill="1" applyBorder="1" applyAlignment="1">
      <alignment horizontal="center" vertical="center"/>
    </xf>
    <xf numFmtId="3" fontId="29" fillId="13" borderId="190" xfId="4" applyNumberFormat="1" applyFont="1" applyFill="1" applyBorder="1" applyAlignment="1">
      <alignment vertical="center" wrapText="1"/>
    </xf>
    <xf numFmtId="3" fontId="7" fillId="13" borderId="190" xfId="4" applyNumberFormat="1" applyFont="1" applyFill="1" applyBorder="1" applyAlignment="1">
      <alignment vertical="center" wrapText="1"/>
    </xf>
    <xf numFmtId="0" fontId="7" fillId="13" borderId="190" xfId="4" applyFont="1" applyFill="1" applyBorder="1" applyAlignment="1">
      <alignment vertical="center"/>
    </xf>
    <xf numFmtId="0" fontId="29" fillId="13" borderId="190" xfId="4" applyFont="1" applyFill="1" applyBorder="1" applyAlignment="1">
      <alignment vertical="center"/>
    </xf>
    <xf numFmtId="3" fontId="29" fillId="24" borderId="174" xfId="4" applyNumberFormat="1" applyFont="1" applyFill="1" applyBorder="1" applyAlignment="1">
      <alignment horizontal="right" vertical="center"/>
    </xf>
    <xf numFmtId="0" fontId="27" fillId="13" borderId="190" xfId="4" applyFont="1" applyFill="1" applyBorder="1" applyAlignment="1">
      <alignment vertical="center"/>
    </xf>
    <xf numFmtId="3" fontId="32" fillId="13" borderId="206" xfId="6" applyNumberFormat="1" applyFont="1" applyFill="1" applyBorder="1" applyAlignment="1">
      <alignment vertical="center"/>
    </xf>
    <xf numFmtId="2" fontId="22" fillId="0" borderId="0" xfId="0" applyNumberFormat="1" applyFont="1" applyBorder="1" applyAlignment="1">
      <alignment horizontal="center" vertical="center" wrapText="1"/>
    </xf>
    <xf numFmtId="3" fontId="7" fillId="23" borderId="174" xfId="0" applyNumberFormat="1" applyFont="1" applyFill="1" applyBorder="1" applyAlignment="1">
      <alignment vertical="center"/>
    </xf>
    <xf numFmtId="2" fontId="7" fillId="28" borderId="190" xfId="0" applyNumberFormat="1" applyFont="1" applyFill="1" applyBorder="1" applyAlignment="1">
      <alignment vertical="center" wrapText="1"/>
    </xf>
    <xf numFmtId="2" fontId="24" fillId="8" borderId="134" xfId="0" applyNumberFormat="1" applyFont="1" applyFill="1" applyBorder="1" applyAlignment="1">
      <alignment vertical="center"/>
    </xf>
    <xf numFmtId="3" fontId="29" fillId="8" borderId="174" xfId="0" applyNumberFormat="1" applyFont="1" applyFill="1" applyBorder="1" applyAlignment="1">
      <alignment vertical="center"/>
    </xf>
    <xf numFmtId="3" fontId="29" fillId="23" borderId="174" xfId="0" applyNumberFormat="1" applyFont="1" applyFill="1" applyBorder="1" applyAlignment="1">
      <alignment vertical="center"/>
    </xf>
    <xf numFmtId="3" fontId="31" fillId="8" borderId="9" xfId="0" applyNumberFormat="1" applyFont="1" applyFill="1" applyBorder="1" applyAlignment="1">
      <alignment vertical="center"/>
    </xf>
    <xf numFmtId="2" fontId="17" fillId="32" borderId="25" xfId="0" applyNumberFormat="1" applyFont="1" applyFill="1" applyBorder="1" applyAlignment="1">
      <alignment vertical="center"/>
    </xf>
    <xf numFmtId="2" fontId="18" fillId="32" borderId="67" xfId="0" applyNumberFormat="1" applyFont="1" applyFill="1" applyBorder="1" applyAlignment="1">
      <alignment horizontal="center" vertical="center" wrapText="1"/>
    </xf>
    <xf numFmtId="2" fontId="18" fillId="32" borderId="0" xfId="0" applyNumberFormat="1" applyFont="1" applyFill="1" applyBorder="1" applyAlignment="1">
      <alignment vertical="center"/>
    </xf>
    <xf numFmtId="3" fontId="29" fillId="8" borderId="164" xfId="0" applyNumberFormat="1" applyFont="1" applyFill="1" applyBorder="1" applyAlignment="1">
      <alignment vertical="center"/>
    </xf>
    <xf numFmtId="3" fontId="31" fillId="8" borderId="174" xfId="0" applyNumberFormat="1" applyFont="1" applyFill="1" applyBorder="1" applyAlignment="1">
      <alignment vertical="center"/>
    </xf>
    <xf numFmtId="3" fontId="31" fillId="8" borderId="164" xfId="0" applyNumberFormat="1" applyFont="1" applyFill="1" applyBorder="1" applyAlignment="1">
      <alignment vertical="center"/>
    </xf>
    <xf numFmtId="3" fontId="31" fillId="8" borderId="199" xfId="0" applyNumberFormat="1" applyFont="1" applyFill="1" applyBorder="1" applyAlignment="1">
      <alignment vertical="center"/>
    </xf>
    <xf numFmtId="3" fontId="31" fillId="8" borderId="206" xfId="0" applyNumberFormat="1" applyFont="1" applyFill="1" applyBorder="1" applyAlignment="1">
      <alignment vertical="center"/>
    </xf>
    <xf numFmtId="3" fontId="27" fillId="2" borderId="208" xfId="4" applyNumberFormat="1" applyFont="1" applyFill="1" applyBorder="1" applyAlignment="1">
      <alignment vertical="center" wrapText="1"/>
    </xf>
    <xf numFmtId="0" fontId="31" fillId="0" borderId="208" xfId="4" applyFont="1" applyFill="1" applyBorder="1" applyAlignment="1">
      <alignment vertical="center"/>
    </xf>
    <xf numFmtId="0" fontId="27" fillId="2" borderId="208" xfId="4" applyFont="1" applyFill="1" applyBorder="1" applyAlignment="1">
      <alignment vertical="center"/>
    </xf>
    <xf numFmtId="43" fontId="31" fillId="0" borderId="206" xfId="1" applyFont="1" applyFill="1" applyBorder="1" applyAlignment="1">
      <alignment horizontal="right" vertical="center"/>
    </xf>
    <xf numFmtId="0" fontId="7" fillId="0" borderId="208" xfId="4" applyFont="1" applyFill="1" applyBorder="1" applyAlignment="1">
      <alignment horizontal="left" vertical="center"/>
    </xf>
    <xf numFmtId="3" fontId="24" fillId="22" borderId="164" xfId="4" applyNumberFormat="1" applyFont="1" applyFill="1" applyBorder="1" applyAlignment="1">
      <alignment horizontal="right" vertical="center"/>
    </xf>
    <xf numFmtId="0" fontId="7" fillId="0" borderId="138" xfId="4" applyFont="1" applyFill="1" applyBorder="1" applyAlignment="1">
      <alignment horizontal="left" vertical="center"/>
    </xf>
    <xf numFmtId="3" fontId="31" fillId="0" borderId="206" xfId="4" applyNumberFormat="1" applyFont="1" applyFill="1" applyBorder="1" applyAlignment="1">
      <alignment horizontal="right" vertical="center"/>
    </xf>
    <xf numFmtId="3" fontId="31" fillId="25" borderId="206" xfId="4" applyNumberFormat="1" applyFont="1" applyFill="1" applyBorder="1" applyAlignment="1">
      <alignment horizontal="right" vertical="center"/>
    </xf>
    <xf numFmtId="0" fontId="25" fillId="2" borderId="5" xfId="0" applyFont="1" applyFill="1" applyBorder="1" applyAlignment="1">
      <alignment horizontal="center" vertical="top"/>
    </xf>
    <xf numFmtId="9" fontId="25" fillId="2" borderId="21" xfId="2" applyFont="1" applyFill="1" applyBorder="1" applyAlignment="1">
      <alignment horizontal="center" vertical="top"/>
    </xf>
    <xf numFmtId="0" fontId="21" fillId="2" borderId="190" xfId="0" applyFont="1" applyFill="1" applyBorder="1" applyAlignment="1">
      <alignment horizontal="center" vertical="top"/>
    </xf>
    <xf numFmtId="0" fontId="21" fillId="2" borderId="174" xfId="0" applyFont="1" applyFill="1" applyBorder="1" applyAlignment="1">
      <alignment horizontal="center" vertical="top"/>
    </xf>
    <xf numFmtId="0" fontId="21" fillId="2" borderId="174" xfId="0" quotePrefix="1" applyFont="1" applyFill="1" applyBorder="1" applyAlignment="1">
      <alignment horizontal="center" vertical="top"/>
    </xf>
    <xf numFmtId="0" fontId="21" fillId="26" borderId="174" xfId="0" quotePrefix="1" applyFont="1" applyFill="1" applyBorder="1" applyAlignment="1">
      <alignment horizontal="center" vertical="top"/>
    </xf>
    <xf numFmtId="0" fontId="21" fillId="2" borderId="184" xfId="0" quotePrefix="1" applyFont="1" applyFill="1" applyBorder="1" applyAlignment="1">
      <alignment horizontal="center" vertical="top"/>
    </xf>
    <xf numFmtId="0" fontId="25" fillId="8" borderId="26" xfId="0" applyFont="1" applyFill="1" applyBorder="1" applyAlignment="1">
      <alignment vertical="center"/>
    </xf>
    <xf numFmtId="3" fontId="27" fillId="23" borderId="174" xfId="4" applyNumberFormat="1" applyFont="1" applyFill="1" applyBorder="1" applyAlignment="1">
      <alignment vertical="top"/>
    </xf>
    <xf numFmtId="3" fontId="7" fillId="23" borderId="174" xfId="4" applyNumberFormat="1" applyFont="1" applyFill="1" applyBorder="1" applyAlignment="1">
      <alignment vertical="top"/>
    </xf>
    <xf numFmtId="0" fontId="18" fillId="0" borderId="133" xfId="4" applyFont="1" applyFill="1" applyBorder="1" applyAlignment="1">
      <alignment horizontal="center" vertical="center" wrapText="1"/>
    </xf>
    <xf numFmtId="3" fontId="24" fillId="6" borderId="190" xfId="4" applyNumberFormat="1" applyFont="1" applyFill="1" applyBorder="1" applyAlignment="1">
      <alignment vertical="center"/>
    </xf>
    <xf numFmtId="3" fontId="25" fillId="6" borderId="172" xfId="4" applyNumberFormat="1" applyFont="1" applyFill="1" applyBorder="1" applyAlignment="1">
      <alignment vertical="center"/>
    </xf>
    <xf numFmtId="3" fontId="25" fillId="22" borderId="174" xfId="4" applyNumberFormat="1" applyFont="1" applyFill="1" applyBorder="1" applyAlignment="1">
      <alignment vertical="center"/>
    </xf>
    <xf numFmtId="3" fontId="29" fillId="0" borderId="167" xfId="4" applyNumberFormat="1" applyFont="1" applyFill="1" applyBorder="1" applyAlignment="1">
      <alignment horizontal="right" vertical="center"/>
    </xf>
    <xf numFmtId="3" fontId="27" fillId="25" borderId="174" xfId="4" applyNumberFormat="1" applyFont="1" applyFill="1" applyBorder="1" applyAlignment="1">
      <alignment horizontal="right" vertical="center"/>
    </xf>
    <xf numFmtId="0" fontId="7" fillId="0" borderId="208" xfId="4" applyFont="1" applyFill="1" applyBorder="1" applyAlignment="1"/>
    <xf numFmtId="3" fontId="31" fillId="0" borderId="167" xfId="4" applyNumberFormat="1" applyFont="1" applyFill="1" applyBorder="1" applyAlignment="1"/>
    <xf numFmtId="3" fontId="31" fillId="0" borderId="174" xfId="4" applyNumberFormat="1" applyFont="1" applyFill="1" applyBorder="1" applyAlignment="1"/>
    <xf numFmtId="3" fontId="29" fillId="0" borderId="172" xfId="4" applyNumberFormat="1" applyFont="1" applyFill="1" applyBorder="1" applyAlignment="1">
      <alignment horizontal="right" vertical="center"/>
    </xf>
    <xf numFmtId="3" fontId="31" fillId="0" borderId="174" xfId="4" applyNumberFormat="1" applyFont="1" applyFill="1" applyBorder="1" applyAlignment="1">
      <alignment horizontal="right" vertical="center"/>
    </xf>
    <xf numFmtId="3" fontId="31" fillId="0" borderId="167" xfId="4" applyNumberFormat="1" applyFont="1" applyFill="1" applyBorder="1" applyAlignment="1">
      <alignment horizontal="right" vertical="center"/>
    </xf>
    <xf numFmtId="3" fontId="7" fillId="0" borderId="167" xfId="4" applyNumberFormat="1" applyFont="1" applyFill="1" applyBorder="1" applyAlignment="1">
      <alignment horizontal="right" vertical="center"/>
    </xf>
    <xf numFmtId="3" fontId="24" fillId="6" borderId="172" xfId="4" applyNumberFormat="1" applyFont="1" applyFill="1" applyBorder="1" applyAlignment="1">
      <alignment vertical="center"/>
    </xf>
    <xf numFmtId="3" fontId="31" fillId="0" borderId="199" xfId="4" applyNumberFormat="1" applyFont="1" applyFill="1" applyBorder="1" applyAlignment="1">
      <alignment vertical="top"/>
    </xf>
    <xf numFmtId="0" fontId="24" fillId="0" borderId="11" xfId="4" applyFont="1" applyFill="1" applyBorder="1" applyAlignment="1">
      <alignment vertical="center"/>
    </xf>
    <xf numFmtId="0" fontId="18" fillId="0" borderId="43" xfId="4" applyFont="1" applyFill="1" applyBorder="1" applyAlignment="1">
      <alignment vertical="center" wrapText="1"/>
    </xf>
    <xf numFmtId="43" fontId="7" fillId="23" borderId="100" xfId="1" applyFont="1" applyFill="1" applyBorder="1" applyAlignment="1">
      <alignment horizontal="center" vertical="center"/>
    </xf>
    <xf numFmtId="43" fontId="8" fillId="0" borderId="100" xfId="1" applyFont="1" applyFill="1" applyBorder="1" applyAlignment="1">
      <alignment vertical="center" wrapText="1"/>
    </xf>
    <xf numFmtId="3" fontId="8" fillId="0" borderId="199" xfId="0" applyNumberFormat="1" applyFont="1" applyFill="1" applyBorder="1" applyAlignment="1">
      <alignment vertical="center" wrapText="1"/>
    </xf>
    <xf numFmtId="3" fontId="18" fillId="0" borderId="43" xfId="4" applyNumberFormat="1" applyFont="1" applyFill="1" applyBorder="1" applyAlignment="1">
      <alignment vertical="center" wrapText="1"/>
    </xf>
    <xf numFmtId="3" fontId="18" fillId="0" borderId="41" xfId="4" applyNumberFormat="1" applyFont="1" applyFill="1" applyBorder="1" applyAlignment="1">
      <alignment vertical="center" wrapText="1"/>
    </xf>
    <xf numFmtId="0" fontId="23" fillId="0" borderId="43" xfId="0" applyFont="1" applyFill="1" applyBorder="1" applyAlignment="1">
      <alignment vertical="center" wrapText="1"/>
    </xf>
    <xf numFmtId="0" fontId="23" fillId="0" borderId="41" xfId="0" applyFont="1" applyFill="1" applyBorder="1" applyAlignment="1">
      <alignment vertical="center" wrapText="1"/>
    </xf>
    <xf numFmtId="0" fontId="23" fillId="0" borderId="43" xfId="0" applyFont="1" applyFill="1" applyBorder="1" applyAlignment="1">
      <alignment horizontal="center" vertical="center" wrapText="1"/>
    </xf>
    <xf numFmtId="0" fontId="38" fillId="0" borderId="189" xfId="4" applyFont="1" applyFill="1" applyBorder="1" applyAlignment="1">
      <alignment vertical="top"/>
    </xf>
    <xf numFmtId="3" fontId="63" fillId="0" borderId="189" xfId="6" applyNumberFormat="1" applyFont="1" applyFill="1" applyBorder="1" applyAlignment="1">
      <alignment vertical="center"/>
    </xf>
    <xf numFmtId="0" fontId="29" fillId="2" borderId="193" xfId="4" applyFont="1" applyFill="1" applyBorder="1" applyAlignment="1">
      <alignment vertical="center"/>
    </xf>
    <xf numFmtId="43" fontId="25" fillId="6" borderId="164" xfId="1" applyFont="1" applyFill="1" applyBorder="1" applyAlignment="1">
      <alignment horizontal="right" vertical="center"/>
    </xf>
    <xf numFmtId="43" fontId="31" fillId="0" borderId="165" xfId="1" applyFont="1" applyFill="1" applyBorder="1" applyAlignment="1">
      <alignment vertical="center"/>
    </xf>
    <xf numFmtId="0" fontId="31" fillId="0" borderId="138" xfId="4" applyFont="1" applyFill="1" applyBorder="1" applyAlignment="1">
      <alignment vertical="center"/>
    </xf>
    <xf numFmtId="43" fontId="31" fillId="0" borderId="174" xfId="1" applyFont="1" applyFill="1" applyBorder="1" applyAlignment="1">
      <alignment vertical="center"/>
    </xf>
    <xf numFmtId="3" fontId="24" fillId="32" borderId="164" xfId="4" applyNumberFormat="1" applyFont="1" applyFill="1" applyBorder="1" applyAlignment="1">
      <alignment vertical="center"/>
    </xf>
    <xf numFmtId="43" fontId="24" fillId="32" borderId="164" xfId="1" applyFont="1" applyFill="1" applyBorder="1" applyAlignment="1">
      <alignment vertical="center"/>
    </xf>
    <xf numFmtId="3" fontId="24" fillId="6" borderId="188" xfId="0" applyNumberFormat="1" applyFont="1" applyFill="1" applyBorder="1" applyAlignment="1">
      <alignment horizontal="right" vertical="center"/>
    </xf>
    <xf numFmtId="3" fontId="31" fillId="2" borderId="138" xfId="4" applyNumberFormat="1" applyFont="1" applyFill="1" applyBorder="1" applyAlignment="1">
      <alignment vertical="center" wrapText="1"/>
    </xf>
    <xf numFmtId="3" fontId="25" fillId="6" borderId="188" xfId="1" applyNumberFormat="1" applyFont="1" applyFill="1" applyBorder="1" applyAlignment="1">
      <alignment vertical="top"/>
    </xf>
    <xf numFmtId="3" fontId="27" fillId="2" borderId="188" xfId="1" applyNumberFormat="1" applyFont="1" applyFill="1" applyBorder="1" applyAlignment="1">
      <alignment vertical="top"/>
    </xf>
    <xf numFmtId="3" fontId="31" fillId="0" borderId="9" xfId="1" applyNumberFormat="1" applyFont="1" applyFill="1" applyBorder="1" applyAlignment="1">
      <alignment vertical="top"/>
    </xf>
    <xf numFmtId="3" fontId="27" fillId="0" borderId="188" xfId="1" applyNumberFormat="1" applyFont="1" applyFill="1" applyBorder="1" applyAlignment="1">
      <alignment vertical="top"/>
    </xf>
    <xf numFmtId="3" fontId="31" fillId="0" borderId="13" xfId="1" applyNumberFormat="1" applyFont="1" applyFill="1" applyBorder="1" applyAlignment="1">
      <alignment horizontal="right" vertical="center"/>
    </xf>
    <xf numFmtId="3" fontId="31" fillId="0" borderId="199" xfId="1" applyNumberFormat="1" applyFont="1" applyFill="1" applyBorder="1" applyAlignment="1">
      <alignment horizontal="right" vertical="center"/>
    </xf>
    <xf numFmtId="3" fontId="25" fillId="32" borderId="164" xfId="0" applyNumberFormat="1" applyFont="1" applyFill="1" applyBorder="1" applyAlignment="1">
      <alignment vertical="top"/>
    </xf>
    <xf numFmtId="3" fontId="31" fillId="22" borderId="174" xfId="0" applyNumberFormat="1" applyFont="1" applyFill="1" applyBorder="1" applyAlignment="1">
      <alignment vertical="top"/>
    </xf>
    <xf numFmtId="3" fontId="25" fillId="32" borderId="9" xfId="0" applyNumberFormat="1" applyFont="1" applyFill="1" applyBorder="1" applyAlignment="1">
      <alignment vertical="top"/>
    </xf>
    <xf numFmtId="3" fontId="31" fillId="32" borderId="164" xfId="0" applyNumberFormat="1" applyFont="1" applyFill="1" applyBorder="1" applyAlignment="1">
      <alignment vertical="top"/>
    </xf>
    <xf numFmtId="3" fontId="27" fillId="32" borderId="164" xfId="0" applyNumberFormat="1" applyFont="1" applyFill="1" applyBorder="1" applyAlignment="1">
      <alignment vertical="top"/>
    </xf>
    <xf numFmtId="3" fontId="31" fillId="32" borderId="206" xfId="4" applyNumberFormat="1" applyFont="1" applyFill="1" applyBorder="1" applyAlignment="1"/>
    <xf numFmtId="3" fontId="31" fillId="32" borderId="199" xfId="0" applyNumberFormat="1" applyFont="1" applyFill="1" applyBorder="1" applyAlignment="1">
      <alignment horizontal="right" vertical="center"/>
    </xf>
    <xf numFmtId="0" fontId="18" fillId="0" borderId="0" xfId="0" applyFont="1" applyBorder="1" applyAlignment="1">
      <alignment vertical="top"/>
    </xf>
    <xf numFmtId="0" fontId="24" fillId="8" borderId="208" xfId="4" applyFont="1" applyFill="1" applyBorder="1" applyAlignment="1">
      <alignment horizontal="left" vertical="center" wrapText="1"/>
    </xf>
    <xf numFmtId="3" fontId="7" fillId="23" borderId="167" xfId="4" applyNumberFormat="1" applyFont="1" applyFill="1" applyBorder="1" applyAlignment="1">
      <alignment horizontal="right" vertical="center"/>
    </xf>
    <xf numFmtId="3" fontId="7" fillId="0" borderId="199" xfId="4" applyNumberFormat="1" applyFont="1" applyFill="1" applyBorder="1" applyAlignment="1">
      <alignment vertical="center"/>
    </xf>
    <xf numFmtId="3" fontId="29" fillId="0" borderId="131" xfId="4" applyNumberFormat="1" applyFont="1" applyFill="1" applyBorder="1" applyAlignment="1">
      <alignment horizontal="right" vertical="center"/>
    </xf>
    <xf numFmtId="3" fontId="29" fillId="0" borderId="130" xfId="4" applyNumberFormat="1" applyFont="1" applyFill="1" applyBorder="1" applyAlignment="1">
      <alignment horizontal="right" vertical="center"/>
    </xf>
    <xf numFmtId="3" fontId="29" fillId="25" borderId="130" xfId="4" applyNumberFormat="1" applyFont="1" applyFill="1" applyBorder="1" applyAlignment="1">
      <alignment horizontal="right" vertical="center"/>
    </xf>
    <xf numFmtId="3" fontId="31" fillId="0" borderId="129" xfId="4" applyNumberFormat="1" applyFont="1" applyFill="1" applyBorder="1" applyAlignment="1">
      <alignment horizontal="right" vertical="center"/>
    </xf>
    <xf numFmtId="3" fontId="7" fillId="0" borderId="35" xfId="112" applyNumberFormat="1" applyFont="1" applyFill="1" applyBorder="1" applyAlignment="1">
      <alignment vertical="center"/>
    </xf>
    <xf numFmtId="3" fontId="7" fillId="23" borderId="2" xfId="112" applyNumberFormat="1" applyFont="1" applyFill="1" applyBorder="1" applyAlignment="1">
      <alignment vertical="center"/>
    </xf>
    <xf numFmtId="3" fontId="29" fillId="2" borderId="130" xfId="4" applyNumberFormat="1" applyFont="1" applyFill="1" applyBorder="1" applyAlignment="1">
      <alignment horizontal="right" vertical="center"/>
    </xf>
    <xf numFmtId="3" fontId="29" fillId="0" borderId="132" xfId="4" applyNumberFormat="1" applyFont="1" applyFill="1" applyBorder="1" applyAlignment="1">
      <alignment horizontal="right" vertical="center"/>
    </xf>
    <xf numFmtId="3" fontId="29" fillId="0" borderId="129" xfId="4" applyNumberFormat="1" applyFont="1" applyFill="1" applyBorder="1" applyAlignment="1">
      <alignment horizontal="right" vertical="center"/>
    </xf>
    <xf numFmtId="0" fontId="4" fillId="0" borderId="124" xfId="112" applyFont="1" applyBorder="1" applyAlignment="1">
      <alignment vertical="center"/>
    </xf>
    <xf numFmtId="0" fontId="24" fillId="6" borderId="193" xfId="4" applyFont="1" applyFill="1" applyBorder="1" applyAlignment="1">
      <alignment horizontal="left" vertical="center"/>
    </xf>
    <xf numFmtId="3" fontId="25" fillId="6" borderId="188" xfId="4" applyNumberFormat="1" applyFont="1" applyFill="1" applyBorder="1" applyAlignment="1">
      <alignment vertical="center"/>
    </xf>
    <xf numFmtId="3" fontId="24" fillId="22" borderId="189" xfId="4" applyNumberFormat="1" applyFont="1" applyFill="1" applyBorder="1" applyAlignment="1">
      <alignment vertical="center"/>
    </xf>
    <xf numFmtId="3" fontId="27" fillId="0" borderId="188" xfId="4" applyNumberFormat="1" applyFont="1" applyFill="1" applyBorder="1" applyAlignment="1">
      <alignment vertical="center"/>
    </xf>
    <xf numFmtId="3" fontId="29" fillId="0" borderId="188" xfId="4" applyNumberFormat="1" applyFont="1" applyFill="1" applyBorder="1" applyAlignment="1">
      <alignment vertical="center"/>
    </xf>
    <xf numFmtId="3" fontId="27" fillId="25" borderId="188" xfId="4" applyNumberFormat="1" applyFont="1" applyFill="1" applyBorder="1" applyAlignment="1">
      <alignment vertical="center"/>
    </xf>
    <xf numFmtId="0" fontId="7" fillId="0" borderId="21" xfId="0" applyFont="1" applyFill="1" applyBorder="1" applyAlignment="1">
      <alignment vertical="center"/>
    </xf>
    <xf numFmtId="3" fontId="7" fillId="0" borderId="188" xfId="4" applyNumberFormat="1" applyFont="1" applyFill="1" applyBorder="1" applyAlignment="1">
      <alignment vertical="center"/>
    </xf>
    <xf numFmtId="0" fontId="28" fillId="0" borderId="193" xfId="4" applyFont="1" applyFill="1" applyBorder="1" applyAlignment="1">
      <alignment vertical="center"/>
    </xf>
    <xf numFmtId="3" fontId="28" fillId="0" borderId="188" xfId="4" applyNumberFormat="1" applyFont="1" applyFill="1" applyBorder="1" applyAlignment="1">
      <alignment horizontal="right" vertical="center"/>
    </xf>
    <xf numFmtId="3" fontId="28" fillId="25" borderId="188" xfId="4" applyNumberFormat="1" applyFont="1" applyFill="1" applyBorder="1" applyAlignment="1">
      <alignment horizontal="right" vertical="center"/>
    </xf>
    <xf numFmtId="3" fontId="28" fillId="0" borderId="189" xfId="4" applyNumberFormat="1" applyFont="1" applyFill="1" applyBorder="1" applyAlignment="1">
      <alignment horizontal="right" vertical="center"/>
    </xf>
    <xf numFmtId="0" fontId="31" fillId="0" borderId="186" xfId="4" applyFont="1" applyFill="1" applyBorder="1" applyAlignment="1">
      <alignment vertical="center"/>
    </xf>
    <xf numFmtId="3" fontId="31" fillId="0" borderId="185" xfId="4" applyNumberFormat="1" applyFont="1" applyFill="1" applyBorder="1" applyAlignment="1">
      <alignment horizontal="right" vertical="center"/>
    </xf>
    <xf numFmtId="3" fontId="27" fillId="2" borderId="20" xfId="4" applyNumberFormat="1" applyFont="1" applyFill="1" applyBorder="1" applyAlignment="1">
      <alignment horizontal="center" vertical="center" wrapText="1"/>
    </xf>
    <xf numFmtId="3" fontId="28" fillId="25" borderId="180" xfId="4" applyNumberFormat="1" applyFont="1" applyFill="1" applyBorder="1" applyAlignment="1">
      <alignment horizontal="right" vertical="center"/>
    </xf>
    <xf numFmtId="3" fontId="39" fillId="0" borderId="0" xfId="0" applyNumberFormat="1" applyFont="1" applyBorder="1" applyAlignment="1">
      <alignment vertical="center"/>
    </xf>
    <xf numFmtId="0" fontId="39" fillId="0" borderId="0" xfId="0" applyFont="1" applyBorder="1" applyAlignment="1">
      <alignment vertical="center"/>
    </xf>
    <xf numFmtId="3" fontId="33" fillId="0" borderId="188" xfId="114" applyNumberFormat="1" applyFont="1" applyFill="1" applyBorder="1" applyAlignment="1">
      <alignment vertical="center"/>
    </xf>
    <xf numFmtId="3" fontId="33" fillId="0" borderId="189" xfId="114" applyNumberFormat="1" applyFont="1" applyFill="1" applyBorder="1" applyAlignment="1">
      <alignment vertical="center"/>
    </xf>
    <xf numFmtId="0" fontId="4" fillId="0" borderId="189" xfId="112" applyFont="1" applyBorder="1" applyAlignment="1">
      <alignment vertical="center"/>
    </xf>
    <xf numFmtId="0" fontId="24" fillId="32" borderId="21" xfId="4" applyFont="1" applyFill="1" applyBorder="1" applyAlignment="1">
      <alignment horizontal="left" vertical="center"/>
    </xf>
    <xf numFmtId="3" fontId="27" fillId="32" borderId="9" xfId="4" applyNumberFormat="1" applyFont="1" applyFill="1" applyBorder="1" applyAlignment="1">
      <alignment vertical="center"/>
    </xf>
    <xf numFmtId="3" fontId="27" fillId="32" borderId="35" xfId="4" applyNumberFormat="1" applyFont="1" applyFill="1" applyBorder="1" applyAlignment="1">
      <alignment vertical="center"/>
    </xf>
    <xf numFmtId="43" fontId="25" fillId="6" borderId="164" xfId="1" applyFont="1" applyFill="1" applyBorder="1" applyAlignment="1">
      <alignment vertical="center"/>
    </xf>
    <xf numFmtId="3" fontId="24" fillId="22" borderId="163" xfId="4" applyNumberFormat="1" applyFont="1" applyFill="1" applyBorder="1" applyAlignment="1">
      <alignment vertical="center"/>
    </xf>
    <xf numFmtId="3" fontId="29" fillId="0" borderId="164" xfId="4" applyNumberFormat="1" applyFont="1" applyFill="1" applyBorder="1" applyAlignment="1">
      <alignment vertical="center"/>
    </xf>
    <xf numFmtId="43" fontId="29" fillId="0" borderId="164" xfId="1" applyFont="1" applyFill="1" applyBorder="1" applyAlignment="1">
      <alignment vertical="center"/>
    </xf>
    <xf numFmtId="3" fontId="27" fillId="25" borderId="164" xfId="4" applyNumberFormat="1" applyFont="1" applyFill="1" applyBorder="1" applyAlignment="1">
      <alignment vertical="center"/>
    </xf>
    <xf numFmtId="43" fontId="29" fillId="0" borderId="164" xfId="1" applyFont="1" applyFill="1" applyBorder="1" applyAlignment="1">
      <alignment horizontal="right" vertical="center"/>
    </xf>
    <xf numFmtId="3" fontId="31" fillId="0" borderId="173" xfId="4" applyNumberFormat="1" applyFont="1" applyFill="1" applyBorder="1" applyAlignment="1">
      <alignment horizontal="right" vertical="center"/>
    </xf>
    <xf numFmtId="43" fontId="28" fillId="0" borderId="164" xfId="1" applyFont="1" applyFill="1" applyBorder="1" applyAlignment="1">
      <alignment horizontal="right" vertical="center"/>
    </xf>
    <xf numFmtId="43" fontId="27" fillId="0" borderId="164" xfId="1" applyFont="1" applyFill="1" applyBorder="1" applyAlignment="1">
      <alignment horizontal="right" vertical="center"/>
    </xf>
    <xf numFmtId="43" fontId="31" fillId="0" borderId="173" xfId="1" applyFont="1" applyFill="1" applyBorder="1" applyAlignment="1">
      <alignment horizontal="right" vertical="center"/>
    </xf>
    <xf numFmtId="0" fontId="0" fillId="0" borderId="188" xfId="0" applyFont="1" applyBorder="1"/>
    <xf numFmtId="3" fontId="0" fillId="0" borderId="188" xfId="0" applyNumberFormat="1" applyFont="1" applyBorder="1"/>
    <xf numFmtId="3" fontId="71" fillId="2" borderId="0" xfId="0" applyNumberFormat="1" applyFont="1" applyFill="1" applyBorder="1" applyAlignment="1">
      <alignment horizontal="center" vertical="center"/>
    </xf>
    <xf numFmtId="1" fontId="62" fillId="13" borderId="0" xfId="0" applyNumberFormat="1" applyFont="1" applyFill="1" applyBorder="1" applyAlignment="1">
      <alignment horizontal="center" vertical="center" wrapText="1"/>
    </xf>
    <xf numFmtId="3" fontId="7" fillId="13" borderId="188" xfId="4" applyNumberFormat="1" applyFont="1" applyFill="1" applyBorder="1" applyAlignment="1">
      <alignment horizontal="right" vertical="center"/>
    </xf>
    <xf numFmtId="3" fontId="31" fillId="25" borderId="180" xfId="4" applyNumberFormat="1" applyFont="1" applyFill="1" applyBorder="1" applyAlignment="1">
      <alignment horizontal="right" vertical="center"/>
    </xf>
    <xf numFmtId="3" fontId="25" fillId="26" borderId="24" xfId="4" applyNumberFormat="1" applyFont="1" applyFill="1" applyBorder="1" applyAlignment="1">
      <alignment horizontal="center" vertical="center"/>
    </xf>
    <xf numFmtId="3" fontId="18" fillId="0" borderId="46" xfId="4" applyNumberFormat="1" applyFont="1" applyFill="1" applyBorder="1" applyAlignment="1">
      <alignment vertical="center" wrapText="1"/>
    </xf>
    <xf numFmtId="0" fontId="22" fillId="0" borderId="195" xfId="0" applyFont="1" applyBorder="1" applyAlignment="1">
      <alignment vertical="center" wrapText="1"/>
    </xf>
    <xf numFmtId="0" fontId="25" fillId="8" borderId="21" xfId="4" applyFont="1" applyFill="1" applyBorder="1" applyAlignment="1">
      <alignment horizontal="left" vertical="center" wrapText="1"/>
    </xf>
    <xf numFmtId="3" fontId="33" fillId="8" borderId="0" xfId="6" applyNumberFormat="1" applyFont="1" applyFill="1" applyBorder="1" applyAlignment="1">
      <alignment horizontal="right" vertical="center"/>
    </xf>
    <xf numFmtId="3" fontId="24" fillId="8" borderId="10" xfId="4" applyNumberFormat="1" applyFont="1" applyFill="1" applyBorder="1" applyAlignment="1">
      <alignment horizontal="right" vertical="center"/>
    </xf>
    <xf numFmtId="3" fontId="24" fillId="8" borderId="9" xfId="4" applyNumberFormat="1" applyFont="1" applyFill="1" applyBorder="1" applyAlignment="1">
      <alignment horizontal="right" vertical="center"/>
    </xf>
    <xf numFmtId="0" fontId="27" fillId="13" borderId="208" xfId="4" applyFont="1" applyFill="1" applyBorder="1" applyAlignment="1">
      <alignment vertical="center"/>
    </xf>
    <xf numFmtId="3" fontId="27" fillId="13" borderId="188" xfId="4" applyNumberFormat="1" applyFont="1" applyFill="1" applyBorder="1" applyAlignment="1">
      <alignment horizontal="right" vertical="center"/>
    </xf>
    <xf numFmtId="3" fontId="7" fillId="13" borderId="9" xfId="4" applyNumberFormat="1" applyFont="1" applyFill="1" applyBorder="1" applyAlignment="1">
      <alignment horizontal="right" vertical="center"/>
    </xf>
    <xf numFmtId="43" fontId="31" fillId="0" borderId="63" xfId="1" applyFont="1" applyFill="1" applyBorder="1" applyAlignment="1">
      <alignment vertical="center"/>
    </xf>
    <xf numFmtId="0" fontId="7" fillId="8" borderId="43" xfId="4" applyFont="1" applyFill="1" applyBorder="1" applyAlignment="1">
      <alignment horizontal="center" vertical="center"/>
    </xf>
    <xf numFmtId="2" fontId="0" fillId="0" borderId="0" xfId="0" applyNumberFormat="1" applyFont="1" applyBorder="1"/>
    <xf numFmtId="0" fontId="17" fillId="0" borderId="21" xfId="0" applyFont="1" applyFill="1" applyBorder="1" applyAlignment="1">
      <alignment horizontal="center" vertical="center"/>
    </xf>
    <xf numFmtId="0" fontId="25" fillId="32" borderId="12" xfId="4" applyFont="1" applyFill="1" applyBorder="1" applyAlignment="1">
      <alignment horizontal="center" vertical="center" wrapText="1"/>
    </xf>
    <xf numFmtId="3" fontId="23" fillId="6" borderId="101" xfId="6" applyNumberFormat="1" applyFont="1" applyFill="1" applyBorder="1" applyAlignment="1">
      <alignment horizontal="right" vertical="center"/>
    </xf>
    <xf numFmtId="43" fontId="23" fillId="6" borderId="101" xfId="1" applyFont="1" applyFill="1" applyBorder="1" applyAlignment="1">
      <alignment horizontal="right" vertical="center"/>
    </xf>
    <xf numFmtId="3" fontId="33" fillId="0" borderId="101" xfId="6" applyNumberFormat="1" applyFont="1" applyFill="1" applyBorder="1" applyAlignment="1">
      <alignment horizontal="right" vertical="center"/>
    </xf>
    <xf numFmtId="43" fontId="33" fillId="0" borderId="101" xfId="1" applyFont="1" applyFill="1" applyBorder="1" applyAlignment="1">
      <alignment horizontal="right" vertical="center"/>
    </xf>
    <xf numFmtId="43" fontId="31" fillId="0" borderId="101" xfId="1" applyFont="1" applyFill="1" applyBorder="1" applyAlignment="1">
      <alignment horizontal="right" vertical="center"/>
    </xf>
    <xf numFmtId="3" fontId="31" fillId="0" borderId="101" xfId="4" applyNumberFormat="1" applyFont="1" applyFill="1" applyBorder="1" applyAlignment="1">
      <alignment horizontal="right" vertical="center"/>
    </xf>
    <xf numFmtId="3" fontId="33" fillId="0" borderId="101" xfId="6" applyNumberFormat="1" applyFont="1" applyFill="1" applyBorder="1" applyAlignment="1">
      <alignment vertical="center"/>
    </xf>
    <xf numFmtId="43" fontId="33" fillId="0" borderId="101" xfId="1" applyFont="1" applyFill="1" applyBorder="1" applyAlignment="1">
      <alignment vertical="center"/>
    </xf>
    <xf numFmtId="0" fontId="31" fillId="0" borderId="110" xfId="4" applyFont="1" applyFill="1" applyBorder="1" applyAlignment="1">
      <alignment vertical="center"/>
    </xf>
    <xf numFmtId="3" fontId="24" fillId="6" borderId="101" xfId="4" applyNumberFormat="1" applyFont="1" applyFill="1" applyBorder="1" applyAlignment="1">
      <alignment vertical="center"/>
    </xf>
    <xf numFmtId="43" fontId="24" fillId="6" borderId="101" xfId="1" applyFont="1" applyFill="1" applyBorder="1" applyAlignment="1">
      <alignment vertical="center"/>
    </xf>
    <xf numFmtId="3" fontId="27" fillId="2" borderId="101" xfId="4" applyNumberFormat="1" applyFont="1" applyFill="1" applyBorder="1" applyAlignment="1">
      <alignment vertical="center"/>
    </xf>
    <xf numFmtId="43" fontId="29" fillId="2" borderId="101" xfId="1" applyFont="1" applyFill="1" applyBorder="1" applyAlignment="1">
      <alignment vertical="center"/>
    </xf>
    <xf numFmtId="3" fontId="29" fillId="2" borderId="101" xfId="4" applyNumberFormat="1" applyFont="1" applyFill="1" applyBorder="1" applyAlignment="1">
      <alignment vertical="center"/>
    </xf>
    <xf numFmtId="0" fontId="17" fillId="8" borderId="134" xfId="4" applyFont="1" applyFill="1" applyBorder="1" applyAlignment="1">
      <alignment vertical="top"/>
    </xf>
    <xf numFmtId="0" fontId="27" fillId="50" borderId="163" xfId="4" applyFont="1" applyFill="1" applyBorder="1" applyAlignment="1">
      <alignment horizontal="left" vertical="center"/>
    </xf>
    <xf numFmtId="3" fontId="27" fillId="50" borderId="163" xfId="4" applyNumberFormat="1" applyFont="1" applyFill="1" applyBorder="1" applyAlignment="1">
      <alignment horizontal="right" vertical="center"/>
    </xf>
    <xf numFmtId="3" fontId="27" fillId="21" borderId="163" xfId="4" applyNumberFormat="1" applyFont="1" applyFill="1" applyBorder="1" applyAlignment="1">
      <alignment horizontal="right" vertical="center"/>
    </xf>
    <xf numFmtId="0" fontId="18" fillId="8" borderId="166" xfId="4" applyFont="1" applyFill="1" applyBorder="1" applyAlignment="1">
      <alignment horizontal="center" vertical="top"/>
    </xf>
    <xf numFmtId="0" fontId="17" fillId="8" borderId="6" xfId="4" applyFont="1" applyFill="1" applyBorder="1" applyAlignment="1">
      <alignment vertical="top"/>
    </xf>
    <xf numFmtId="0" fontId="27" fillId="50" borderId="163" xfId="0" applyFont="1" applyFill="1" applyBorder="1" applyAlignment="1">
      <alignment horizontal="left" vertical="top"/>
    </xf>
    <xf numFmtId="0" fontId="28" fillId="50" borderId="163" xfId="0" quotePrefix="1" applyFont="1" applyFill="1" applyBorder="1" applyAlignment="1">
      <alignment horizontal="center" vertical="top"/>
    </xf>
    <xf numFmtId="3" fontId="27" fillId="50" borderId="163" xfId="0" quotePrefix="1" applyNumberFormat="1" applyFont="1" applyFill="1" applyBorder="1" applyAlignment="1">
      <alignment horizontal="right" vertical="top"/>
    </xf>
    <xf numFmtId="3" fontId="18" fillId="8" borderId="166" xfId="4" applyNumberFormat="1" applyFont="1" applyFill="1" applyBorder="1" applyAlignment="1">
      <alignment horizontal="center" vertical="top"/>
    </xf>
    <xf numFmtId="3" fontId="29" fillId="8" borderId="163" xfId="4" applyNumberFormat="1" applyFont="1" applyFill="1" applyBorder="1" applyAlignment="1">
      <alignment vertical="top" wrapText="1"/>
    </xf>
    <xf numFmtId="3" fontId="29" fillId="8" borderId="163" xfId="4" applyNumberFormat="1" applyFont="1" applyFill="1" applyBorder="1" applyAlignment="1">
      <alignment horizontal="right" vertical="center"/>
    </xf>
    <xf numFmtId="3" fontId="29" fillId="23" borderId="163" xfId="4" applyNumberFormat="1" applyFont="1" applyFill="1" applyBorder="1" applyAlignment="1">
      <alignment horizontal="right" vertical="center"/>
    </xf>
    <xf numFmtId="3" fontId="7" fillId="8" borderId="163" xfId="4" applyNumberFormat="1" applyFont="1" applyFill="1" applyBorder="1" applyAlignment="1">
      <alignment vertical="top" wrapText="1"/>
    </xf>
    <xf numFmtId="3" fontId="32" fillId="8" borderId="163" xfId="0" applyNumberFormat="1" applyFont="1" applyFill="1" applyBorder="1"/>
    <xf numFmtId="0" fontId="7" fillId="8" borderId="163" xfId="4" applyFont="1" applyFill="1" applyBorder="1" applyAlignment="1">
      <alignment vertical="top" wrapText="1"/>
    </xf>
    <xf numFmtId="3" fontId="7" fillId="23" borderId="163" xfId="4" applyNumberFormat="1" applyFont="1" applyFill="1" applyBorder="1" applyAlignment="1">
      <alignment horizontal="right" vertical="center"/>
    </xf>
    <xf numFmtId="0" fontId="7" fillId="8" borderId="189" xfId="4" applyFont="1" applyFill="1" applyBorder="1" applyAlignment="1">
      <alignment vertical="top" wrapText="1"/>
    </xf>
    <xf numFmtId="3" fontId="7" fillId="8" borderId="189" xfId="4" applyNumberFormat="1" applyFont="1" applyFill="1" applyBorder="1" applyAlignment="1">
      <alignment vertical="top" wrapText="1"/>
    </xf>
    <xf numFmtId="3" fontId="7" fillId="23" borderId="189" xfId="4" applyNumberFormat="1" applyFont="1" applyFill="1" applyBorder="1" applyAlignment="1">
      <alignment horizontal="right" vertical="center"/>
    </xf>
    <xf numFmtId="0" fontId="18" fillId="8" borderId="184" xfId="4" applyFont="1" applyFill="1" applyBorder="1" applyAlignment="1">
      <alignment horizontal="center" vertical="top"/>
    </xf>
    <xf numFmtId="0" fontId="29" fillId="8" borderId="163" xfId="4" applyFont="1" applyFill="1" applyBorder="1" applyAlignment="1">
      <alignment vertical="top"/>
    </xf>
    <xf numFmtId="0" fontId="7" fillId="8" borderId="172" xfId="4" applyFont="1" applyFill="1" applyBorder="1" applyAlignment="1">
      <alignment vertical="top" wrapText="1"/>
    </xf>
    <xf numFmtId="3" fontId="31" fillId="8" borderId="163" xfId="4" applyNumberFormat="1" applyFont="1" applyFill="1" applyBorder="1" applyAlignment="1">
      <alignment horizontal="right" vertical="center"/>
    </xf>
    <xf numFmtId="3" fontId="7" fillId="8" borderId="167" xfId="4" applyNumberFormat="1" applyFont="1" applyFill="1" applyBorder="1" applyAlignment="1">
      <alignment vertical="top" wrapText="1"/>
    </xf>
    <xf numFmtId="3" fontId="32" fillId="8" borderId="163" xfId="6" applyNumberFormat="1" applyFont="1" applyFill="1" applyBorder="1" applyAlignment="1">
      <alignment vertical="center"/>
    </xf>
    <xf numFmtId="0" fontId="25" fillId="6" borderId="167" xfId="4" applyFont="1" applyFill="1" applyBorder="1" applyAlignment="1">
      <alignment horizontal="left" vertical="center"/>
    </xf>
    <xf numFmtId="3" fontId="29" fillId="8" borderId="167" xfId="4" applyNumberFormat="1" applyFont="1" applyFill="1" applyBorder="1" applyAlignment="1">
      <alignment vertical="top" wrapText="1"/>
    </xf>
    <xf numFmtId="3" fontId="27" fillId="8" borderId="163" xfId="4" applyNumberFormat="1" applyFont="1" applyFill="1" applyBorder="1" applyAlignment="1">
      <alignment vertical="top" wrapText="1"/>
    </xf>
    <xf numFmtId="3" fontId="33" fillId="8" borderId="163" xfId="6" applyNumberFormat="1" applyFont="1" applyFill="1" applyBorder="1" applyAlignment="1">
      <alignment vertical="center"/>
    </xf>
    <xf numFmtId="0" fontId="7" fillId="8" borderId="167" xfId="4" applyFont="1" applyFill="1" applyBorder="1" applyAlignment="1">
      <alignment vertical="top" wrapText="1"/>
    </xf>
    <xf numFmtId="0" fontId="7" fillId="8" borderId="163" xfId="4" applyFont="1" applyFill="1" applyBorder="1" applyAlignment="1">
      <alignment horizontal="left" vertical="center"/>
    </xf>
    <xf numFmtId="0" fontId="17" fillId="8" borderId="6" xfId="4" applyFont="1" applyFill="1" applyBorder="1" applyAlignment="1">
      <alignment vertical="center"/>
    </xf>
    <xf numFmtId="0" fontId="27" fillId="8" borderId="167" xfId="4" applyFont="1" applyFill="1" applyBorder="1" applyAlignment="1">
      <alignment vertical="center"/>
    </xf>
    <xf numFmtId="0" fontId="27" fillId="8" borderId="163" xfId="4" applyFont="1" applyFill="1" applyBorder="1" applyAlignment="1">
      <alignment vertical="center"/>
    </xf>
    <xf numFmtId="0" fontId="18" fillId="8" borderId="166" xfId="4" applyFont="1" applyFill="1" applyBorder="1" applyAlignment="1">
      <alignment horizontal="center" vertical="center"/>
    </xf>
    <xf numFmtId="3" fontId="32" fillId="8" borderId="173" xfId="6" applyNumberFormat="1" applyFont="1" applyFill="1" applyBorder="1" applyAlignment="1">
      <alignment vertical="center"/>
    </xf>
    <xf numFmtId="0" fontId="18" fillId="8" borderId="133" xfId="4" applyFont="1" applyFill="1" applyBorder="1" applyAlignment="1">
      <alignment horizontal="center" vertical="center"/>
    </xf>
    <xf numFmtId="0" fontId="17" fillId="8" borderId="22" xfId="4" applyFont="1" applyFill="1" applyBorder="1" applyAlignment="1">
      <alignment vertical="top"/>
    </xf>
    <xf numFmtId="0" fontId="7" fillId="8" borderId="124" xfId="4" applyFont="1" applyFill="1" applyBorder="1" applyAlignment="1">
      <alignment vertical="center"/>
    </xf>
    <xf numFmtId="3" fontId="32" fillId="8" borderId="124" xfId="6" applyNumberFormat="1" applyFont="1" applyFill="1" applyBorder="1" applyAlignment="1">
      <alignment vertical="center"/>
    </xf>
    <xf numFmtId="3" fontId="18" fillId="8" borderId="126" xfId="4" applyNumberFormat="1" applyFont="1" applyFill="1" applyBorder="1" applyAlignment="1">
      <alignment horizontal="center" vertical="top"/>
    </xf>
    <xf numFmtId="0" fontId="37" fillId="0" borderId="100" xfId="0" applyFont="1" applyBorder="1" applyAlignment="1">
      <alignment wrapText="1"/>
    </xf>
    <xf numFmtId="0" fontId="7" fillId="6" borderId="132" xfId="0" applyFont="1" applyFill="1" applyBorder="1" applyAlignment="1">
      <alignment vertical="top"/>
    </xf>
    <xf numFmtId="43" fontId="25" fillId="6" borderId="132" xfId="1" applyFont="1" applyFill="1" applyBorder="1" applyAlignment="1"/>
    <xf numFmtId="3" fontId="29" fillId="2" borderId="128" xfId="4" applyNumberFormat="1" applyFont="1" applyFill="1" applyBorder="1" applyAlignment="1">
      <alignment vertical="top" wrapText="1"/>
    </xf>
    <xf numFmtId="3" fontId="27" fillId="2" borderId="163" xfId="0" applyNumberFormat="1" applyFont="1" applyFill="1" applyBorder="1" applyAlignment="1"/>
    <xf numFmtId="43" fontId="27" fillId="2" borderId="163" xfId="1" applyFont="1" applyFill="1" applyBorder="1" applyAlignment="1"/>
    <xf numFmtId="43" fontId="27" fillId="2" borderId="132" xfId="1" applyFont="1" applyFill="1" applyBorder="1" applyAlignment="1"/>
    <xf numFmtId="3" fontId="27" fillId="25" borderId="166" xfId="0" applyNumberFormat="1" applyFont="1" applyFill="1" applyBorder="1" applyAlignment="1"/>
    <xf numFmtId="43" fontId="31" fillId="0" borderId="163" xfId="1" applyFont="1" applyFill="1" applyBorder="1" applyAlignment="1">
      <alignment vertical="top"/>
    </xf>
    <xf numFmtId="43" fontId="31" fillId="0" borderId="132" xfId="1" applyFont="1" applyFill="1" applyBorder="1" applyAlignment="1">
      <alignment vertical="top"/>
    </xf>
    <xf numFmtId="0" fontId="7" fillId="0" borderId="128" xfId="0" applyFont="1" applyFill="1" applyBorder="1" applyAlignment="1">
      <alignment vertical="top" wrapText="1"/>
    </xf>
    <xf numFmtId="43" fontId="31" fillId="0" borderId="131" xfId="1" applyFont="1" applyFill="1" applyBorder="1" applyAlignment="1">
      <alignment vertical="top"/>
    </xf>
    <xf numFmtId="43" fontId="31" fillId="0" borderId="165" xfId="1" applyFont="1" applyFill="1" applyBorder="1" applyAlignment="1">
      <alignment vertical="top"/>
    </xf>
    <xf numFmtId="43" fontId="0" fillId="0" borderId="8" xfId="1" applyFont="1" applyBorder="1"/>
    <xf numFmtId="43" fontId="0" fillId="0" borderId="9" xfId="1" applyFont="1" applyBorder="1"/>
    <xf numFmtId="43" fontId="0" fillId="0" borderId="35" xfId="1" applyFont="1" applyBorder="1"/>
    <xf numFmtId="3" fontId="31" fillId="25" borderId="43" xfId="0" applyNumberFormat="1" applyFont="1" applyFill="1" applyBorder="1" applyAlignment="1">
      <alignment horizontal="center" vertical="top"/>
    </xf>
    <xf numFmtId="0" fontId="7" fillId="6" borderId="20" xfId="0" applyFont="1" applyFill="1" applyBorder="1" applyAlignment="1">
      <alignment vertical="top"/>
    </xf>
    <xf numFmtId="43" fontId="25" fillId="22" borderId="46" xfId="1" applyFont="1" applyFill="1" applyBorder="1" applyAlignment="1">
      <alignment horizontal="center" vertical="center"/>
    </xf>
    <xf numFmtId="43" fontId="27" fillId="2" borderId="132" xfId="1" applyFont="1" applyFill="1" applyBorder="1" applyAlignment="1">
      <alignment vertical="center"/>
    </xf>
    <xf numFmtId="43" fontId="31" fillId="0" borderId="140" xfId="1" applyFont="1" applyFill="1" applyBorder="1" applyAlignment="1">
      <alignment vertical="top"/>
    </xf>
    <xf numFmtId="3" fontId="7" fillId="8" borderId="17" xfId="0" applyNumberFormat="1" applyFont="1" applyFill="1" applyBorder="1" applyAlignment="1">
      <alignment vertical="top"/>
    </xf>
    <xf numFmtId="3" fontId="24" fillId="22" borderId="68" xfId="0" applyNumberFormat="1" applyFont="1" applyFill="1" applyBorder="1" applyAlignment="1">
      <alignment vertical="top"/>
    </xf>
    <xf numFmtId="3" fontId="24" fillId="22" borderId="164" xfId="0" applyNumberFormat="1" applyFont="1" applyFill="1" applyBorder="1" applyAlignment="1">
      <alignment vertical="top"/>
    </xf>
    <xf numFmtId="3" fontId="29" fillId="26" borderId="164" xfId="0" applyNumberFormat="1" applyFont="1" applyFill="1" applyBorder="1" applyAlignment="1">
      <alignment vertical="center"/>
    </xf>
    <xf numFmtId="3" fontId="27" fillId="26" borderId="164" xfId="0" applyNumberFormat="1" applyFont="1" applyFill="1" applyBorder="1" applyAlignment="1">
      <alignment vertical="center"/>
    </xf>
    <xf numFmtId="0" fontId="0" fillId="0" borderId="75" xfId="0" applyFont="1" applyBorder="1"/>
    <xf numFmtId="3" fontId="28" fillId="2" borderId="124" xfId="0" applyNumberFormat="1" applyFont="1" applyFill="1" applyBorder="1" applyAlignment="1">
      <alignment vertical="top"/>
    </xf>
    <xf numFmtId="3" fontId="31" fillId="0" borderId="140" xfId="0" applyNumberFormat="1" applyFont="1" applyFill="1" applyBorder="1" applyAlignment="1">
      <alignment vertical="center"/>
    </xf>
    <xf numFmtId="43" fontId="0" fillId="0" borderId="124" xfId="1" applyFont="1" applyBorder="1"/>
    <xf numFmtId="0" fontId="31" fillId="0" borderId="130" xfId="4" applyFont="1" applyFill="1" applyBorder="1" applyAlignment="1">
      <alignment vertical="center"/>
    </xf>
    <xf numFmtId="3" fontId="60" fillId="0" borderId="130" xfId="0" applyNumberFormat="1" applyFont="1" applyBorder="1"/>
    <xf numFmtId="3" fontId="0" fillId="0" borderId="124" xfId="0" applyNumberFormat="1" applyFont="1" applyBorder="1"/>
    <xf numFmtId="0" fontId="4" fillId="0" borderId="0" xfId="0" applyFont="1" applyAlignment="1">
      <alignment vertical="center"/>
    </xf>
    <xf numFmtId="0" fontId="7" fillId="0" borderId="127" xfId="4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3" fontId="31" fillId="0" borderId="0" xfId="0" applyNumberFormat="1" applyFont="1" applyFill="1" applyBorder="1" applyAlignment="1">
      <alignment vertical="center"/>
    </xf>
    <xf numFmtId="0" fontId="27" fillId="50" borderId="11" xfId="0" applyFont="1" applyFill="1" applyBorder="1" applyAlignment="1">
      <alignment horizontal="left" vertical="center"/>
    </xf>
    <xf numFmtId="0" fontId="29" fillId="8" borderId="21" xfId="4" applyFont="1" applyFill="1" applyBorder="1" applyAlignment="1">
      <alignment vertical="center"/>
    </xf>
    <xf numFmtId="0" fontId="7" fillId="8" borderId="21" xfId="4" applyFont="1" applyFill="1" applyBorder="1" applyAlignment="1">
      <alignment vertical="center"/>
    </xf>
    <xf numFmtId="0" fontId="7" fillId="8" borderId="75" xfId="4" applyFont="1" applyFill="1" applyBorder="1" applyAlignment="1">
      <alignment vertical="center" wrapText="1"/>
    </xf>
    <xf numFmtId="0" fontId="7" fillId="8" borderId="37" xfId="4" applyFont="1" applyFill="1" applyBorder="1" applyAlignment="1">
      <alignment vertical="center"/>
    </xf>
    <xf numFmtId="3" fontId="7" fillId="8" borderId="199" xfId="4" applyNumberFormat="1" applyFont="1" applyFill="1" applyBorder="1" applyAlignment="1">
      <alignment vertical="center"/>
    </xf>
    <xf numFmtId="3" fontId="0" fillId="0" borderId="0" xfId="0" applyNumberFormat="1" applyFont="1" applyFill="1" applyBorder="1" applyAlignment="1">
      <alignment vertical="top"/>
    </xf>
    <xf numFmtId="0" fontId="79" fillId="0" borderId="0" xfId="0" applyFont="1" applyFill="1" applyBorder="1" applyAlignment="1">
      <alignment vertical="center"/>
    </xf>
    <xf numFmtId="3" fontId="23" fillId="0" borderId="190" xfId="0" applyNumberFormat="1" applyFont="1" applyBorder="1" applyAlignment="1">
      <alignment horizontal="center" vertical="center" wrapText="1"/>
    </xf>
    <xf numFmtId="3" fontId="31" fillId="51" borderId="189" xfId="0" applyNumberFormat="1" applyFont="1" applyFill="1" applyBorder="1" applyAlignment="1">
      <alignment vertical="top"/>
    </xf>
    <xf numFmtId="3" fontId="31" fillId="51" borderId="188" xfId="0" applyNumberFormat="1" applyFont="1" applyFill="1" applyBorder="1" applyAlignment="1">
      <alignment vertical="top"/>
    </xf>
    <xf numFmtId="0" fontId="31" fillId="6" borderId="185" xfId="0" applyFont="1" applyFill="1" applyBorder="1" applyAlignment="1">
      <alignment vertical="center"/>
    </xf>
    <xf numFmtId="3" fontId="25" fillId="6" borderId="185" xfId="0" applyNumberFormat="1" applyFont="1" applyFill="1" applyBorder="1" applyAlignment="1">
      <alignment vertical="center"/>
    </xf>
    <xf numFmtId="3" fontId="31" fillId="0" borderId="23" xfId="4" applyNumberFormat="1" applyFont="1" applyFill="1" applyBorder="1" applyAlignment="1">
      <alignment vertical="center"/>
    </xf>
    <xf numFmtId="3" fontId="31" fillId="28" borderId="39" xfId="0" applyNumberFormat="1" applyFont="1" applyFill="1" applyBorder="1" applyAlignment="1">
      <alignment vertical="center"/>
    </xf>
    <xf numFmtId="3" fontId="32" fillId="8" borderId="50" xfId="6" applyNumberFormat="1" applyFont="1" applyFill="1" applyBorder="1" applyAlignment="1">
      <alignment vertical="center"/>
    </xf>
    <xf numFmtId="3" fontId="31" fillId="23" borderId="39" xfId="4" applyNumberFormat="1" applyFont="1" applyFill="1" applyBorder="1" applyAlignment="1">
      <alignment vertical="center"/>
    </xf>
    <xf numFmtId="0" fontId="25" fillId="6" borderId="85" xfId="4" applyFont="1" applyFill="1" applyBorder="1" applyAlignment="1">
      <alignment horizontal="left" vertical="center"/>
    </xf>
    <xf numFmtId="0" fontId="25" fillId="6" borderId="38" xfId="4" applyFont="1" applyFill="1" applyBorder="1" applyAlignment="1">
      <alignment horizontal="left" vertical="center"/>
    </xf>
    <xf numFmtId="3" fontId="24" fillId="6" borderId="39" xfId="4" applyNumberFormat="1" applyFont="1" applyFill="1" applyBorder="1" applyAlignment="1">
      <alignment vertical="center"/>
    </xf>
    <xf numFmtId="3" fontId="29" fillId="8" borderId="85" xfId="4" applyNumberFormat="1" applyFont="1" applyFill="1" applyBorder="1" applyAlignment="1">
      <alignment vertical="center" wrapText="1"/>
    </xf>
    <xf numFmtId="3" fontId="32" fillId="8" borderId="38" xfId="6" applyNumberFormat="1" applyFont="1" applyFill="1" applyBorder="1" applyAlignment="1">
      <alignment vertical="center"/>
    </xf>
    <xf numFmtId="3" fontId="33" fillId="8" borderId="50" xfId="6" applyNumberFormat="1" applyFont="1" applyFill="1" applyBorder="1" applyAlignment="1">
      <alignment vertical="center"/>
    </xf>
    <xf numFmtId="3" fontId="7" fillId="8" borderId="85" xfId="4" applyNumberFormat="1" applyFont="1" applyFill="1" applyBorder="1" applyAlignment="1">
      <alignment vertical="center" wrapText="1"/>
    </xf>
    <xf numFmtId="0" fontId="17" fillId="28" borderId="25" xfId="0" applyFont="1" applyFill="1" applyBorder="1" applyAlignment="1">
      <alignment vertical="center"/>
    </xf>
    <xf numFmtId="0" fontId="17" fillId="8" borderId="52" xfId="4" applyFont="1" applyFill="1" applyBorder="1" applyAlignment="1">
      <alignment horizontal="center" vertical="center"/>
    </xf>
    <xf numFmtId="43" fontId="7" fillId="0" borderId="206" xfId="1" applyFont="1" applyFill="1" applyBorder="1" applyAlignment="1">
      <alignment horizontal="right" vertical="center"/>
    </xf>
    <xf numFmtId="0" fontId="7" fillId="8" borderId="208" xfId="4" applyFont="1" applyFill="1" applyBorder="1" applyAlignment="1">
      <alignment vertical="center"/>
    </xf>
    <xf numFmtId="3" fontId="32" fillId="8" borderId="179" xfId="6" applyNumberFormat="1" applyFont="1" applyFill="1" applyBorder="1" applyAlignment="1">
      <alignment vertical="center"/>
    </xf>
    <xf numFmtId="3" fontId="31" fillId="23" borderId="179" xfId="4" applyNumberFormat="1" applyFont="1" applyFill="1" applyBorder="1" applyAlignment="1">
      <alignment vertical="center"/>
    </xf>
    <xf numFmtId="3" fontId="31" fillId="28" borderId="199" xfId="0" applyNumberFormat="1" applyFont="1" applyFill="1" applyBorder="1" applyAlignment="1">
      <alignment vertical="center"/>
    </xf>
    <xf numFmtId="0" fontId="31" fillId="8" borderId="21" xfId="4" applyFont="1" applyFill="1" applyBorder="1" applyAlignment="1">
      <alignment vertical="center"/>
    </xf>
    <xf numFmtId="3" fontId="31" fillId="28" borderId="35" xfId="0" applyNumberFormat="1" applyFont="1" applyFill="1" applyBorder="1" applyAlignment="1">
      <alignment vertical="center"/>
    </xf>
    <xf numFmtId="3" fontId="32" fillId="8" borderId="9" xfId="6" applyNumberFormat="1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center"/>
    </xf>
    <xf numFmtId="3" fontId="27" fillId="25" borderId="9" xfId="4" applyNumberFormat="1" applyFont="1" applyFill="1" applyBorder="1" applyAlignment="1">
      <alignment horizontal="right" vertical="center"/>
    </xf>
    <xf numFmtId="0" fontId="25" fillId="6" borderId="52" xfId="4" applyFont="1" applyFill="1" applyBorder="1" applyAlignment="1">
      <alignment horizontal="left" vertical="center"/>
    </xf>
    <xf numFmtId="0" fontId="25" fillId="6" borderId="50" xfId="4" applyFont="1" applyFill="1" applyBorder="1" applyAlignment="1">
      <alignment horizontal="left" vertical="center"/>
    </xf>
    <xf numFmtId="3" fontId="24" fillId="29" borderId="39" xfId="0" applyNumberFormat="1" applyFont="1" applyFill="1" applyBorder="1" applyAlignment="1">
      <alignment vertical="center"/>
    </xf>
    <xf numFmtId="3" fontId="25" fillId="22" borderId="39" xfId="0" applyNumberFormat="1" applyFont="1" applyFill="1" applyBorder="1" applyAlignment="1">
      <alignment vertical="center"/>
    </xf>
    <xf numFmtId="0" fontId="18" fillId="0" borderId="24" xfId="112" applyFont="1" applyBorder="1" applyAlignment="1">
      <alignment horizontal="center" vertical="center" wrapText="1"/>
    </xf>
    <xf numFmtId="0" fontId="18" fillId="0" borderId="51" xfId="112" applyFont="1" applyBorder="1" applyAlignment="1">
      <alignment horizontal="center" vertical="center" wrapText="1"/>
    </xf>
    <xf numFmtId="0" fontId="18" fillId="0" borderId="3" xfId="112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top" wrapText="1"/>
    </xf>
    <xf numFmtId="0" fontId="21" fillId="0" borderId="3" xfId="0" applyFont="1" applyBorder="1" applyAlignment="1">
      <alignment horizontal="center" vertical="top" wrapText="1"/>
    </xf>
    <xf numFmtId="0" fontId="21" fillId="0" borderId="24" xfId="0" applyFont="1" applyBorder="1" applyAlignment="1">
      <alignment horizontal="center" vertical="top"/>
    </xf>
    <xf numFmtId="0" fontId="21" fillId="0" borderId="51" xfId="0" applyFont="1" applyBorder="1" applyAlignment="1">
      <alignment horizontal="center" vertical="top"/>
    </xf>
    <xf numFmtId="0" fontId="21" fillId="0" borderId="3" xfId="0" applyFont="1" applyBorder="1" applyAlignment="1">
      <alignment horizontal="center" vertical="top"/>
    </xf>
    <xf numFmtId="0" fontId="26" fillId="0" borderId="40" xfId="0" applyFont="1" applyBorder="1" applyAlignment="1"/>
    <xf numFmtId="0" fontId="26" fillId="0" borderId="42" xfId="0" applyFont="1" applyBorder="1" applyAlignment="1"/>
    <xf numFmtId="2" fontId="18" fillId="0" borderId="51" xfId="0" applyNumberFormat="1" applyFont="1" applyBorder="1" applyAlignment="1">
      <alignment horizontal="center" vertical="top" wrapText="1"/>
    </xf>
    <xf numFmtId="2" fontId="18" fillId="0" borderId="3" xfId="0" applyNumberFormat="1" applyFont="1" applyBorder="1" applyAlignment="1">
      <alignment horizontal="center" vertical="top" wrapText="1"/>
    </xf>
    <xf numFmtId="0" fontId="0" fillId="0" borderId="51" xfId="0" applyFont="1" applyBorder="1" applyAlignment="1">
      <alignment horizontal="center" vertical="top" wrapText="1"/>
    </xf>
    <xf numFmtId="0" fontId="8" fillId="0" borderId="51" xfId="0" applyFont="1" applyBorder="1"/>
    <xf numFmtId="0" fontId="18" fillId="0" borderId="24" xfId="112" applyFont="1" applyBorder="1" applyAlignment="1">
      <alignment vertical="center"/>
    </xf>
    <xf numFmtId="0" fontId="18" fillId="0" borderId="51" xfId="112" applyFont="1" applyBorder="1" applyAlignment="1">
      <alignment vertical="center"/>
    </xf>
    <xf numFmtId="0" fontId="18" fillId="0" borderId="3" xfId="112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0" fontId="18" fillId="0" borderId="51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21" fillId="0" borderId="51" xfId="0" applyFont="1" applyBorder="1" applyAlignment="1">
      <alignment vertical="top"/>
    </xf>
    <xf numFmtId="0" fontId="0" fillId="0" borderId="51" xfId="0" applyFont="1" applyBorder="1" applyAlignment="1">
      <alignment vertical="top"/>
    </xf>
    <xf numFmtId="2" fontId="18" fillId="0" borderId="51" xfId="0" applyNumberFormat="1" applyFont="1" applyBorder="1" applyAlignment="1">
      <alignment vertical="top"/>
    </xf>
    <xf numFmtId="2" fontId="18" fillId="0" borderId="3" xfId="0" applyNumberFormat="1" applyFont="1" applyBorder="1" applyAlignment="1">
      <alignment vertical="top"/>
    </xf>
    <xf numFmtId="0" fontId="0" fillId="0" borderId="199" xfId="0" applyFont="1" applyBorder="1"/>
    <xf numFmtId="0" fontId="0" fillId="0" borderId="39" xfId="0" applyFont="1" applyBorder="1"/>
    <xf numFmtId="0" fontId="0" fillId="0" borderId="68" xfId="0" applyFont="1" applyBorder="1"/>
    <xf numFmtId="0" fontId="18" fillId="0" borderId="24" xfId="0" applyFont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17" fillId="0" borderId="24" xfId="112" applyFont="1" applyBorder="1" applyAlignment="1">
      <alignment vertical="center"/>
    </xf>
    <xf numFmtId="0" fontId="17" fillId="0" borderId="51" xfId="112" applyFont="1" applyBorder="1" applyAlignment="1">
      <alignment vertical="center"/>
    </xf>
    <xf numFmtId="0" fontId="17" fillId="0" borderId="3" xfId="112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7" fillId="0" borderId="51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25" fillId="0" borderId="51" xfId="0" applyFont="1" applyBorder="1" applyAlignment="1">
      <alignment vertical="top"/>
    </xf>
    <xf numFmtId="0" fontId="25" fillId="0" borderId="3" xfId="0" applyFont="1" applyBorder="1" applyAlignment="1">
      <alignment vertical="top"/>
    </xf>
    <xf numFmtId="0" fontId="20" fillId="0" borderId="24" xfId="0" applyFont="1" applyBorder="1" applyAlignment="1">
      <alignment vertical="top"/>
    </xf>
    <xf numFmtId="0" fontId="20" fillId="0" borderId="51" xfId="0" applyFont="1" applyBorder="1" applyAlignment="1">
      <alignment vertical="top"/>
    </xf>
    <xf numFmtId="0" fontId="20" fillId="0" borderId="3" xfId="0" applyFont="1" applyBorder="1" applyAlignment="1">
      <alignment vertical="top"/>
    </xf>
    <xf numFmtId="0" fontId="19" fillId="0" borderId="51" xfId="0" applyFont="1" applyBorder="1" applyAlignment="1">
      <alignment vertical="top"/>
    </xf>
    <xf numFmtId="0" fontId="19" fillId="0" borderId="3" xfId="0" applyFont="1" applyBorder="1" applyAlignment="1">
      <alignment vertical="top"/>
    </xf>
    <xf numFmtId="2" fontId="17" fillId="0" borderId="51" xfId="0" applyNumberFormat="1" applyFont="1" applyBorder="1" applyAlignment="1">
      <alignment vertical="top"/>
    </xf>
    <xf numFmtId="2" fontId="17" fillId="0" borderId="3" xfId="0" applyNumberFormat="1" applyFont="1" applyBorder="1" applyAlignment="1">
      <alignment vertical="top"/>
    </xf>
    <xf numFmtId="0" fontId="0" fillId="0" borderId="206" xfId="0" applyFont="1" applyBorder="1"/>
    <xf numFmtId="0" fontId="0" fillId="0" borderId="50" xfId="0" applyFont="1" applyBorder="1"/>
    <xf numFmtId="0" fontId="0" fillId="0" borderId="17" xfId="0" applyFont="1" applyBorder="1"/>
    <xf numFmtId="3" fontId="7" fillId="8" borderId="142" xfId="4" applyNumberFormat="1" applyFont="1" applyFill="1" applyBorder="1" applyAlignment="1">
      <alignment vertical="center" wrapText="1"/>
    </xf>
    <xf numFmtId="3" fontId="32" fillId="8" borderId="206" xfId="6" applyNumberFormat="1" applyFont="1" applyFill="1" applyBorder="1" applyAlignment="1">
      <alignment vertical="center"/>
    </xf>
    <xf numFmtId="0" fontId="21" fillId="0" borderId="78" xfId="0" applyFont="1" applyBorder="1" applyAlignment="1">
      <alignment horizontal="center" vertical="top" wrapText="1"/>
    </xf>
    <xf numFmtId="0" fontId="17" fillId="0" borderId="85" xfId="0" applyFont="1" applyFill="1" applyBorder="1" applyAlignment="1">
      <alignment horizontal="center" vertical="center"/>
    </xf>
    <xf numFmtId="0" fontId="7" fillId="8" borderId="38" xfId="0" applyFont="1" applyFill="1" applyBorder="1" applyAlignment="1">
      <alignment vertical="center" wrapText="1"/>
    </xf>
    <xf numFmtId="0" fontId="8" fillId="17" borderId="51" xfId="0" applyFont="1" applyFill="1" applyBorder="1" applyAlignment="1">
      <alignment horizontal="right"/>
    </xf>
    <xf numFmtId="0" fontId="36" fillId="0" borderId="50" xfId="0" applyFont="1" applyBorder="1" applyAlignment="1">
      <alignment horizontal="center" vertical="center"/>
    </xf>
    <xf numFmtId="0" fontId="36" fillId="18" borderId="51" xfId="0" applyFont="1" applyFill="1" applyBorder="1" applyAlignment="1">
      <alignment horizontal="center" vertical="center"/>
    </xf>
    <xf numFmtId="0" fontId="7" fillId="11" borderId="38" xfId="0" applyFont="1" applyFill="1" applyBorder="1" applyAlignment="1">
      <alignment vertical="center" wrapText="1"/>
    </xf>
    <xf numFmtId="0" fontId="76" fillId="0" borderId="51" xfId="0" applyFont="1" applyBorder="1" applyAlignment="1">
      <alignment horizontal="right"/>
    </xf>
    <xf numFmtId="0" fontId="7" fillId="11" borderId="16" xfId="0" applyFont="1" applyFill="1" applyBorder="1" applyAlignment="1">
      <alignment vertical="center" wrapText="1"/>
    </xf>
    <xf numFmtId="3" fontId="27" fillId="2" borderId="45" xfId="4" applyNumberFormat="1" applyFont="1" applyFill="1" applyBorder="1" applyAlignment="1">
      <alignment vertical="center" wrapText="1"/>
    </xf>
    <xf numFmtId="0" fontId="25" fillId="6" borderId="25" xfId="4" applyFont="1" applyFill="1" applyBorder="1" applyAlignment="1">
      <alignment horizontal="left" vertical="center"/>
    </xf>
    <xf numFmtId="3" fontId="27" fillId="2" borderId="19" xfId="4" applyNumberFormat="1" applyFont="1" applyFill="1" applyBorder="1" applyAlignment="1">
      <alignment vertical="center" wrapText="1"/>
    </xf>
    <xf numFmtId="3" fontId="6" fillId="11" borderId="199" xfId="0" applyNumberFormat="1" applyFont="1" applyFill="1" applyBorder="1"/>
    <xf numFmtId="3" fontId="6" fillId="11" borderId="51" xfId="0" applyNumberFormat="1" applyFont="1" applyFill="1" applyBorder="1"/>
    <xf numFmtId="43" fontId="31" fillId="0" borderId="206" xfId="1" applyFont="1" applyFill="1" applyBorder="1" applyAlignment="1">
      <alignment vertical="center"/>
    </xf>
    <xf numFmtId="3" fontId="6" fillId="11" borderId="206" xfId="0" applyNumberFormat="1" applyFont="1" applyFill="1" applyBorder="1"/>
    <xf numFmtId="3" fontId="8" fillId="11" borderId="199" xfId="0" applyNumberFormat="1" applyFont="1" applyFill="1" applyBorder="1"/>
    <xf numFmtId="43" fontId="8" fillId="11" borderId="24" xfId="1" applyFont="1" applyFill="1" applyBorder="1"/>
    <xf numFmtId="43" fontId="8" fillId="11" borderId="3" xfId="1" applyFont="1" applyFill="1" applyBorder="1"/>
    <xf numFmtId="3" fontId="24" fillId="23" borderId="76" xfId="4" applyNumberFormat="1" applyFont="1" applyFill="1" applyBorder="1" applyAlignment="1">
      <alignment horizontal="right" vertical="center"/>
    </xf>
    <xf numFmtId="0" fontId="7" fillId="8" borderId="52" xfId="4" applyFont="1" applyFill="1" applyBorder="1" applyAlignment="1">
      <alignment vertical="top"/>
    </xf>
    <xf numFmtId="0" fontId="24" fillId="8" borderId="52" xfId="4" applyFont="1" applyFill="1" applyBorder="1" applyAlignment="1">
      <alignment horizontal="right" vertical="top"/>
    </xf>
    <xf numFmtId="0" fontId="7" fillId="8" borderId="85" xfId="4" applyFont="1" applyFill="1" applyBorder="1" applyAlignment="1">
      <alignment vertical="top"/>
    </xf>
    <xf numFmtId="0" fontId="7" fillId="8" borderId="85" xfId="4" applyFont="1" applyFill="1" applyBorder="1" applyAlignment="1">
      <alignment vertical="center"/>
    </xf>
    <xf numFmtId="0" fontId="7" fillId="8" borderId="1" xfId="4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top"/>
    </xf>
    <xf numFmtId="2" fontId="17" fillId="8" borderId="52" xfId="0" applyNumberFormat="1" applyFont="1" applyFill="1" applyBorder="1" applyAlignment="1">
      <alignment vertical="center"/>
    </xf>
    <xf numFmtId="2" fontId="35" fillId="8" borderId="5" xfId="0" applyNumberFormat="1" applyFont="1" applyFill="1" applyBorder="1" applyAlignment="1">
      <alignment vertical="top"/>
    </xf>
    <xf numFmtId="0" fontId="57" fillId="0" borderId="51" xfId="0" applyFont="1" applyFill="1" applyBorder="1" applyAlignment="1">
      <alignment vertical="top"/>
    </xf>
    <xf numFmtId="0" fontId="19" fillId="0" borderId="3" xfId="0" applyFont="1" applyBorder="1" applyAlignment="1">
      <alignment horizontal="center" vertical="top"/>
    </xf>
    <xf numFmtId="0" fontId="60" fillId="13" borderId="22" xfId="0" applyFont="1" applyFill="1" applyBorder="1" applyAlignment="1">
      <alignment vertical="center"/>
    </xf>
    <xf numFmtId="0" fontId="74" fillId="13" borderId="51" xfId="4" applyFont="1" applyFill="1" applyBorder="1" applyAlignment="1">
      <alignment horizontal="center" vertical="center"/>
    </xf>
    <xf numFmtId="0" fontId="66" fillId="13" borderId="51" xfId="4" applyFont="1" applyFill="1" applyBorder="1" applyAlignment="1">
      <alignment horizontal="left" vertical="center"/>
    </xf>
    <xf numFmtId="0" fontId="66" fillId="0" borderId="51" xfId="4" applyFont="1" applyFill="1" applyBorder="1" applyAlignment="1">
      <alignment horizontal="left" vertical="center"/>
    </xf>
    <xf numFmtId="0" fontId="66" fillId="0" borderId="38" xfId="4" applyFont="1" applyFill="1" applyBorder="1" applyAlignment="1">
      <alignment horizontal="left" vertical="center"/>
    </xf>
    <xf numFmtId="0" fontId="7" fillId="0" borderId="51" xfId="0" applyFont="1" applyFill="1" applyBorder="1" applyAlignment="1">
      <alignment vertical="center" wrapText="1"/>
    </xf>
    <xf numFmtId="0" fontId="8" fillId="0" borderId="5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3" fontId="62" fillId="0" borderId="24" xfId="0" applyNumberFormat="1" applyFont="1" applyFill="1" applyBorder="1" applyAlignment="1">
      <alignment vertical="center" wrapText="1"/>
    </xf>
    <xf numFmtId="3" fontId="62" fillId="0" borderId="39" xfId="0" applyNumberFormat="1" applyFont="1" applyFill="1" applyBorder="1" applyAlignment="1">
      <alignment vertical="center" wrapText="1"/>
    </xf>
    <xf numFmtId="2" fontId="27" fillId="50" borderId="38" xfId="4" applyNumberFormat="1" applyFont="1" applyFill="1" applyBorder="1" applyAlignment="1">
      <alignment horizontal="left" vertical="center"/>
    </xf>
    <xf numFmtId="3" fontId="72" fillId="2" borderId="24" xfId="0" applyNumberFormat="1" applyFont="1" applyFill="1" applyBorder="1" applyAlignment="1">
      <alignment vertical="center"/>
    </xf>
    <xf numFmtId="3" fontId="27" fillId="25" borderId="7" xfId="0" applyNumberFormat="1" applyFont="1" applyFill="1" applyBorder="1" applyAlignment="1">
      <alignment horizontal="center" vertical="top"/>
    </xf>
    <xf numFmtId="3" fontId="31" fillId="25" borderId="7" xfId="0" applyNumberFormat="1" applyFont="1" applyFill="1" applyBorder="1" applyAlignment="1">
      <alignment horizontal="center" vertical="center"/>
    </xf>
    <xf numFmtId="3" fontId="25" fillId="22" borderId="69" xfId="0" applyNumberFormat="1" applyFont="1" applyFill="1" applyBorder="1" applyAlignment="1">
      <alignment vertical="center"/>
    </xf>
    <xf numFmtId="3" fontId="31" fillId="25" borderId="31" xfId="4" applyNumberFormat="1" applyFont="1" applyFill="1" applyBorder="1" applyAlignment="1">
      <alignment horizontal="right" vertical="center"/>
    </xf>
    <xf numFmtId="3" fontId="7" fillId="23" borderId="77" xfId="0" applyNumberFormat="1" applyFont="1" applyFill="1" applyBorder="1" applyAlignment="1">
      <alignment vertical="center"/>
    </xf>
    <xf numFmtId="3" fontId="27" fillId="21" borderId="7" xfId="4" applyNumberFormat="1" applyFont="1" applyFill="1" applyBorder="1" applyAlignment="1">
      <alignment horizontal="right" vertical="center"/>
    </xf>
    <xf numFmtId="3" fontId="27" fillId="21" borderId="69" xfId="4" applyNumberFormat="1" applyFont="1" applyFill="1" applyBorder="1" applyAlignment="1">
      <alignment horizontal="right" vertical="center"/>
    </xf>
    <xf numFmtId="3" fontId="27" fillId="23" borderId="69" xfId="4" applyNumberFormat="1" applyFont="1" applyFill="1" applyBorder="1" applyAlignment="1">
      <alignment vertical="top"/>
    </xf>
    <xf numFmtId="3" fontId="7" fillId="25" borderId="69" xfId="4" applyNumberFormat="1" applyFont="1" applyFill="1" applyBorder="1" applyAlignment="1">
      <alignment vertical="top"/>
    </xf>
    <xf numFmtId="3" fontId="28" fillId="55" borderId="7" xfId="0" applyNumberFormat="1" applyFont="1" applyFill="1" applyBorder="1" applyAlignment="1">
      <alignment vertical="center"/>
    </xf>
    <xf numFmtId="2" fontId="25" fillId="23" borderId="31" xfId="0" applyNumberFormat="1" applyFont="1" applyFill="1" applyBorder="1" applyAlignment="1">
      <alignment vertical="center"/>
    </xf>
    <xf numFmtId="2" fontId="25" fillId="23" borderId="31" xfId="0" applyNumberFormat="1" applyFont="1" applyFill="1" applyBorder="1" applyAlignment="1">
      <alignment horizontal="center" vertical="center"/>
    </xf>
    <xf numFmtId="2" fontId="25" fillId="23" borderId="69" xfId="0" applyNumberFormat="1" applyFont="1" applyFill="1" applyBorder="1" applyAlignment="1">
      <alignment horizontal="center" vertical="center"/>
    </xf>
    <xf numFmtId="2" fontId="25" fillId="22" borderId="7" xfId="0" applyNumberFormat="1" applyFont="1" applyFill="1" applyBorder="1" applyAlignment="1">
      <alignment vertical="top"/>
    </xf>
    <xf numFmtId="3" fontId="37" fillId="0" borderId="69" xfId="0" applyNumberFormat="1" applyFont="1" applyBorder="1" applyAlignment="1">
      <alignment vertical="top"/>
    </xf>
    <xf numFmtId="3" fontId="28" fillId="23" borderId="69" xfId="4" applyNumberFormat="1" applyFont="1" applyFill="1" applyBorder="1" applyAlignment="1">
      <alignment horizontal="right" vertical="center"/>
    </xf>
    <xf numFmtId="3" fontId="24" fillId="22" borderId="7" xfId="4" applyNumberFormat="1" applyFont="1" applyFill="1" applyBorder="1" applyAlignment="1">
      <alignment horizontal="right" vertical="center"/>
    </xf>
    <xf numFmtId="3" fontId="27" fillId="25" borderId="69" xfId="4" applyNumberFormat="1" applyFont="1" applyFill="1" applyBorder="1" applyAlignment="1">
      <alignment horizontal="right" vertical="center"/>
    </xf>
    <xf numFmtId="43" fontId="28" fillId="23" borderId="69" xfId="1" applyFont="1" applyFill="1" applyBorder="1" applyAlignment="1">
      <alignment horizontal="right" vertical="center"/>
    </xf>
    <xf numFmtId="3" fontId="24" fillId="22" borderId="69" xfId="4" applyNumberFormat="1" applyFont="1" applyFill="1" applyBorder="1" applyAlignment="1">
      <alignment horizontal="right" vertical="center"/>
    </xf>
    <xf numFmtId="0" fontId="18" fillId="0" borderId="85" xfId="112" applyFont="1" applyBorder="1" applyAlignment="1">
      <alignment horizontal="center" vertical="center" wrapText="1"/>
    </xf>
    <xf numFmtId="0" fontId="18" fillId="0" borderId="1" xfId="112" applyFont="1" applyBorder="1" applyAlignment="1">
      <alignment horizontal="center" vertical="center" wrapText="1"/>
    </xf>
    <xf numFmtId="3" fontId="18" fillId="8" borderId="52" xfId="4" applyNumberFormat="1" applyFont="1" applyFill="1" applyBorder="1" applyAlignment="1">
      <alignment vertical="top" wrapText="1"/>
    </xf>
    <xf numFmtId="3" fontId="18" fillId="8" borderId="52" xfId="4" applyNumberFormat="1" applyFont="1" applyFill="1" applyBorder="1" applyAlignment="1">
      <alignment vertical="center" wrapText="1"/>
    </xf>
    <xf numFmtId="3" fontId="18" fillId="8" borderId="5" xfId="4" applyNumberFormat="1" applyFont="1" applyFill="1" applyBorder="1" applyAlignment="1">
      <alignment vertical="top" wrapText="1"/>
    </xf>
    <xf numFmtId="2" fontId="20" fillId="8" borderId="52" xfId="0" applyNumberFormat="1" applyFont="1" applyFill="1" applyBorder="1" applyAlignment="1">
      <alignment horizontal="center" vertical="center" wrapText="1"/>
    </xf>
    <xf numFmtId="2" fontId="35" fillId="8" borderId="5" xfId="0" applyNumberFormat="1" applyFont="1" applyFill="1" applyBorder="1" applyAlignment="1">
      <alignment horizontal="center" vertical="center" wrapText="1"/>
    </xf>
    <xf numFmtId="3" fontId="37" fillId="0" borderId="38" xfId="0" applyNumberFormat="1" applyFont="1" applyBorder="1" applyAlignment="1">
      <alignment vertical="top"/>
    </xf>
    <xf numFmtId="0" fontId="23" fillId="0" borderId="52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horizontal="center" vertical="center" wrapText="1"/>
    </xf>
    <xf numFmtId="0" fontId="39" fillId="0" borderId="52" xfId="0" applyFont="1" applyBorder="1" applyAlignment="1">
      <alignment horizontal="center" vertical="center" wrapText="1"/>
    </xf>
    <xf numFmtId="0" fontId="20" fillId="0" borderId="52" xfId="4" applyFont="1" applyFill="1" applyBorder="1" applyAlignment="1">
      <alignment horizontal="center" vertical="center" wrapText="1"/>
    </xf>
    <xf numFmtId="0" fontId="72" fillId="2" borderId="66" xfId="0" applyFont="1" applyFill="1" applyBorder="1" applyAlignment="1">
      <alignment vertical="center"/>
    </xf>
    <xf numFmtId="0" fontId="72" fillId="2" borderId="85" xfId="0" applyFont="1" applyFill="1" applyBorder="1" applyAlignment="1">
      <alignment vertical="center"/>
    </xf>
    <xf numFmtId="0" fontId="8" fillId="0" borderId="85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18" fillId="0" borderId="66" xfId="112" applyFont="1" applyBorder="1" applyAlignment="1">
      <alignment horizontal="center" vertical="center" wrapText="1"/>
    </xf>
    <xf numFmtId="3" fontId="24" fillId="6" borderId="23" xfId="4" applyNumberFormat="1" applyFont="1" applyFill="1" applyBorder="1" applyAlignment="1">
      <alignment vertical="center"/>
    </xf>
    <xf numFmtId="2" fontId="17" fillId="8" borderId="25" xfId="0" applyNumberFormat="1" applyFont="1" applyFill="1" applyBorder="1" applyAlignment="1">
      <alignment vertical="top"/>
    </xf>
    <xf numFmtId="2" fontId="27" fillId="21" borderId="72" xfId="4" applyNumberFormat="1" applyFont="1" applyFill="1" applyBorder="1" applyAlignment="1">
      <alignment horizontal="right" vertical="center"/>
    </xf>
    <xf numFmtId="0" fontId="39" fillId="0" borderId="22" xfId="0" applyFont="1" applyFill="1" applyBorder="1" applyAlignment="1">
      <alignment vertical="center"/>
    </xf>
    <xf numFmtId="0" fontId="74" fillId="2" borderId="66" xfId="0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35" xfId="0" applyFont="1" applyBorder="1"/>
    <xf numFmtId="3" fontId="25" fillId="22" borderId="7" xfId="0" applyNumberFormat="1" applyFont="1" applyFill="1" applyBorder="1" applyAlignment="1">
      <alignment vertical="center"/>
    </xf>
    <xf numFmtId="0" fontId="23" fillId="0" borderId="25" xfId="0" applyFont="1" applyFill="1" applyBorder="1" applyAlignment="1">
      <alignment vertical="center" wrapText="1"/>
    </xf>
    <xf numFmtId="0" fontId="39" fillId="0" borderId="14" xfId="0" applyFont="1" applyFill="1" applyBorder="1" applyAlignment="1">
      <alignment vertical="center"/>
    </xf>
    <xf numFmtId="0" fontId="18" fillId="0" borderId="26" xfId="112" applyFont="1" applyBorder="1" applyAlignment="1">
      <alignment horizontal="center" vertical="center" wrapText="1"/>
    </xf>
    <xf numFmtId="0" fontId="25" fillId="6" borderId="11" xfId="4" applyFont="1" applyFill="1" applyBorder="1" applyAlignment="1">
      <alignment horizontal="left" vertical="center"/>
    </xf>
    <xf numFmtId="43" fontId="31" fillId="25" borderId="13" xfId="1" applyFont="1" applyFill="1" applyBorder="1" applyAlignment="1">
      <alignment vertical="top"/>
    </xf>
    <xf numFmtId="2" fontId="27" fillId="50" borderId="65" xfId="0" applyNumberFormat="1" applyFont="1" applyFill="1" applyBorder="1" applyAlignment="1">
      <alignment horizontal="left" vertical="top"/>
    </xf>
    <xf numFmtId="2" fontId="28" fillId="50" borderId="6" xfId="0" quotePrefix="1" applyNumberFormat="1" applyFont="1" applyFill="1" applyBorder="1" applyAlignment="1">
      <alignment horizontal="center" vertical="top"/>
    </xf>
    <xf numFmtId="2" fontId="27" fillId="50" borderId="27" xfId="0" quotePrefix="1" applyNumberFormat="1" applyFont="1" applyFill="1" applyBorder="1" applyAlignment="1">
      <alignment horizontal="right" vertical="top"/>
    </xf>
    <xf numFmtId="2" fontId="27" fillId="21" borderId="10" xfId="4" applyNumberFormat="1" applyFont="1" applyFill="1" applyBorder="1" applyAlignment="1">
      <alignment horizontal="right" vertical="center"/>
    </xf>
    <xf numFmtId="3" fontId="33" fillId="25" borderId="13" xfId="6" applyNumberFormat="1" applyFont="1" applyFill="1" applyBorder="1" applyAlignment="1">
      <alignment vertical="center"/>
    </xf>
    <xf numFmtId="0" fontId="7" fillId="0" borderId="11" xfId="4" applyFont="1" applyFill="1" applyBorder="1" applyAlignment="1">
      <alignment vertical="center"/>
    </xf>
    <xf numFmtId="0" fontId="39" fillId="0" borderId="6" xfId="0" applyFont="1" applyFill="1" applyBorder="1" applyAlignment="1">
      <alignment vertical="center"/>
    </xf>
    <xf numFmtId="3" fontId="75" fillId="0" borderId="13" xfId="0" applyNumberFormat="1" applyFont="1" applyFill="1" applyBorder="1" applyAlignment="1">
      <alignment vertical="center" wrapText="1"/>
    </xf>
    <xf numFmtId="3" fontId="73" fillId="0" borderId="10" xfId="0" applyNumberFormat="1" applyFont="1" applyFill="1" applyBorder="1" applyAlignment="1">
      <alignment vertical="center" wrapText="1"/>
    </xf>
    <xf numFmtId="0" fontId="74" fillId="2" borderId="26" xfId="0" applyFont="1" applyFill="1" applyBorder="1" applyAlignment="1">
      <alignment vertical="center"/>
    </xf>
    <xf numFmtId="3" fontId="18" fillId="8" borderId="25" xfId="4" applyNumberFormat="1" applyFont="1" applyFill="1" applyBorder="1" applyAlignment="1">
      <alignment vertical="top" wrapText="1"/>
    </xf>
    <xf numFmtId="3" fontId="25" fillId="25" borderId="35" xfId="0" applyNumberFormat="1" applyFont="1" applyFill="1" applyBorder="1" applyAlignment="1">
      <alignment vertical="top"/>
    </xf>
    <xf numFmtId="2" fontId="31" fillId="8" borderId="21" xfId="0" applyNumberFormat="1" applyFont="1" applyFill="1" applyBorder="1" applyAlignment="1">
      <alignment vertical="top"/>
    </xf>
    <xf numFmtId="2" fontId="31" fillId="8" borderId="9" xfId="0" applyNumberFormat="1" applyFont="1" applyFill="1" applyBorder="1" applyAlignment="1">
      <alignment vertical="top"/>
    </xf>
    <xf numFmtId="0" fontId="37" fillId="0" borderId="0" xfId="0" applyFont="1" applyBorder="1" applyAlignment="1">
      <alignment vertical="center"/>
    </xf>
    <xf numFmtId="0" fontId="4" fillId="0" borderId="0" xfId="0" applyFont="1" applyBorder="1"/>
    <xf numFmtId="3" fontId="4" fillId="0" borderId="0" xfId="0" applyNumberFormat="1" applyFont="1" applyBorder="1"/>
    <xf numFmtId="3" fontId="33" fillId="0" borderId="0" xfId="6" applyNumberFormat="1" applyFont="1" applyFill="1" applyBorder="1" applyAlignment="1">
      <alignment vertical="center"/>
    </xf>
    <xf numFmtId="3" fontId="31" fillId="0" borderId="0" xfId="4" applyNumberFormat="1" applyFont="1" applyFill="1" applyBorder="1" applyAlignment="1">
      <alignment vertical="center"/>
    </xf>
    <xf numFmtId="0" fontId="40" fillId="2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vertical="center"/>
    </xf>
    <xf numFmtId="0" fontId="59" fillId="36" borderId="0" xfId="0" applyFont="1" applyFill="1" applyBorder="1" applyAlignment="1">
      <alignment vertical="center"/>
    </xf>
    <xf numFmtId="0" fontId="59" fillId="2" borderId="0" xfId="0" applyFont="1" applyFill="1" applyBorder="1" applyAlignment="1">
      <alignment horizontal="center" vertical="center" wrapText="1"/>
    </xf>
    <xf numFmtId="0" fontId="25" fillId="6" borderId="0" xfId="4" applyFont="1" applyFill="1" applyBorder="1" applyAlignment="1">
      <alignment horizontal="left" vertical="center"/>
    </xf>
    <xf numFmtId="3" fontId="25" fillId="22" borderId="0" xfId="0" applyNumberFormat="1" applyFont="1" applyFill="1" applyBorder="1" applyAlignment="1">
      <alignment vertical="center"/>
    </xf>
    <xf numFmtId="0" fontId="31" fillId="50" borderId="0" xfId="4" applyFont="1" applyFill="1" applyBorder="1" applyAlignment="1">
      <alignment horizontal="left" vertical="center"/>
    </xf>
    <xf numFmtId="3" fontId="31" fillId="50" borderId="0" xfId="0" applyNumberFormat="1" applyFont="1" applyFill="1" applyBorder="1" applyAlignment="1">
      <alignment vertical="top"/>
    </xf>
    <xf numFmtId="43" fontId="28" fillId="25" borderId="0" xfId="1" applyFont="1" applyFill="1" applyBorder="1" applyAlignment="1">
      <alignment vertical="center"/>
    </xf>
    <xf numFmtId="2" fontId="17" fillId="8" borderId="0" xfId="0" applyNumberFormat="1" applyFont="1" applyFill="1" applyBorder="1" applyAlignment="1">
      <alignment vertical="top"/>
    </xf>
    <xf numFmtId="2" fontId="25" fillId="6" borderId="0" xfId="4" applyNumberFormat="1" applyFont="1" applyFill="1" applyBorder="1" applyAlignment="1">
      <alignment horizontal="left" vertical="center"/>
    </xf>
    <xf numFmtId="2" fontId="25" fillId="6" borderId="0" xfId="0" applyNumberFormat="1" applyFont="1" applyFill="1" applyBorder="1" applyAlignment="1">
      <alignment vertical="top"/>
    </xf>
    <xf numFmtId="2" fontId="25" fillId="22" borderId="0" xfId="0" applyNumberFormat="1" applyFont="1" applyFill="1" applyBorder="1" applyAlignment="1">
      <alignment vertical="top"/>
    </xf>
    <xf numFmtId="2" fontId="27" fillId="8" borderId="0" xfId="4" applyNumberFormat="1" applyFont="1" applyFill="1" applyBorder="1" applyAlignment="1">
      <alignment vertical="top"/>
    </xf>
    <xf numFmtId="2" fontId="27" fillId="8" borderId="0" xfId="0" applyNumberFormat="1" applyFont="1" applyFill="1" applyBorder="1" applyAlignment="1">
      <alignment vertical="top"/>
    </xf>
    <xf numFmtId="2" fontId="27" fillId="23" borderId="0" xfId="0" applyNumberFormat="1" applyFont="1" applyFill="1" applyBorder="1" applyAlignment="1">
      <alignment vertical="top"/>
    </xf>
    <xf numFmtId="3" fontId="28" fillId="23" borderId="0" xfId="4" applyNumberFormat="1" applyFont="1" applyFill="1" applyBorder="1" applyAlignment="1">
      <alignment horizontal="right" vertical="center"/>
    </xf>
    <xf numFmtId="0" fontId="24" fillId="6" borderId="0" xfId="4" applyFont="1" applyFill="1" applyBorder="1" applyAlignment="1">
      <alignment horizontal="left" vertical="center"/>
    </xf>
    <xf numFmtId="0" fontId="23" fillId="0" borderId="0" xfId="0" applyFont="1" applyFill="1" applyBorder="1" applyAlignment="1">
      <alignment vertical="center" wrapText="1"/>
    </xf>
    <xf numFmtId="0" fontId="24" fillId="8" borderId="0" xfId="4" applyFont="1" applyFill="1" applyBorder="1" applyAlignment="1">
      <alignment vertical="center" wrapText="1"/>
    </xf>
    <xf numFmtId="0" fontId="24" fillId="8" borderId="0" xfId="4" applyFont="1" applyFill="1" applyBorder="1" applyAlignment="1">
      <alignment horizontal="center" vertical="center" wrapText="1"/>
    </xf>
    <xf numFmtId="3" fontId="25" fillId="8" borderId="0" xfId="4" applyNumberFormat="1" applyFont="1" applyFill="1" applyBorder="1" applyAlignment="1">
      <alignment vertical="center"/>
    </xf>
    <xf numFmtId="3" fontId="25" fillId="8" borderId="0" xfId="4" applyNumberFormat="1" applyFont="1" applyFill="1" applyBorder="1" applyAlignment="1">
      <alignment horizontal="right" vertical="center"/>
    </xf>
    <xf numFmtId="3" fontId="25" fillId="23" borderId="0" xfId="4" applyNumberFormat="1" applyFont="1" applyFill="1" applyBorder="1" applyAlignment="1">
      <alignment horizontal="right" vertical="center"/>
    </xf>
    <xf numFmtId="0" fontId="18" fillId="0" borderId="0" xfId="4" applyFont="1" applyFill="1" applyBorder="1" applyAlignment="1">
      <alignment vertical="center" wrapText="1"/>
    </xf>
    <xf numFmtId="3" fontId="25" fillId="6" borderId="0" xfId="4" applyNumberFormat="1" applyFont="1" applyFill="1" applyBorder="1" applyAlignment="1">
      <alignment horizontal="right" vertical="center"/>
    </xf>
    <xf numFmtId="3" fontId="25" fillId="22" borderId="0" xfId="4" applyNumberFormat="1" applyFont="1" applyFill="1" applyBorder="1" applyAlignment="1">
      <alignment horizontal="right" vertical="center"/>
    </xf>
    <xf numFmtId="0" fontId="39" fillId="0" borderId="0" xfId="0" applyFont="1" applyFill="1" applyBorder="1" applyAlignment="1">
      <alignment vertical="center"/>
    </xf>
    <xf numFmtId="3" fontId="75" fillId="0" borderId="0" xfId="0" applyNumberFormat="1" applyFont="1" applyFill="1" applyBorder="1" applyAlignment="1">
      <alignment vertical="center" wrapText="1"/>
    </xf>
    <xf numFmtId="3" fontId="73" fillId="0" borderId="0" xfId="0" applyNumberFormat="1" applyFont="1" applyFill="1" applyBorder="1" applyAlignment="1">
      <alignment vertical="center" wrapText="1"/>
    </xf>
    <xf numFmtId="0" fontId="74" fillId="2" borderId="0" xfId="0" applyFont="1" applyFill="1" applyBorder="1" applyAlignment="1">
      <alignment vertical="center"/>
    </xf>
    <xf numFmtId="0" fontId="66" fillId="13" borderId="0" xfId="4" applyFont="1" applyFill="1" applyBorder="1" applyAlignment="1">
      <alignment horizontal="left" vertical="center"/>
    </xf>
    <xf numFmtId="0" fontId="31" fillId="6" borderId="209" xfId="0" applyFont="1" applyFill="1" applyBorder="1" applyAlignment="1">
      <alignment vertical="center"/>
    </xf>
    <xf numFmtId="43" fontId="25" fillId="6" borderId="188" xfId="1" applyFont="1" applyFill="1" applyBorder="1" applyAlignment="1">
      <alignment vertical="center"/>
    </xf>
    <xf numFmtId="3" fontId="27" fillId="0" borderId="188" xfId="0" applyNumberFormat="1" applyFont="1" applyFill="1" applyBorder="1" applyAlignment="1">
      <alignment vertical="center"/>
    </xf>
    <xf numFmtId="43" fontId="27" fillId="0" borderId="188" xfId="1" applyFont="1" applyFill="1" applyBorder="1" applyAlignment="1">
      <alignment vertical="center"/>
    </xf>
    <xf numFmtId="0" fontId="63" fillId="53" borderId="208" xfId="0" applyFont="1" applyFill="1" applyBorder="1"/>
    <xf numFmtId="3" fontId="28" fillId="55" borderId="12" xfId="0" applyNumberFormat="1" applyFont="1" applyFill="1" applyBorder="1" applyAlignment="1">
      <alignment vertical="center"/>
    </xf>
    <xf numFmtId="2" fontId="27" fillId="21" borderId="12" xfId="4" applyNumberFormat="1" applyFont="1" applyFill="1" applyBorder="1" applyAlignment="1">
      <alignment horizontal="right" vertical="center"/>
    </xf>
    <xf numFmtId="3" fontId="28" fillId="23" borderId="179" xfId="4" applyNumberFormat="1" applyFont="1" applyFill="1" applyBorder="1" applyAlignment="1">
      <alignment horizontal="right" vertical="center"/>
    </xf>
    <xf numFmtId="0" fontId="25" fillId="6" borderId="209" xfId="4" applyFont="1" applyFill="1" applyBorder="1" applyAlignment="1">
      <alignment horizontal="left" vertical="center"/>
    </xf>
    <xf numFmtId="0" fontId="25" fillId="6" borderId="67" xfId="4" applyFont="1" applyFill="1" applyBorder="1" applyAlignment="1">
      <alignment horizontal="left" vertical="center"/>
    </xf>
    <xf numFmtId="0" fontId="33" fillId="0" borderId="23" xfId="0" applyFont="1" applyBorder="1" applyAlignment="1">
      <alignment vertical="center"/>
    </xf>
    <xf numFmtId="2" fontId="27" fillId="50" borderId="67" xfId="4" applyNumberFormat="1" applyFont="1" applyFill="1" applyBorder="1" applyAlignment="1">
      <alignment horizontal="left" vertical="center"/>
    </xf>
    <xf numFmtId="0" fontId="7" fillId="0" borderId="12" xfId="4" applyFont="1" applyFill="1" applyBorder="1" applyAlignment="1">
      <alignment vertical="top"/>
    </xf>
    <xf numFmtId="0" fontId="29" fillId="2" borderId="25" xfId="4" applyFont="1" applyFill="1" applyBorder="1" applyAlignment="1">
      <alignment vertical="center"/>
    </xf>
    <xf numFmtId="3" fontId="62" fillId="0" borderId="12" xfId="0" applyNumberFormat="1" applyFont="1" applyFill="1" applyBorder="1" applyAlignment="1">
      <alignment vertical="center" wrapText="1"/>
    </xf>
    <xf numFmtId="0" fontId="63" fillId="51" borderId="208" xfId="0" applyFont="1" applyFill="1" applyBorder="1" applyAlignment="1">
      <alignment vertical="center"/>
    </xf>
    <xf numFmtId="2" fontId="27" fillId="50" borderId="193" xfId="4" applyNumberFormat="1" applyFont="1" applyFill="1" applyBorder="1" applyAlignment="1">
      <alignment horizontal="left" vertical="center"/>
    </xf>
    <xf numFmtId="3" fontId="62" fillId="0" borderId="8" xfId="0" applyNumberFormat="1" applyFont="1" applyFill="1" applyBorder="1" applyAlignment="1">
      <alignment vertical="center" wrapText="1"/>
    </xf>
    <xf numFmtId="3" fontId="31" fillId="23" borderId="12" xfId="4" applyNumberFormat="1" applyFont="1" applyFill="1" applyBorder="1" applyAlignment="1">
      <alignment vertical="center"/>
    </xf>
    <xf numFmtId="3" fontId="27" fillId="0" borderId="12" xfId="0" applyNumberFormat="1" applyFont="1" applyFill="1" applyBorder="1" applyAlignment="1">
      <alignment vertical="center"/>
    </xf>
    <xf numFmtId="3" fontId="28" fillId="54" borderId="23" xfId="0" applyNumberFormat="1" applyFont="1" applyFill="1" applyBorder="1" applyAlignment="1">
      <alignment vertical="top"/>
    </xf>
    <xf numFmtId="2" fontId="27" fillId="50" borderId="23" xfId="4" applyNumberFormat="1" applyFont="1" applyFill="1" applyBorder="1" applyAlignment="1">
      <alignment horizontal="right" vertical="center"/>
    </xf>
    <xf numFmtId="3" fontId="28" fillId="23" borderId="12" xfId="4" applyNumberFormat="1" applyFont="1" applyFill="1" applyBorder="1" applyAlignment="1">
      <alignment horizontal="right" vertical="center"/>
    </xf>
    <xf numFmtId="3" fontId="27" fillId="2" borderId="23" xfId="4" applyNumberFormat="1" applyFont="1" applyFill="1" applyBorder="1" applyAlignment="1">
      <alignment vertical="center"/>
    </xf>
    <xf numFmtId="3" fontId="62" fillId="0" borderId="72" xfId="0" applyNumberFormat="1" applyFont="1" applyFill="1" applyBorder="1" applyAlignment="1">
      <alignment vertical="center" wrapText="1"/>
    </xf>
    <xf numFmtId="3" fontId="28" fillId="51" borderId="35" xfId="0" applyNumberFormat="1" applyFont="1" applyFill="1" applyBorder="1" applyAlignment="1">
      <alignment vertical="center"/>
    </xf>
    <xf numFmtId="2" fontId="27" fillId="50" borderId="188" xfId="4" applyNumberFormat="1" applyFont="1" applyFill="1" applyBorder="1" applyAlignment="1">
      <alignment horizontal="right" vertical="center"/>
    </xf>
    <xf numFmtId="3" fontId="72" fillId="2" borderId="8" xfId="0" applyNumberFormat="1" applyFont="1" applyFill="1" applyBorder="1" applyAlignment="1">
      <alignment vertical="center"/>
    </xf>
    <xf numFmtId="3" fontId="74" fillId="2" borderId="8" xfId="0" applyNumberFormat="1" applyFont="1" applyFill="1" applyBorder="1" applyAlignment="1">
      <alignment vertical="center"/>
    </xf>
    <xf numFmtId="0" fontId="38" fillId="0" borderId="24" xfId="0" applyFont="1" applyFill="1" applyBorder="1" applyAlignment="1">
      <alignment vertical="top"/>
    </xf>
    <xf numFmtId="3" fontId="37" fillId="0" borderId="35" xfId="0" applyNumberFormat="1" applyFont="1" applyBorder="1"/>
    <xf numFmtId="0" fontId="7" fillId="8" borderId="25" xfId="4" applyFont="1" applyFill="1" applyBorder="1" applyAlignment="1">
      <alignment vertical="top"/>
    </xf>
    <xf numFmtId="3" fontId="31" fillId="0" borderId="35" xfId="4" applyNumberFormat="1" applyFont="1" applyFill="1" applyBorder="1" applyAlignment="1">
      <alignment vertical="center"/>
    </xf>
    <xf numFmtId="2" fontId="7" fillId="23" borderId="13" xfId="0" applyNumberFormat="1" applyFont="1" applyFill="1" applyBorder="1" applyAlignment="1">
      <alignment vertical="top"/>
    </xf>
    <xf numFmtId="2" fontId="7" fillId="23" borderId="10" xfId="0" applyNumberFormat="1" applyFont="1" applyFill="1" applyBorder="1" applyAlignment="1">
      <alignment vertical="top"/>
    </xf>
    <xf numFmtId="0" fontId="7" fillId="0" borderId="35" xfId="4" applyFont="1" applyFill="1" applyBorder="1" applyAlignment="1">
      <alignment vertical="top"/>
    </xf>
    <xf numFmtId="3" fontId="32" fillId="0" borderId="35" xfId="6" applyNumberFormat="1" applyFont="1" applyFill="1" applyBorder="1" applyAlignment="1">
      <alignment vertical="center"/>
    </xf>
    <xf numFmtId="0" fontId="7" fillId="0" borderId="21" xfId="4" applyFont="1" applyFill="1" applyBorder="1" applyAlignment="1">
      <alignment vertical="center"/>
    </xf>
    <xf numFmtId="3" fontId="31" fillId="25" borderId="9" xfId="4" applyNumberFormat="1" applyFont="1" applyFill="1" applyBorder="1" applyAlignment="1">
      <alignment horizontal="right" vertical="center"/>
    </xf>
    <xf numFmtId="3" fontId="31" fillId="25" borderId="8" xfId="4" applyNumberFormat="1" applyFont="1" applyFill="1" applyBorder="1" applyAlignment="1">
      <alignment horizontal="right" vertical="center"/>
    </xf>
    <xf numFmtId="0" fontId="29" fillId="8" borderId="0" xfId="0" applyFont="1" applyFill="1" applyBorder="1" applyAlignment="1">
      <alignment vertical="top"/>
    </xf>
    <xf numFmtId="3" fontId="27" fillId="50" borderId="0" xfId="4" applyNumberFormat="1" applyFont="1" applyFill="1" applyBorder="1" applyAlignment="1">
      <alignment horizontal="right" vertical="center"/>
    </xf>
    <xf numFmtId="43" fontId="27" fillId="50" borderId="0" xfId="1" applyFont="1" applyFill="1" applyBorder="1" applyAlignment="1">
      <alignment horizontal="right" vertical="center"/>
    </xf>
    <xf numFmtId="3" fontId="27" fillId="21" borderId="0" xfId="4" applyNumberFormat="1" applyFont="1" applyFill="1" applyBorder="1" applyAlignment="1">
      <alignment horizontal="right" vertical="center"/>
    </xf>
    <xf numFmtId="3" fontId="18" fillId="8" borderId="0" xfId="4" applyNumberFormat="1" applyFont="1" applyFill="1" applyBorder="1" applyAlignment="1">
      <alignment vertical="top" wrapText="1"/>
    </xf>
    <xf numFmtId="3" fontId="27" fillId="25" borderId="0" xfId="0" applyNumberFormat="1" applyFont="1" applyFill="1" applyBorder="1" applyAlignment="1">
      <alignment vertical="top"/>
    </xf>
    <xf numFmtId="2" fontId="31" fillId="8" borderId="0" xfId="0" applyNumberFormat="1" applyFont="1" applyFill="1" applyBorder="1" applyAlignment="1">
      <alignment vertical="top"/>
    </xf>
    <xf numFmtId="2" fontId="25" fillId="23" borderId="0" xfId="0" applyNumberFormat="1" applyFont="1" applyFill="1" applyBorder="1" applyAlignment="1">
      <alignment horizontal="center" vertical="top"/>
    </xf>
    <xf numFmtId="3" fontId="29" fillId="2" borderId="0" xfId="4" applyNumberFormat="1" applyFont="1" applyFill="1" applyBorder="1" applyAlignment="1">
      <alignment vertical="top" wrapText="1"/>
    </xf>
    <xf numFmtId="3" fontId="29" fillId="2" borderId="0" xfId="4" applyNumberFormat="1" applyFont="1" applyFill="1" applyBorder="1" applyAlignment="1">
      <alignment vertical="center" wrapText="1"/>
    </xf>
    <xf numFmtId="0" fontId="60" fillId="13" borderId="6" xfId="0" applyFont="1" applyFill="1" applyBorder="1" applyAlignment="1">
      <alignment vertical="center"/>
    </xf>
    <xf numFmtId="0" fontId="66" fillId="13" borderId="6" xfId="4" applyFont="1" applyFill="1" applyBorder="1" applyAlignment="1">
      <alignment horizontal="left" vertical="center"/>
    </xf>
    <xf numFmtId="3" fontId="25" fillId="22" borderId="192" xfId="0" applyNumberFormat="1" applyFont="1" applyFill="1" applyBorder="1" applyAlignment="1">
      <alignment vertical="center"/>
    </xf>
    <xf numFmtId="3" fontId="27" fillId="25" borderId="192" xfId="4" applyNumberFormat="1" applyFont="1" applyFill="1" applyBorder="1" applyAlignment="1">
      <alignment horizontal="right" vertical="center"/>
    </xf>
    <xf numFmtId="3" fontId="31" fillId="23" borderId="197" xfId="4" applyNumberFormat="1" applyFont="1" applyFill="1" applyBorder="1" applyAlignment="1">
      <alignment vertical="center"/>
    </xf>
    <xf numFmtId="3" fontId="25" fillId="22" borderId="197" xfId="4" applyNumberFormat="1" applyFont="1" applyFill="1" applyBorder="1" applyAlignment="1">
      <alignment horizontal="right" vertical="center"/>
    </xf>
    <xf numFmtId="3" fontId="27" fillId="25" borderId="8" xfId="0" applyNumberFormat="1" applyFont="1" applyFill="1" applyBorder="1" applyAlignment="1">
      <alignment vertical="center"/>
    </xf>
    <xf numFmtId="3" fontId="31" fillId="23" borderId="7" xfId="4" applyNumberFormat="1" applyFont="1" applyFill="1" applyBorder="1" applyAlignment="1">
      <alignment vertical="center"/>
    </xf>
    <xf numFmtId="3" fontId="27" fillId="25" borderId="8" xfId="4" applyNumberFormat="1" applyFont="1" applyFill="1" applyBorder="1" applyAlignment="1">
      <alignment horizontal="right" vertical="center"/>
    </xf>
    <xf numFmtId="2" fontId="24" fillId="2" borderId="8" xfId="0" applyNumberFormat="1" applyFont="1" applyFill="1" applyBorder="1" applyAlignment="1">
      <alignment horizontal="left" vertical="top" wrapText="1"/>
    </xf>
    <xf numFmtId="2" fontId="27" fillId="21" borderId="7" xfId="4" applyNumberFormat="1" applyFont="1" applyFill="1" applyBorder="1" applyAlignment="1">
      <alignment horizontal="right" vertical="center"/>
    </xf>
    <xf numFmtId="0" fontId="74" fillId="2" borderId="8" xfId="0" applyFont="1" applyFill="1" applyBorder="1" applyAlignment="1">
      <alignment vertical="center"/>
    </xf>
    <xf numFmtId="3" fontId="31" fillId="23" borderId="0" xfId="4" applyNumberFormat="1" applyFont="1" applyFill="1" applyBorder="1" applyAlignment="1">
      <alignment vertical="center"/>
    </xf>
    <xf numFmtId="3" fontId="27" fillId="23" borderId="197" xfId="0" applyNumberFormat="1" applyFont="1" applyFill="1" applyBorder="1" applyAlignment="1">
      <alignment vertical="center"/>
    </xf>
    <xf numFmtId="3" fontId="31" fillId="25" borderId="192" xfId="4" applyNumberFormat="1" applyFont="1" applyFill="1" applyBorder="1" applyAlignment="1">
      <alignment horizontal="right" vertical="center"/>
    </xf>
    <xf numFmtId="3" fontId="31" fillId="23" borderId="197" xfId="0" applyNumberFormat="1" applyFont="1" applyFill="1" applyBorder="1" applyAlignment="1">
      <alignment vertical="center"/>
    </xf>
    <xf numFmtId="3" fontId="25" fillId="22" borderId="197" xfId="0" applyNumberFormat="1" applyFont="1" applyFill="1" applyBorder="1" applyAlignment="1">
      <alignment vertical="top"/>
    </xf>
    <xf numFmtId="3" fontId="25" fillId="25" borderId="197" xfId="0" applyNumberFormat="1" applyFont="1" applyFill="1" applyBorder="1" applyAlignment="1">
      <alignment vertical="top"/>
    </xf>
    <xf numFmtId="3" fontId="25" fillId="22" borderId="192" xfId="0" applyNumberFormat="1" applyFont="1" applyFill="1" applyBorder="1" applyAlignment="1">
      <alignment vertical="top"/>
    </xf>
    <xf numFmtId="3" fontId="31" fillId="25" borderId="197" xfId="0" applyNumberFormat="1" applyFont="1" applyFill="1" applyBorder="1" applyAlignment="1">
      <alignment vertical="top"/>
    </xf>
    <xf numFmtId="3" fontId="24" fillId="22" borderId="197" xfId="4" applyNumberFormat="1" applyFont="1" applyFill="1" applyBorder="1" applyAlignment="1">
      <alignment horizontal="right" vertical="center"/>
    </xf>
    <xf numFmtId="3" fontId="27" fillId="25" borderId="197" xfId="4" applyNumberFormat="1" applyFont="1" applyFill="1" applyBorder="1" applyAlignment="1">
      <alignment horizontal="right" vertical="center"/>
    </xf>
    <xf numFmtId="3" fontId="28" fillId="23" borderId="197" xfId="4" applyNumberFormat="1" applyFont="1" applyFill="1" applyBorder="1" applyAlignment="1">
      <alignment horizontal="right" vertical="center"/>
    </xf>
    <xf numFmtId="3" fontId="33" fillId="25" borderId="197" xfId="6" applyNumberFormat="1" applyFont="1" applyFill="1" applyBorder="1" applyAlignment="1">
      <alignment vertical="center"/>
    </xf>
    <xf numFmtId="0" fontId="34" fillId="0" borderId="64" xfId="0" applyFont="1" applyFill="1" applyBorder="1" applyAlignment="1">
      <alignment vertical="center"/>
    </xf>
    <xf numFmtId="0" fontId="23" fillId="0" borderId="12" xfId="0" applyFont="1" applyFill="1" applyBorder="1" applyAlignment="1">
      <alignment vertical="center" wrapText="1"/>
    </xf>
    <xf numFmtId="0" fontId="23" fillId="0" borderId="68" xfId="0" applyFont="1" applyFill="1" applyBorder="1" applyAlignment="1">
      <alignment vertical="center" wrapText="1"/>
    </xf>
    <xf numFmtId="0" fontId="18" fillId="0" borderId="39" xfId="4" applyFont="1" applyFill="1" applyBorder="1" applyAlignment="1">
      <alignment vertical="center" wrapText="1"/>
    </xf>
    <xf numFmtId="0" fontId="8" fillId="0" borderId="185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72" fillId="0" borderId="13" xfId="0" applyFont="1" applyFill="1" applyBorder="1" applyAlignment="1">
      <alignment vertical="center"/>
    </xf>
    <xf numFmtId="0" fontId="72" fillId="2" borderId="13" xfId="0" applyFont="1" applyFill="1" applyBorder="1" applyAlignment="1">
      <alignment vertical="center"/>
    </xf>
    <xf numFmtId="0" fontId="72" fillId="2" borderId="12" xfId="0" applyFont="1" applyFill="1" applyBorder="1" applyAlignment="1">
      <alignment vertical="center"/>
    </xf>
    <xf numFmtId="0" fontId="72" fillId="2" borderId="39" xfId="0" applyFont="1" applyFill="1" applyBorder="1" applyAlignment="1">
      <alignment vertical="center"/>
    </xf>
    <xf numFmtId="0" fontId="72" fillId="2" borderId="68" xfId="0" applyFont="1" applyFill="1" applyBorder="1" applyAlignment="1">
      <alignment vertical="center"/>
    </xf>
    <xf numFmtId="0" fontId="23" fillId="0" borderId="199" xfId="0" applyFont="1" applyFill="1" applyBorder="1" applyAlignment="1">
      <alignment vertical="center" wrapText="1"/>
    </xf>
    <xf numFmtId="0" fontId="23" fillId="0" borderId="39" xfId="0" applyFont="1" applyFill="1" applyBorder="1" applyAlignment="1">
      <alignment vertical="center" wrapText="1"/>
    </xf>
    <xf numFmtId="0" fontId="72" fillId="2" borderId="199" xfId="0" applyFont="1" applyFill="1" applyBorder="1" applyAlignment="1">
      <alignment vertical="center"/>
    </xf>
    <xf numFmtId="0" fontId="7" fillId="23" borderId="77" xfId="0" applyFont="1" applyFill="1" applyBorder="1" applyAlignment="1">
      <alignment vertical="center"/>
    </xf>
    <xf numFmtId="3" fontId="62" fillId="0" borderId="77" xfId="0" applyNumberFormat="1" applyFont="1" applyFill="1" applyBorder="1" applyAlignment="1">
      <alignment vertical="center" wrapText="1"/>
    </xf>
    <xf numFmtId="3" fontId="31" fillId="0" borderId="180" xfId="0" applyNumberFormat="1" applyFont="1" applyFill="1" applyBorder="1" applyAlignment="1">
      <alignment vertical="center"/>
    </xf>
    <xf numFmtId="2" fontId="26" fillId="0" borderId="15" xfId="0" applyNumberFormat="1" applyFont="1" applyBorder="1" applyAlignment="1">
      <alignment horizontal="center" vertical="center" wrapText="1"/>
    </xf>
    <xf numFmtId="2" fontId="18" fillId="2" borderId="12" xfId="0" applyNumberFormat="1" applyFont="1" applyFill="1" applyBorder="1" applyAlignment="1">
      <alignment vertical="top"/>
    </xf>
    <xf numFmtId="0" fontId="74" fillId="2" borderId="199" xfId="0" applyFont="1" applyFill="1" applyBorder="1" applyAlignment="1">
      <alignment vertical="center"/>
    </xf>
    <xf numFmtId="3" fontId="74" fillId="2" borderId="15" xfId="0" applyNumberFormat="1" applyFont="1" applyFill="1" applyBorder="1" applyAlignment="1">
      <alignment vertical="center"/>
    </xf>
    <xf numFmtId="0" fontId="74" fillId="2" borderId="12" xfId="0" applyFont="1" applyFill="1" applyBorder="1" applyAlignment="1">
      <alignment vertical="center"/>
    </xf>
    <xf numFmtId="0" fontId="74" fillId="2" borderId="68" xfId="0" applyFont="1" applyFill="1" applyBorder="1" applyAlignment="1">
      <alignment vertical="center"/>
    </xf>
    <xf numFmtId="0" fontId="70" fillId="2" borderId="0" xfId="0" applyFont="1" applyFill="1" applyBorder="1" applyAlignment="1">
      <alignment horizontal="center" wrapText="1"/>
    </xf>
    <xf numFmtId="0" fontId="19" fillId="2" borderId="15" xfId="0" applyFont="1" applyFill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/>
    </xf>
    <xf numFmtId="0" fontId="24" fillId="0" borderId="25" xfId="4" applyFont="1" applyFill="1" applyBorder="1" applyAlignment="1">
      <alignment horizontal="center" vertical="center"/>
    </xf>
    <xf numFmtId="3" fontId="18" fillId="0" borderId="43" xfId="4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3" fontId="18" fillId="0" borderId="41" xfId="4" applyNumberFormat="1" applyFont="1" applyFill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18" fillId="0" borderId="43" xfId="4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3" fillId="0" borderId="12" xfId="6" applyFont="1" applyBorder="1" applyAlignment="1">
      <alignment horizontal="center" vertical="center"/>
    </xf>
    <xf numFmtId="3" fontId="25" fillId="2" borderId="20" xfId="4" applyNumberFormat="1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32" fillId="0" borderId="183" xfId="0" applyFont="1" applyFill="1" applyBorder="1" applyAlignment="1">
      <alignment horizontal="center" vertical="center" wrapText="1"/>
    </xf>
    <xf numFmtId="0" fontId="32" fillId="0" borderId="189" xfId="0" applyFont="1" applyFill="1" applyBorder="1" applyAlignment="1">
      <alignment horizontal="center" vertical="center" wrapText="1"/>
    </xf>
    <xf numFmtId="0" fontId="23" fillId="0" borderId="185" xfId="0" applyFont="1" applyFill="1" applyBorder="1" applyAlignment="1">
      <alignment horizontal="center" vertical="center" wrapText="1"/>
    </xf>
    <xf numFmtId="0" fontId="17" fillId="0" borderId="168" xfId="4" applyFont="1" applyFill="1" applyBorder="1" applyAlignment="1">
      <alignment horizontal="center" vertical="center"/>
    </xf>
    <xf numFmtId="3" fontId="24" fillId="26" borderId="163" xfId="4" applyNumberFormat="1" applyFont="1" applyFill="1" applyBorder="1" applyAlignment="1">
      <alignment horizontal="center" vertical="center"/>
    </xf>
    <xf numFmtId="0" fontId="32" fillId="0" borderId="163" xfId="0" applyFont="1" applyBorder="1" applyAlignment="1">
      <alignment wrapText="1"/>
    </xf>
    <xf numFmtId="0" fontId="23" fillId="0" borderId="35" xfId="6" applyFont="1" applyBorder="1" applyAlignment="1">
      <alignment horizontal="center" vertical="center"/>
    </xf>
    <xf numFmtId="0" fontId="23" fillId="0" borderId="39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24" fillId="2" borderId="15" xfId="0" applyFont="1" applyFill="1" applyBorder="1" applyAlignment="1">
      <alignment horizontal="center" vertical="center" wrapText="1"/>
    </xf>
    <xf numFmtId="2" fontId="0" fillId="0" borderId="0" xfId="0" applyNumberFormat="1" applyFont="1" applyBorder="1"/>
    <xf numFmtId="0" fontId="17" fillId="0" borderId="2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23" fillId="0" borderId="134" xfId="0" applyFont="1" applyBorder="1" applyAlignment="1">
      <alignment horizontal="center" vertical="center" wrapText="1"/>
    </xf>
    <xf numFmtId="3" fontId="25" fillId="22" borderId="35" xfId="0" applyNumberFormat="1" applyFont="1" applyFill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 wrapText="1"/>
    </xf>
    <xf numFmtId="0" fontId="32" fillId="0" borderId="131" xfId="0" applyFont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25" fillId="0" borderId="35" xfId="4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32" fillId="0" borderId="188" xfId="0" applyFont="1" applyBorder="1" applyAlignment="1">
      <alignment vertical="center"/>
    </xf>
    <xf numFmtId="3" fontId="31" fillId="0" borderId="185" xfId="0" applyNumberFormat="1" applyFont="1" applyFill="1" applyBorder="1" applyAlignment="1">
      <alignment vertical="top"/>
    </xf>
    <xf numFmtId="3" fontId="31" fillId="2" borderId="185" xfId="0" applyNumberFormat="1" applyFont="1" applyFill="1" applyBorder="1" applyAlignment="1">
      <alignment vertical="center"/>
    </xf>
    <xf numFmtId="3" fontId="31" fillId="2" borderId="13" xfId="0" applyNumberFormat="1" applyFont="1" applyFill="1" applyBorder="1" applyAlignment="1">
      <alignment vertical="center"/>
    </xf>
    <xf numFmtId="3" fontId="31" fillId="23" borderId="13" xfId="0" applyNumberFormat="1" applyFont="1" applyFill="1" applyBorder="1" applyAlignment="1">
      <alignment vertical="top"/>
    </xf>
    <xf numFmtId="3" fontId="27" fillId="0" borderId="68" xfId="0" applyNumberFormat="1" applyFont="1" applyFill="1" applyBorder="1" applyAlignment="1">
      <alignment vertical="center"/>
    </xf>
    <xf numFmtId="3" fontId="27" fillId="25" borderId="68" xfId="0" applyNumberFormat="1" applyFont="1" applyFill="1" applyBorder="1" applyAlignment="1">
      <alignment horizontal="center" vertical="center"/>
    </xf>
    <xf numFmtId="3" fontId="27" fillId="25" borderId="77" xfId="0" applyNumberFormat="1" applyFont="1" applyFill="1" applyBorder="1" applyAlignment="1">
      <alignment horizontal="center" vertical="center"/>
    </xf>
    <xf numFmtId="3" fontId="33" fillId="0" borderId="68" xfId="6" applyNumberFormat="1" applyFont="1" applyFill="1" applyBorder="1" applyAlignment="1">
      <alignment vertical="center"/>
    </xf>
    <xf numFmtId="3" fontId="25" fillId="22" borderId="180" xfId="4" applyNumberFormat="1" applyFont="1" applyFill="1" applyBorder="1" applyAlignment="1">
      <alignment horizontal="right" vertical="center"/>
    </xf>
    <xf numFmtId="3" fontId="27" fillId="25" borderId="35" xfId="4" applyNumberFormat="1" applyFont="1" applyFill="1" applyBorder="1" applyAlignment="1">
      <alignment horizontal="right" vertical="center"/>
    </xf>
    <xf numFmtId="3" fontId="28" fillId="23" borderId="35" xfId="4" applyNumberFormat="1" applyFont="1" applyFill="1" applyBorder="1" applyAlignment="1">
      <alignment horizontal="right" vertical="center"/>
    </xf>
    <xf numFmtId="3" fontId="31" fillId="0" borderId="185" xfId="4" applyNumberFormat="1" applyFont="1" applyFill="1" applyBorder="1" applyAlignment="1">
      <alignment vertical="center"/>
    </xf>
    <xf numFmtId="3" fontId="31" fillId="0" borderId="12" xfId="4" applyNumberFormat="1" applyFont="1" applyFill="1" applyBorder="1" applyAlignment="1">
      <alignment vertical="center"/>
    </xf>
    <xf numFmtId="3" fontId="27" fillId="0" borderId="7" xfId="0" applyNumberFormat="1" applyFont="1" applyFill="1" applyBorder="1" applyAlignment="1">
      <alignment vertical="top"/>
    </xf>
    <xf numFmtId="3" fontId="27" fillId="25" borderId="35" xfId="0" applyNumberFormat="1" applyFont="1" applyFill="1" applyBorder="1" applyAlignment="1">
      <alignment vertical="top"/>
    </xf>
    <xf numFmtId="43" fontId="28" fillId="25" borderId="27" xfId="1" applyFont="1" applyFill="1" applyBorder="1" applyAlignment="1">
      <alignment vertical="center"/>
    </xf>
    <xf numFmtId="0" fontId="31" fillId="0" borderId="208" xfId="0" applyFont="1" applyFill="1" applyBorder="1" applyAlignment="1">
      <alignment vertical="top"/>
    </xf>
    <xf numFmtId="0" fontId="31" fillId="0" borderId="208" xfId="0" applyFont="1" applyFill="1" applyBorder="1" applyAlignment="1">
      <alignment horizontal="left" vertical="center" wrapText="1"/>
    </xf>
    <xf numFmtId="0" fontId="63" fillId="52" borderId="208" xfId="0" applyFont="1" applyFill="1" applyBorder="1"/>
    <xf numFmtId="0" fontId="39" fillId="54" borderId="208" xfId="0" applyFont="1" applyFill="1" applyBorder="1"/>
    <xf numFmtId="0" fontId="8" fillId="0" borderId="208" xfId="0" applyFont="1" applyFill="1" applyBorder="1" applyAlignment="1">
      <alignment vertical="center" wrapText="1"/>
    </xf>
    <xf numFmtId="3" fontId="28" fillId="55" borderId="188" xfId="0" applyNumberFormat="1" applyFont="1" applyFill="1" applyBorder="1" applyAlignment="1">
      <alignment vertical="center"/>
    </xf>
    <xf numFmtId="3" fontId="28" fillId="55" borderId="189" xfId="0" applyNumberFormat="1" applyFont="1" applyFill="1" applyBorder="1" applyAlignment="1">
      <alignment vertical="center"/>
    </xf>
    <xf numFmtId="43" fontId="31" fillId="25" borderId="189" xfId="1" applyFont="1" applyFill="1" applyBorder="1" applyAlignment="1">
      <alignment vertical="top"/>
    </xf>
    <xf numFmtId="3" fontId="31" fillId="0" borderId="7" xfId="4" applyNumberFormat="1" applyFont="1" applyFill="1" applyBorder="1" applyAlignment="1">
      <alignment vertical="center"/>
    </xf>
    <xf numFmtId="3" fontId="28" fillId="50" borderId="10" xfId="0" applyNumberFormat="1" applyFont="1" applyFill="1" applyBorder="1" applyAlignment="1">
      <alignment vertical="top"/>
    </xf>
    <xf numFmtId="3" fontId="25" fillId="32" borderId="189" xfId="0" applyNumberFormat="1" applyFont="1" applyFill="1" applyBorder="1" applyAlignment="1">
      <alignment vertical="top"/>
    </xf>
    <xf numFmtId="3" fontId="28" fillId="52" borderId="189" xfId="0" applyNumberFormat="1" applyFont="1" applyFill="1" applyBorder="1" applyAlignment="1">
      <alignment vertical="top"/>
    </xf>
    <xf numFmtId="3" fontId="28" fillId="53" borderId="189" xfId="0" applyNumberFormat="1" applyFont="1" applyFill="1" applyBorder="1" applyAlignment="1">
      <alignment vertical="top"/>
    </xf>
    <xf numFmtId="3" fontId="28" fillId="54" borderId="189" xfId="0" applyNumberFormat="1" applyFont="1" applyFill="1" applyBorder="1" applyAlignment="1">
      <alignment vertical="top"/>
    </xf>
    <xf numFmtId="0" fontId="23" fillId="6" borderId="188" xfId="0" applyFont="1" applyFill="1" applyBorder="1" applyAlignment="1">
      <alignment horizontal="center" vertical="center"/>
    </xf>
    <xf numFmtId="0" fontId="25" fillId="6" borderId="185" xfId="4" applyFont="1" applyFill="1" applyBorder="1" applyAlignment="1">
      <alignment horizontal="left" vertical="center"/>
    </xf>
    <xf numFmtId="0" fontId="31" fillId="0" borderId="189" xfId="0" applyFont="1" applyFill="1" applyBorder="1" applyAlignment="1">
      <alignment vertical="top" wrapText="1"/>
    </xf>
    <xf numFmtId="0" fontId="27" fillId="0" borderId="189" xfId="0" applyFont="1" applyFill="1" applyBorder="1" applyAlignment="1">
      <alignment vertical="top" wrapText="1"/>
    </xf>
    <xf numFmtId="3" fontId="27" fillId="2" borderId="189" xfId="4" applyNumberFormat="1" applyFont="1" applyFill="1" applyBorder="1" applyAlignment="1">
      <alignment vertical="top" wrapText="1"/>
    </xf>
    <xf numFmtId="0" fontId="31" fillId="0" borderId="189" xfId="4" applyFont="1" applyFill="1" applyBorder="1" applyAlignment="1">
      <alignment vertical="center"/>
    </xf>
    <xf numFmtId="3" fontId="25" fillId="25" borderId="192" xfId="0" applyNumberFormat="1" applyFont="1" applyFill="1" applyBorder="1" applyAlignment="1">
      <alignment vertical="top"/>
    </xf>
    <xf numFmtId="3" fontId="25" fillId="25" borderId="188" xfId="0" applyNumberFormat="1" applyFont="1" applyFill="1" applyBorder="1" applyAlignment="1">
      <alignment vertical="top"/>
    </xf>
    <xf numFmtId="0" fontId="23" fillId="6" borderId="8" xfId="0" applyFont="1" applyFill="1" applyBorder="1" applyAlignment="1">
      <alignment horizontal="center" vertical="center"/>
    </xf>
    <xf numFmtId="3" fontId="25" fillId="22" borderId="8" xfId="0" applyNumberFormat="1" applyFont="1" applyFill="1" applyBorder="1" applyAlignment="1">
      <alignment vertical="center"/>
    </xf>
    <xf numFmtId="3" fontId="25" fillId="22" borderId="9" xfId="0" applyNumberFormat="1" applyFont="1" applyFill="1" applyBorder="1" applyAlignment="1">
      <alignment vertical="center"/>
    </xf>
    <xf numFmtId="0" fontId="31" fillId="8" borderId="189" xfId="0" applyFont="1" applyFill="1" applyBorder="1" applyAlignment="1">
      <alignment vertical="top"/>
    </xf>
    <xf numFmtId="3" fontId="31" fillId="8" borderId="189" xfId="0" applyNumberFormat="1" applyFont="1" applyFill="1" applyBorder="1" applyAlignment="1">
      <alignment vertical="top"/>
    </xf>
    <xf numFmtId="3" fontId="27" fillId="2" borderId="21" xfId="4" applyNumberFormat="1" applyFont="1" applyFill="1" applyBorder="1" applyAlignment="1">
      <alignment vertical="center" wrapText="1"/>
    </xf>
    <xf numFmtId="0" fontId="80" fillId="6" borderId="0" xfId="4" applyFont="1" applyFill="1" applyBorder="1" applyAlignment="1">
      <alignment horizontal="left" vertical="center"/>
    </xf>
    <xf numFmtId="3" fontId="33" fillId="0" borderId="7" xfId="6" applyNumberFormat="1" applyFont="1" applyFill="1" applyBorder="1" applyAlignment="1">
      <alignment vertical="center"/>
    </xf>
    <xf numFmtId="43" fontId="33" fillId="0" borderId="35" xfId="1" applyFont="1" applyFill="1" applyBorder="1" applyAlignment="1">
      <alignment vertical="center"/>
    </xf>
    <xf numFmtId="3" fontId="31" fillId="0" borderId="141" xfId="4" applyNumberFormat="1" applyFont="1" applyFill="1" applyBorder="1" applyAlignment="1">
      <alignment vertical="center"/>
    </xf>
    <xf numFmtId="3" fontId="25" fillId="6" borderId="7" xfId="4" applyNumberFormat="1" applyFont="1" applyFill="1" applyBorder="1" applyAlignment="1">
      <alignment vertical="center"/>
    </xf>
    <xf numFmtId="3" fontId="80" fillId="6" borderId="35" xfId="4" applyNumberFormat="1" applyFont="1" applyFill="1" applyBorder="1" applyAlignment="1">
      <alignment vertical="center"/>
    </xf>
    <xf numFmtId="0" fontId="7" fillId="0" borderId="196" xfId="4" applyFont="1" applyFill="1" applyBorder="1" applyAlignment="1">
      <alignment vertical="center"/>
    </xf>
    <xf numFmtId="43" fontId="7" fillId="0" borderId="9" xfId="1" applyFont="1" applyFill="1" applyBorder="1" applyAlignment="1">
      <alignment horizontal="right" vertical="center"/>
    </xf>
    <xf numFmtId="0" fontId="32" fillId="0" borderId="185" xfId="0" applyFont="1" applyBorder="1" applyAlignment="1">
      <alignment vertical="center"/>
    </xf>
    <xf numFmtId="0" fontId="33" fillId="0" borderId="68" xfId="0" applyFont="1" applyBorder="1" applyAlignment="1">
      <alignment vertical="center"/>
    </xf>
    <xf numFmtId="43" fontId="27" fillId="0" borderId="189" xfId="1" applyFont="1" applyFill="1" applyBorder="1" applyAlignment="1">
      <alignment vertical="center"/>
    </xf>
    <xf numFmtId="3" fontId="31" fillId="25" borderId="199" xfId="4" applyNumberFormat="1" applyFont="1" applyFill="1" applyBorder="1" applyAlignment="1">
      <alignment horizontal="right" vertical="center"/>
    </xf>
    <xf numFmtId="3" fontId="31" fillId="25" borderId="24" xfId="4" applyNumberFormat="1" applyFont="1" applyFill="1" applyBorder="1" applyAlignment="1">
      <alignment horizontal="right" vertical="center"/>
    </xf>
    <xf numFmtId="0" fontId="7" fillId="8" borderId="65" xfId="4" applyFont="1" applyFill="1" applyBorder="1" applyAlignment="1">
      <alignment vertical="center"/>
    </xf>
    <xf numFmtId="3" fontId="31" fillId="28" borderId="185" xfId="0" applyNumberFormat="1" applyFont="1" applyFill="1" applyBorder="1" applyAlignment="1">
      <alignment vertical="center"/>
    </xf>
    <xf numFmtId="43" fontId="31" fillId="28" borderId="185" xfId="1" applyFont="1" applyFill="1" applyBorder="1" applyAlignment="1">
      <alignment vertical="center"/>
    </xf>
    <xf numFmtId="3" fontId="27" fillId="25" borderId="192" xfId="0" applyNumberFormat="1" applyFont="1" applyFill="1" applyBorder="1" applyAlignment="1">
      <alignment vertical="center"/>
    </xf>
    <xf numFmtId="3" fontId="31" fillId="25" borderId="127" xfId="4" applyNumberFormat="1" applyFont="1" applyFill="1" applyBorder="1" applyAlignment="1">
      <alignment horizontal="right" vertical="center"/>
    </xf>
    <xf numFmtId="0" fontId="27" fillId="2" borderId="83" xfId="4" applyFont="1" applyFill="1" applyBorder="1" applyAlignment="1">
      <alignment vertical="top"/>
    </xf>
    <xf numFmtId="0" fontId="7" fillId="0" borderId="189" xfId="4" applyFont="1" applyFill="1" applyBorder="1" applyAlignment="1">
      <alignment vertical="center"/>
    </xf>
    <xf numFmtId="43" fontId="24" fillId="8" borderId="18" xfId="1" applyFont="1" applyFill="1" applyBorder="1" applyAlignment="1">
      <alignment horizontal="right" vertical="center"/>
    </xf>
    <xf numFmtId="3" fontId="24" fillId="8" borderId="18" xfId="4" applyNumberFormat="1" applyFont="1" applyFill="1" applyBorder="1" applyAlignment="1">
      <alignment horizontal="right" vertical="center"/>
    </xf>
    <xf numFmtId="3" fontId="33" fillId="8" borderId="77" xfId="6" applyNumberFormat="1" applyFont="1" applyFill="1" applyBorder="1" applyAlignment="1">
      <alignment horizontal="right" vertical="center"/>
    </xf>
    <xf numFmtId="3" fontId="24" fillId="8" borderId="77" xfId="0" applyNumberFormat="1" applyFont="1" applyFill="1" applyBorder="1" applyAlignment="1">
      <alignment vertical="center"/>
    </xf>
    <xf numFmtId="3" fontId="24" fillId="8" borderId="18" xfId="0" applyNumberFormat="1" applyFont="1" applyFill="1" applyBorder="1" applyAlignment="1">
      <alignment vertical="center"/>
    </xf>
    <xf numFmtId="3" fontId="24" fillId="8" borderId="17" xfId="0" applyNumberFormat="1" applyFont="1" applyFill="1" applyBorder="1" applyAlignment="1">
      <alignment vertical="center"/>
    </xf>
    <xf numFmtId="3" fontId="63" fillId="8" borderId="77" xfId="6" applyNumberFormat="1" applyFont="1" applyFill="1" applyBorder="1" applyAlignment="1">
      <alignment vertical="center"/>
    </xf>
    <xf numFmtId="3" fontId="7" fillId="8" borderId="18" xfId="4" applyNumberFormat="1" applyFont="1" applyFill="1" applyBorder="1" applyAlignment="1">
      <alignment horizontal="right" vertical="center"/>
    </xf>
    <xf numFmtId="43" fontId="24" fillId="8" borderId="17" xfId="1" applyFont="1" applyFill="1" applyBorder="1" applyAlignment="1">
      <alignment horizontal="right" vertical="center"/>
    </xf>
    <xf numFmtId="43" fontId="23" fillId="6" borderId="9" xfId="1" applyFont="1" applyFill="1" applyBorder="1" applyAlignment="1">
      <alignment horizontal="right" vertical="center"/>
    </xf>
    <xf numFmtId="3" fontId="25" fillId="8" borderId="77" xfId="4" applyNumberFormat="1" applyFont="1" applyFill="1" applyBorder="1" applyAlignment="1">
      <alignment vertical="center"/>
    </xf>
    <xf numFmtId="3" fontId="25" fillId="8" borderId="18" xfId="4" applyNumberFormat="1" applyFont="1" applyFill="1" applyBorder="1" applyAlignment="1">
      <alignment horizontal="right" vertical="center"/>
    </xf>
    <xf numFmtId="3" fontId="25" fillId="8" borderId="17" xfId="4" applyNumberFormat="1" applyFont="1" applyFill="1" applyBorder="1" applyAlignment="1">
      <alignment horizontal="right" vertical="center"/>
    </xf>
    <xf numFmtId="3" fontId="32" fillId="0" borderId="185" xfId="6" applyNumberFormat="1" applyFont="1" applyFill="1" applyBorder="1" applyAlignment="1">
      <alignment vertical="center"/>
    </xf>
    <xf numFmtId="0" fontId="25" fillId="8" borderId="1" xfId="0" applyFont="1" applyFill="1" applyBorder="1" applyAlignment="1">
      <alignment horizontal="center" vertical="center" wrapText="1"/>
    </xf>
    <xf numFmtId="0" fontId="25" fillId="8" borderId="77" xfId="0" applyFont="1" applyFill="1" applyBorder="1" applyAlignment="1">
      <alignment horizontal="center" vertical="center" wrapText="1"/>
    </xf>
    <xf numFmtId="3" fontId="25" fillId="8" borderId="18" xfId="0" applyNumberFormat="1" applyFont="1" applyFill="1" applyBorder="1" applyAlignment="1">
      <alignment vertical="top"/>
    </xf>
    <xf numFmtId="3" fontId="31" fillId="0" borderId="15" xfId="4" applyNumberFormat="1" applyFont="1" applyFill="1" applyBorder="1" applyAlignment="1">
      <alignment vertical="center"/>
    </xf>
    <xf numFmtId="0" fontId="31" fillId="8" borderId="18" xfId="0" applyFont="1" applyFill="1" applyBorder="1" applyAlignment="1">
      <alignment vertical="top"/>
    </xf>
    <xf numFmtId="0" fontId="25" fillId="8" borderId="7" xfId="0" applyFont="1" applyFill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 wrapText="1"/>
    </xf>
    <xf numFmtId="3" fontId="7" fillId="8" borderId="18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3" fontId="24" fillId="8" borderId="192" xfId="4" applyNumberFormat="1" applyFont="1" applyFill="1" applyBorder="1" applyAlignment="1">
      <alignment horizontal="center" vertical="center"/>
    </xf>
    <xf numFmtId="3" fontId="24" fillId="8" borderId="18" xfId="4" applyNumberFormat="1" applyFont="1" applyFill="1" applyBorder="1" applyAlignment="1">
      <alignment horizontal="center" vertical="center"/>
    </xf>
    <xf numFmtId="0" fontId="18" fillId="8" borderId="18" xfId="0" applyFont="1" applyFill="1" applyBorder="1" applyAlignment="1">
      <alignment vertical="center"/>
    </xf>
    <xf numFmtId="0" fontId="18" fillId="8" borderId="17" xfId="0" applyFont="1" applyFill="1" applyBorder="1" applyAlignment="1">
      <alignment vertical="center"/>
    </xf>
    <xf numFmtId="43" fontId="7" fillId="8" borderId="18" xfId="1" applyFont="1" applyFill="1" applyBorder="1" applyAlignment="1">
      <alignment vertical="center"/>
    </xf>
    <xf numFmtId="3" fontId="7" fillId="8" borderId="17" xfId="0" applyNumberFormat="1" applyFont="1" applyFill="1" applyBorder="1" applyAlignment="1">
      <alignment vertical="center"/>
    </xf>
    <xf numFmtId="3" fontId="31" fillId="8" borderId="77" xfId="0" applyNumberFormat="1" applyFont="1" applyFill="1" applyBorder="1" applyAlignment="1">
      <alignment vertical="center"/>
    </xf>
    <xf numFmtId="43" fontId="31" fillId="8" borderId="18" xfId="1" applyFont="1" applyFill="1" applyBorder="1" applyAlignment="1">
      <alignment vertical="center"/>
    </xf>
    <xf numFmtId="0" fontId="31" fillId="8" borderId="18" xfId="0" applyFont="1" applyFill="1" applyBorder="1" applyAlignment="1">
      <alignment vertical="center"/>
    </xf>
    <xf numFmtId="0" fontId="31" fillId="8" borderId="17" xfId="0" applyFont="1" applyFill="1" applyBorder="1" applyAlignment="1">
      <alignment vertical="center"/>
    </xf>
    <xf numFmtId="3" fontId="24" fillId="8" borderId="77" xfId="4" applyNumberFormat="1" applyFont="1" applyFill="1" applyBorder="1" applyAlignment="1">
      <alignment vertical="center"/>
    </xf>
    <xf numFmtId="3" fontId="24" fillId="8" borderId="18" xfId="4" applyNumberFormat="1" applyFont="1" applyFill="1" applyBorder="1" applyAlignment="1">
      <alignment vertical="center"/>
    </xf>
    <xf numFmtId="0" fontId="7" fillId="8" borderId="18" xfId="112" applyFont="1" applyFill="1" applyBorder="1" applyAlignment="1">
      <alignment vertical="center"/>
    </xf>
    <xf numFmtId="3" fontId="7" fillId="8" borderId="18" xfId="112" applyNumberFormat="1" applyFont="1" applyFill="1" applyBorder="1" applyAlignment="1">
      <alignment vertical="center"/>
    </xf>
    <xf numFmtId="3" fontId="7" fillId="8" borderId="17" xfId="112" applyNumberFormat="1" applyFont="1" applyFill="1" applyBorder="1" applyAlignment="1">
      <alignment vertical="center"/>
    </xf>
    <xf numFmtId="43" fontId="8" fillId="0" borderId="29" xfId="1" applyFont="1" applyFill="1" applyBorder="1" applyAlignment="1">
      <alignment vertical="center" wrapText="1"/>
    </xf>
    <xf numFmtId="3" fontId="6" fillId="3" borderId="83" xfId="0" applyNumberFormat="1" applyFont="1" applyFill="1" applyBorder="1" applyAlignment="1">
      <alignment horizontal="right" vertical="center" wrapText="1"/>
    </xf>
    <xf numFmtId="3" fontId="6" fillId="3" borderId="21" xfId="0" applyNumberFormat="1" applyFont="1" applyFill="1" applyBorder="1" applyAlignment="1">
      <alignment horizontal="right" vertical="center" wrapText="1"/>
    </xf>
    <xf numFmtId="0" fontId="25" fillId="6" borderId="116" xfId="4" applyFont="1" applyFill="1" applyBorder="1" applyAlignment="1">
      <alignment horizontal="left" vertical="center"/>
    </xf>
    <xf numFmtId="3" fontId="27" fillId="2" borderId="119" xfId="4" applyNumberFormat="1" applyFont="1" applyFill="1" applyBorder="1" applyAlignment="1">
      <alignment vertical="center" wrapText="1"/>
    </xf>
    <xf numFmtId="3" fontId="33" fillId="0" borderId="125" xfId="6" applyNumberFormat="1" applyFont="1" applyFill="1" applyBorder="1" applyAlignment="1">
      <alignment vertical="center"/>
    </xf>
    <xf numFmtId="3" fontId="27" fillId="0" borderId="123" xfId="4" applyNumberFormat="1" applyFont="1" applyFill="1" applyBorder="1" applyAlignment="1">
      <alignment horizontal="right" vertical="center"/>
    </xf>
    <xf numFmtId="3" fontId="29" fillId="0" borderId="114" xfId="4" applyNumberFormat="1" applyFont="1" applyFill="1" applyBorder="1" applyAlignment="1">
      <alignment horizontal="right" vertical="center"/>
    </xf>
    <xf numFmtId="0" fontId="7" fillId="0" borderId="119" xfId="4" applyFont="1" applyFill="1" applyBorder="1" applyAlignment="1">
      <alignment vertical="center"/>
    </xf>
    <xf numFmtId="3" fontId="27" fillId="2" borderId="116" xfId="4" applyNumberFormat="1" applyFont="1" applyFill="1" applyBorder="1" applyAlignment="1">
      <alignment vertical="center" wrapText="1"/>
    </xf>
    <xf numFmtId="3" fontId="33" fillId="0" borderId="189" xfId="1" applyNumberFormat="1" applyFont="1" applyFill="1" applyBorder="1" applyAlignment="1">
      <alignment vertical="center"/>
    </xf>
    <xf numFmtId="3" fontId="7" fillId="0" borderId="189" xfId="1" applyNumberFormat="1" applyFont="1" applyFill="1" applyBorder="1" applyAlignment="1">
      <alignment horizontal="right" vertical="center"/>
    </xf>
    <xf numFmtId="43" fontId="18" fillId="8" borderId="18" xfId="1" applyFont="1" applyFill="1" applyBorder="1" applyAlignment="1">
      <alignment vertical="center"/>
    </xf>
    <xf numFmtId="3" fontId="18" fillId="8" borderId="18" xfId="0" applyNumberFormat="1" applyFont="1" applyFill="1" applyBorder="1" applyAlignment="1">
      <alignment vertical="center"/>
    </xf>
    <xf numFmtId="0" fontId="25" fillId="6" borderId="91" xfId="4" applyFont="1" applyFill="1" applyBorder="1" applyAlignment="1">
      <alignment horizontal="left" vertical="center"/>
    </xf>
    <xf numFmtId="0" fontId="20" fillId="6" borderId="28" xfId="4" applyFont="1" applyFill="1" applyBorder="1" applyAlignment="1">
      <alignment horizontal="left" vertical="center"/>
    </xf>
    <xf numFmtId="3" fontId="27" fillId="2" borderId="91" xfId="4" applyNumberFormat="1" applyFont="1" applyFill="1" applyBorder="1" applyAlignment="1">
      <alignment vertical="center" wrapText="1"/>
    </xf>
    <xf numFmtId="43" fontId="27" fillId="0" borderId="93" xfId="1" applyFont="1" applyFill="1" applyBorder="1" applyAlignment="1">
      <alignment horizontal="right" vertical="center"/>
    </xf>
    <xf numFmtId="3" fontId="29" fillId="0" borderId="92" xfId="4" applyNumberFormat="1" applyFont="1" applyFill="1" applyBorder="1" applyAlignment="1">
      <alignment horizontal="right" vertical="center"/>
    </xf>
    <xf numFmtId="43" fontId="24" fillId="6" borderId="90" xfId="1" applyFont="1" applyFill="1" applyBorder="1" applyAlignment="1">
      <alignment vertical="center"/>
    </xf>
    <xf numFmtId="0" fontId="27" fillId="50" borderId="139" xfId="4" applyFont="1" applyFill="1" applyBorder="1" applyAlignment="1">
      <alignment horizontal="left" vertical="center"/>
    </xf>
    <xf numFmtId="0" fontId="27" fillId="50" borderId="130" xfId="4" applyFont="1" applyFill="1" applyBorder="1" applyAlignment="1">
      <alignment horizontal="left" vertical="center"/>
    </xf>
    <xf numFmtId="3" fontId="27" fillId="50" borderId="132" xfId="4" applyNumberFormat="1" applyFont="1" applyFill="1" applyBorder="1" applyAlignment="1">
      <alignment horizontal="right" vertical="center"/>
    </xf>
    <xf numFmtId="0" fontId="27" fillId="50" borderId="10" xfId="4" applyFont="1" applyFill="1" applyBorder="1" applyAlignment="1">
      <alignment horizontal="left" vertical="center"/>
    </xf>
    <xf numFmtId="0" fontId="27" fillId="50" borderId="13" xfId="4" applyFont="1" applyFill="1" applyBorder="1" applyAlignment="1">
      <alignment horizontal="left" vertical="center"/>
    </xf>
    <xf numFmtId="0" fontId="27" fillId="50" borderId="72" xfId="0" applyFont="1" applyFill="1" applyBorder="1" applyAlignment="1">
      <alignment horizontal="left" vertical="top"/>
    </xf>
    <xf numFmtId="0" fontId="28" fillId="50" borderId="12" xfId="0" quotePrefix="1" applyFont="1" applyFill="1" applyBorder="1" applyAlignment="1">
      <alignment horizontal="center" vertical="top"/>
    </xf>
    <xf numFmtId="0" fontId="27" fillId="8" borderId="130" xfId="4" applyFont="1" applyFill="1" applyBorder="1" applyAlignment="1">
      <alignment vertical="center"/>
    </xf>
    <xf numFmtId="3" fontId="27" fillId="8" borderId="130" xfId="0" applyNumberFormat="1" applyFont="1" applyFill="1" applyBorder="1" applyAlignment="1">
      <alignment vertical="top"/>
    </xf>
    <xf numFmtId="3" fontId="27" fillId="23" borderId="130" xfId="0" applyNumberFormat="1" applyFont="1" applyFill="1" applyBorder="1" applyAlignment="1">
      <alignment vertical="top"/>
    </xf>
    <xf numFmtId="0" fontId="31" fillId="8" borderId="130" xfId="0" applyFont="1" applyFill="1" applyBorder="1" applyAlignment="1">
      <alignment vertical="top"/>
    </xf>
    <xf numFmtId="3" fontId="31" fillId="8" borderId="130" xfId="0" applyNumberFormat="1" applyFont="1" applyFill="1" applyBorder="1" applyAlignment="1">
      <alignment vertical="top"/>
    </xf>
    <xf numFmtId="3" fontId="28" fillId="23" borderId="130" xfId="0" applyNumberFormat="1" applyFont="1" applyFill="1" applyBorder="1" applyAlignment="1">
      <alignment horizontal="center" vertical="top"/>
    </xf>
    <xf numFmtId="3" fontId="27" fillId="23" borderId="130" xfId="0" applyNumberFormat="1" applyFont="1" applyFill="1" applyBorder="1" applyAlignment="1">
      <alignment horizontal="center" vertical="top"/>
    </xf>
    <xf numFmtId="0" fontId="31" fillId="8" borderId="130" xfId="4" applyFont="1" applyFill="1" applyBorder="1" applyAlignment="1">
      <alignment vertical="center"/>
    </xf>
    <xf numFmtId="3" fontId="31" fillId="23" borderId="130" xfId="0" applyNumberFormat="1" applyFont="1" applyFill="1" applyBorder="1" applyAlignment="1">
      <alignment horizontal="center" vertical="top"/>
    </xf>
    <xf numFmtId="0" fontId="31" fillId="8" borderId="35" xfId="4" applyFont="1" applyFill="1" applyBorder="1" applyAlignment="1">
      <alignment vertical="center"/>
    </xf>
    <xf numFmtId="0" fontId="27" fillId="8" borderId="35" xfId="4" applyFont="1" applyFill="1" applyBorder="1" applyAlignment="1">
      <alignment vertical="center"/>
    </xf>
    <xf numFmtId="3" fontId="27" fillId="8" borderId="35" xfId="0" applyNumberFormat="1" applyFont="1" applyFill="1" applyBorder="1" applyAlignment="1">
      <alignment vertical="top"/>
    </xf>
    <xf numFmtId="0" fontId="31" fillId="8" borderId="124" xfId="4" applyFont="1" applyFill="1" applyBorder="1" applyAlignment="1">
      <alignment vertical="center"/>
    </xf>
    <xf numFmtId="0" fontId="31" fillId="0" borderId="189" xfId="0" applyFont="1" applyFill="1" applyBorder="1" applyAlignment="1">
      <alignment horizontal="left" vertical="center" wrapText="1"/>
    </xf>
    <xf numFmtId="3" fontId="25" fillId="8" borderId="77" xfId="0" applyNumberFormat="1" applyFont="1" applyFill="1" applyBorder="1" applyAlignment="1">
      <alignment vertical="top"/>
    </xf>
    <xf numFmtId="3" fontId="25" fillId="8" borderId="18" xfId="0" applyNumberFormat="1" applyFont="1" applyFill="1" applyBorder="1" applyAlignment="1">
      <alignment vertical="center"/>
    </xf>
    <xf numFmtId="3" fontId="25" fillId="8" borderId="17" xfId="0" applyNumberFormat="1" applyFont="1" applyFill="1" applyBorder="1" applyAlignment="1">
      <alignment vertical="top"/>
    </xf>
    <xf numFmtId="3" fontId="25" fillId="23" borderId="44" xfId="0" applyNumberFormat="1" applyFont="1" applyFill="1" applyBorder="1" applyAlignment="1">
      <alignment vertical="top"/>
    </xf>
    <xf numFmtId="0" fontId="7" fillId="6" borderId="188" xfId="0" applyFont="1" applyFill="1" applyBorder="1" applyAlignment="1">
      <alignment vertical="top"/>
    </xf>
    <xf numFmtId="3" fontId="25" fillId="6" borderId="189" xfId="0" applyNumberFormat="1" applyFont="1" applyFill="1" applyBorder="1" applyAlignment="1"/>
    <xf numFmtId="43" fontId="25" fillId="6" borderId="189" xfId="1" applyFont="1" applyFill="1" applyBorder="1" applyAlignment="1"/>
    <xf numFmtId="3" fontId="25" fillId="22" borderId="184" xfId="0" applyNumberFormat="1" applyFont="1" applyFill="1" applyBorder="1" applyAlignment="1"/>
    <xf numFmtId="3" fontId="29" fillId="2" borderId="208" xfId="4" applyNumberFormat="1" applyFont="1" applyFill="1" applyBorder="1" applyAlignment="1">
      <alignment vertical="top" wrapText="1"/>
    </xf>
    <xf numFmtId="3" fontId="27" fillId="2" borderId="189" xfId="0" applyNumberFormat="1" applyFont="1" applyFill="1" applyBorder="1" applyAlignment="1"/>
    <xf numFmtId="43" fontId="27" fillId="2" borderId="189" xfId="1" applyFont="1" applyFill="1" applyBorder="1" applyAlignment="1"/>
    <xf numFmtId="3" fontId="27" fillId="2" borderId="35" xfId="0" applyNumberFormat="1" applyFont="1" applyFill="1" applyBorder="1" applyAlignment="1">
      <alignment vertical="center"/>
    </xf>
    <xf numFmtId="3" fontId="27" fillId="25" borderId="184" xfId="0" applyNumberFormat="1" applyFont="1" applyFill="1" applyBorder="1" applyAlignment="1"/>
    <xf numFmtId="0" fontId="7" fillId="0" borderId="208" xfId="0" applyFont="1" applyFill="1" applyBorder="1" applyAlignment="1">
      <alignment vertical="center"/>
    </xf>
    <xf numFmtId="3" fontId="31" fillId="25" borderId="184" xfId="0" applyNumberFormat="1" applyFont="1" applyFill="1" applyBorder="1" applyAlignment="1"/>
    <xf numFmtId="0" fontId="7" fillId="0" borderId="208" xfId="0" applyFont="1" applyFill="1" applyBorder="1" applyAlignment="1">
      <alignment vertical="top"/>
    </xf>
    <xf numFmtId="43" fontId="31" fillId="0" borderId="189" xfId="1" applyFont="1" applyFill="1" applyBorder="1" applyAlignment="1"/>
    <xf numFmtId="3" fontId="31" fillId="25" borderId="184" xfId="0" applyNumberFormat="1" applyFont="1" applyFill="1" applyBorder="1" applyAlignment="1">
      <alignment horizontal="center" vertical="top"/>
    </xf>
    <xf numFmtId="0" fontId="7" fillId="0" borderId="208" xfId="0" applyFont="1" applyFill="1" applyBorder="1" applyAlignment="1">
      <alignment horizontal="left" vertical="center"/>
    </xf>
    <xf numFmtId="3" fontId="31" fillId="25" borderId="184" xfId="0" applyNumberFormat="1" applyFont="1" applyFill="1" applyBorder="1" applyAlignment="1">
      <alignment vertical="top"/>
    </xf>
    <xf numFmtId="43" fontId="0" fillId="0" borderId="189" xfId="1" applyFont="1" applyBorder="1"/>
    <xf numFmtId="3" fontId="27" fillId="23" borderId="184" xfId="0" applyNumberFormat="1" applyFont="1" applyFill="1" applyBorder="1" applyAlignment="1"/>
    <xf numFmtId="3" fontId="31" fillId="25" borderId="195" xfId="0" applyNumberFormat="1" applyFont="1" applyFill="1" applyBorder="1" applyAlignment="1">
      <alignment vertical="top"/>
    </xf>
    <xf numFmtId="43" fontId="31" fillId="0" borderId="199" xfId="1" applyFont="1" applyFill="1" applyBorder="1" applyAlignment="1"/>
    <xf numFmtId="3" fontId="31" fillId="25" borderId="126" xfId="0" applyNumberFormat="1" applyFont="1" applyFill="1" applyBorder="1" applyAlignment="1">
      <alignment vertical="top"/>
    </xf>
    <xf numFmtId="0" fontId="24" fillId="8" borderId="163" xfId="4" applyFont="1" applyFill="1" applyBorder="1" applyAlignment="1">
      <alignment vertical="center" wrapText="1"/>
    </xf>
    <xf numFmtId="0" fontId="24" fillId="8" borderId="163" xfId="4" applyFont="1" applyFill="1" applyBorder="1" applyAlignment="1">
      <alignment horizontal="center" vertical="center" wrapText="1"/>
    </xf>
    <xf numFmtId="0" fontId="28" fillId="0" borderId="163" xfId="4" applyFont="1" applyFill="1" applyBorder="1" applyAlignment="1">
      <alignment vertical="center"/>
    </xf>
    <xf numFmtId="43" fontId="28" fillId="0" borderId="163" xfId="1" applyFont="1" applyFill="1" applyBorder="1" applyAlignment="1">
      <alignment horizontal="right" vertical="center"/>
    </xf>
    <xf numFmtId="3" fontId="28" fillId="0" borderId="163" xfId="4" applyNumberFormat="1" applyFont="1" applyFill="1" applyBorder="1" applyAlignment="1">
      <alignment horizontal="right" vertical="center"/>
    </xf>
    <xf numFmtId="0" fontId="29" fillId="2" borderId="163" xfId="4" applyFont="1" applyFill="1" applyBorder="1" applyAlignment="1">
      <alignment vertical="center"/>
    </xf>
    <xf numFmtId="0" fontId="23" fillId="0" borderId="43" xfId="0" applyFont="1" applyBorder="1" applyAlignment="1">
      <alignment vertical="center" wrapText="1"/>
    </xf>
    <xf numFmtId="43" fontId="31" fillId="0" borderId="29" xfId="1" applyFont="1" applyFill="1" applyBorder="1" applyAlignment="1">
      <alignment vertical="center"/>
    </xf>
    <xf numFmtId="0" fontId="7" fillId="0" borderId="124" xfId="4" applyFont="1" applyFill="1" applyBorder="1" applyAlignment="1">
      <alignment vertical="center"/>
    </xf>
    <xf numFmtId="0" fontId="23" fillId="0" borderId="41" xfId="0" applyFont="1" applyBorder="1" applyAlignment="1">
      <alignment vertical="center" wrapText="1"/>
    </xf>
    <xf numFmtId="0" fontId="25" fillId="8" borderId="19" xfId="4" applyFont="1" applyFill="1" applyBorder="1" applyAlignment="1">
      <alignment vertical="center" wrapText="1"/>
    </xf>
    <xf numFmtId="0" fontId="31" fillId="0" borderId="36" xfId="4" applyFont="1" applyFill="1" applyBorder="1" applyAlignment="1">
      <alignment horizontal="left" vertical="center"/>
    </xf>
    <xf numFmtId="0" fontId="24" fillId="8" borderId="38" xfId="4" applyFont="1" applyFill="1" applyBorder="1" applyAlignment="1">
      <alignment horizontal="center" vertical="center" wrapText="1"/>
    </xf>
    <xf numFmtId="0" fontId="7" fillId="0" borderId="36" xfId="4" applyFont="1" applyFill="1" applyBorder="1" applyAlignment="1">
      <alignment vertical="center"/>
    </xf>
    <xf numFmtId="0" fontId="24" fillId="6" borderId="190" xfId="4" applyFont="1" applyFill="1" applyBorder="1" applyAlignment="1">
      <alignment horizontal="left" vertical="center"/>
    </xf>
    <xf numFmtId="3" fontId="29" fillId="2" borderId="208" xfId="4" applyNumberFormat="1" applyFont="1" applyFill="1" applyBorder="1" applyAlignment="1">
      <alignment vertical="center" wrapText="1"/>
    </xf>
    <xf numFmtId="0" fontId="7" fillId="0" borderId="208" xfId="4" applyFont="1" applyFill="1" applyBorder="1" applyAlignment="1">
      <alignment vertical="center"/>
    </xf>
    <xf numFmtId="3" fontId="7" fillId="25" borderId="164" xfId="4" applyNumberFormat="1" applyFont="1" applyFill="1" applyBorder="1" applyAlignment="1">
      <alignment horizontal="right" vertical="center"/>
    </xf>
    <xf numFmtId="0" fontId="29" fillId="2" borderId="208" xfId="4" applyFont="1" applyFill="1" applyBorder="1" applyAlignment="1">
      <alignment vertical="center"/>
    </xf>
    <xf numFmtId="0" fontId="24" fillId="6" borderId="121" xfId="4" applyFont="1" applyFill="1" applyBorder="1" applyAlignment="1">
      <alignment horizontal="left" vertical="center"/>
    </xf>
    <xf numFmtId="43" fontId="7" fillId="0" borderId="174" xfId="1" applyFont="1" applyFill="1" applyBorder="1" applyAlignment="1">
      <alignment vertical="center"/>
    </xf>
    <xf numFmtId="3" fontId="29" fillId="2" borderId="169" xfId="4" applyNumberFormat="1" applyFont="1" applyFill="1" applyBorder="1" applyAlignment="1">
      <alignment vertical="center" wrapText="1"/>
    </xf>
    <xf numFmtId="0" fontId="24" fillId="6" borderId="168" xfId="4" applyFont="1" applyFill="1" applyBorder="1" applyAlignment="1">
      <alignment horizontal="left" vertical="center"/>
    </xf>
    <xf numFmtId="43" fontId="7" fillId="0" borderId="163" xfId="1" applyFont="1" applyFill="1" applyBorder="1" applyAlignment="1">
      <alignment vertical="center"/>
    </xf>
    <xf numFmtId="43" fontId="7" fillId="0" borderId="189" xfId="1" applyFont="1" applyFill="1" applyBorder="1" applyAlignment="1">
      <alignment vertical="center"/>
    </xf>
    <xf numFmtId="0" fontId="7" fillId="0" borderId="203" xfId="4" applyFont="1" applyFill="1" applyBorder="1" applyAlignment="1">
      <alignment vertical="center"/>
    </xf>
    <xf numFmtId="3" fontId="24" fillId="6" borderId="192" xfId="4" applyNumberFormat="1" applyFont="1" applyFill="1" applyBorder="1" applyAlignment="1">
      <alignment horizontal="right" vertical="center"/>
    </xf>
    <xf numFmtId="3" fontId="29" fillId="0" borderId="183" xfId="4" applyNumberFormat="1" applyFont="1" applyFill="1" applyBorder="1" applyAlignment="1">
      <alignment horizontal="right" vertical="center"/>
    </xf>
    <xf numFmtId="43" fontId="7" fillId="0" borderId="174" xfId="1" applyFont="1" applyFill="1" applyBorder="1" applyAlignment="1">
      <alignment horizontal="right" vertical="center"/>
    </xf>
    <xf numFmtId="43" fontId="31" fillId="0" borderId="200" xfId="1" applyFont="1" applyFill="1" applyBorder="1" applyAlignment="1">
      <alignment vertical="center"/>
    </xf>
    <xf numFmtId="3" fontId="29" fillId="2" borderId="9" xfId="4" applyNumberFormat="1" applyFont="1" applyFill="1" applyBorder="1" applyAlignment="1">
      <alignment vertical="center"/>
    </xf>
    <xf numFmtId="43" fontId="31" fillId="0" borderId="204" xfId="1" applyFont="1" applyFill="1" applyBorder="1" applyAlignment="1">
      <alignment horizontal="right" vertical="center"/>
    </xf>
    <xf numFmtId="0" fontId="4" fillId="0" borderId="26" xfId="0" applyFont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43" fontId="33" fillId="0" borderId="88" xfId="1" applyFont="1" applyFill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20" fillId="6" borderId="190" xfId="4" applyFont="1" applyFill="1" applyBorder="1" applyAlignment="1">
      <alignment horizontal="left" vertical="center"/>
    </xf>
    <xf numFmtId="43" fontId="31" fillId="0" borderId="180" xfId="1" applyFont="1" applyFill="1" applyBorder="1" applyAlignment="1">
      <alignment vertical="center"/>
    </xf>
    <xf numFmtId="3" fontId="29" fillId="0" borderId="180" xfId="4" applyNumberFormat="1" applyFont="1" applyFill="1" applyBorder="1" applyAlignment="1">
      <alignment horizontal="right" vertical="center"/>
    </xf>
    <xf numFmtId="0" fontId="20" fillId="6" borderId="168" xfId="4" applyFont="1" applyFill="1" applyBorder="1" applyAlignment="1">
      <alignment horizontal="left" vertical="center"/>
    </xf>
    <xf numFmtId="43" fontId="29" fillId="0" borderId="165" xfId="1" applyFont="1" applyFill="1" applyBorder="1" applyAlignment="1">
      <alignment horizontal="right" vertical="center"/>
    </xf>
    <xf numFmtId="3" fontId="29" fillId="0" borderId="165" xfId="4" applyNumberFormat="1" applyFont="1" applyFill="1" applyBorder="1" applyAlignment="1">
      <alignment horizontal="right" vertical="center"/>
    </xf>
    <xf numFmtId="0" fontId="18" fillId="0" borderId="42" xfId="0" applyFont="1" applyFill="1" applyBorder="1" applyAlignment="1">
      <alignment vertical="center" wrapText="1"/>
    </xf>
    <xf numFmtId="3" fontId="25" fillId="22" borderId="88" xfId="4" applyNumberFormat="1" applyFont="1" applyFill="1" applyBorder="1" applyAlignment="1">
      <alignment horizontal="right" vertical="center"/>
    </xf>
    <xf numFmtId="3" fontId="27" fillId="0" borderId="93" xfId="4" applyNumberFormat="1" applyFont="1" applyFill="1" applyBorder="1" applyAlignment="1">
      <alignment horizontal="right" vertical="center"/>
    </xf>
    <xf numFmtId="3" fontId="31" fillId="0" borderId="92" xfId="4" applyNumberFormat="1" applyFont="1" applyFill="1" applyBorder="1" applyAlignment="1">
      <alignment horizontal="right" vertical="center"/>
    </xf>
    <xf numFmtId="0" fontId="28" fillId="59" borderId="31" xfId="4" applyFont="1" applyFill="1" applyBorder="1" applyAlignment="1">
      <alignment horizontal="right" vertical="center"/>
    </xf>
    <xf numFmtId="3" fontId="31" fillId="59" borderId="63" xfId="4" applyNumberFormat="1" applyFont="1" applyFill="1" applyBorder="1" applyAlignment="1">
      <alignment vertical="center"/>
    </xf>
    <xf numFmtId="3" fontId="28" fillId="59" borderId="180" xfId="4" applyNumberFormat="1" applyFont="1" applyFill="1" applyBorder="1" applyAlignment="1">
      <alignment vertical="center"/>
    </xf>
    <xf numFmtId="3" fontId="28" fillId="59" borderId="180" xfId="4" applyNumberFormat="1" applyFont="1" applyFill="1" applyBorder="1" applyAlignment="1">
      <alignment horizontal="right" vertical="center"/>
    </xf>
    <xf numFmtId="3" fontId="28" fillId="23" borderId="29" xfId="4" applyNumberFormat="1" applyFont="1" applyFill="1" applyBorder="1" applyAlignment="1">
      <alignment vertical="center"/>
    </xf>
    <xf numFmtId="0" fontId="28" fillId="52" borderId="31" xfId="4" applyFont="1" applyFill="1" applyBorder="1" applyAlignment="1">
      <alignment horizontal="right" vertical="center"/>
    </xf>
    <xf numFmtId="3" fontId="31" fillId="52" borderId="63" xfId="4" applyNumberFormat="1" applyFont="1" applyFill="1" applyBorder="1" applyAlignment="1">
      <alignment vertical="center"/>
    </xf>
    <xf numFmtId="3" fontId="28" fillId="52" borderId="180" xfId="4" applyNumberFormat="1" applyFont="1" applyFill="1" applyBorder="1" applyAlignment="1">
      <alignment vertical="center"/>
    </xf>
    <xf numFmtId="3" fontId="28" fillId="52" borderId="180" xfId="4" applyNumberFormat="1" applyFont="1" applyFill="1" applyBorder="1" applyAlignment="1">
      <alignment horizontal="right" vertical="center"/>
    </xf>
    <xf numFmtId="0" fontId="4" fillId="0" borderId="75" xfId="0" applyFont="1" applyBorder="1" applyAlignment="1">
      <alignment vertical="center"/>
    </xf>
    <xf numFmtId="0" fontId="24" fillId="8" borderId="18" xfId="0" applyFont="1" applyFill="1" applyBorder="1" applyAlignment="1">
      <alignment horizontal="center" vertical="center" wrapText="1"/>
    </xf>
    <xf numFmtId="3" fontId="7" fillId="23" borderId="18" xfId="0" applyNumberFormat="1" applyFont="1" applyFill="1" applyBorder="1" applyAlignment="1">
      <alignment vertical="center"/>
    </xf>
    <xf numFmtId="3" fontId="7" fillId="23" borderId="17" xfId="0" applyNumberFormat="1" applyFont="1" applyFill="1" applyBorder="1" applyAlignment="1">
      <alignment vertical="center"/>
    </xf>
    <xf numFmtId="3" fontId="25" fillId="22" borderId="7" xfId="4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25" fillId="6" borderId="188" xfId="4" applyFont="1" applyFill="1" applyBorder="1" applyAlignment="1">
      <alignment horizontal="left" vertical="center"/>
    </xf>
    <xf numFmtId="3" fontId="24" fillId="32" borderId="188" xfId="4" applyNumberFormat="1" applyFont="1" applyFill="1" applyBorder="1" applyAlignment="1">
      <alignment vertical="center"/>
    </xf>
    <xf numFmtId="3" fontId="31" fillId="2" borderId="208" xfId="4" applyNumberFormat="1" applyFont="1" applyFill="1" applyBorder="1" applyAlignment="1">
      <alignment vertical="center" wrapText="1"/>
    </xf>
    <xf numFmtId="3" fontId="31" fillId="32" borderId="188" xfId="4" applyNumberFormat="1" applyFont="1" applyFill="1" applyBorder="1" applyAlignment="1">
      <alignment vertical="center"/>
    </xf>
    <xf numFmtId="3" fontId="27" fillId="2" borderId="75" xfId="4" applyNumberFormat="1" applyFont="1" applyFill="1" applyBorder="1" applyAlignment="1">
      <alignment vertical="center" wrapText="1"/>
    </xf>
    <xf numFmtId="0" fontId="4" fillId="0" borderId="128" xfId="0" applyFont="1" applyBorder="1" applyAlignment="1">
      <alignment vertical="center"/>
    </xf>
    <xf numFmtId="164" fontId="24" fillId="6" borderId="188" xfId="1" applyNumberFormat="1" applyFont="1" applyFill="1" applyBorder="1" applyAlignment="1">
      <alignment vertical="center"/>
    </xf>
    <xf numFmtId="3" fontId="7" fillId="0" borderId="180" xfId="1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3" fontId="25" fillId="8" borderId="77" xfId="4" applyNumberFormat="1" applyFont="1" applyFill="1" applyBorder="1" applyAlignment="1">
      <alignment horizontal="center" vertical="center"/>
    </xf>
    <xf numFmtId="3" fontId="25" fillId="6" borderId="168" xfId="4" applyNumberFormat="1" applyFont="1" applyFill="1" applyBorder="1" applyAlignment="1">
      <alignment vertical="center"/>
    </xf>
    <xf numFmtId="3" fontId="25" fillId="22" borderId="163" xfId="4" applyNumberFormat="1" applyFont="1" applyFill="1" applyBorder="1" applyAlignment="1">
      <alignment vertical="center"/>
    </xf>
    <xf numFmtId="3" fontId="29" fillId="0" borderId="163" xfId="4" applyNumberFormat="1" applyFont="1" applyFill="1" applyBorder="1" applyAlignment="1">
      <alignment horizontal="right" vertical="center"/>
    </xf>
    <xf numFmtId="43" fontId="29" fillId="0" borderId="163" xfId="1" applyFont="1" applyFill="1" applyBorder="1" applyAlignment="1">
      <alignment horizontal="right" vertical="center"/>
    </xf>
    <xf numFmtId="3" fontId="7" fillId="25" borderId="124" xfId="4" applyNumberFormat="1" applyFont="1" applyFill="1" applyBorder="1" applyAlignment="1">
      <alignment vertical="top"/>
    </xf>
    <xf numFmtId="0" fontId="4" fillId="0" borderId="82" xfId="0" applyFont="1" applyBorder="1" applyAlignment="1">
      <alignment vertical="center"/>
    </xf>
    <xf numFmtId="0" fontId="4" fillId="0" borderId="179" xfId="0" applyFont="1" applyBorder="1"/>
    <xf numFmtId="3" fontId="4" fillId="0" borderId="179" xfId="0" applyNumberFormat="1" applyFont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0" fontId="4" fillId="0" borderId="6" xfId="0" applyFont="1" applyBorder="1" applyAlignment="1">
      <alignment wrapText="1" shrinkToFit="1"/>
    </xf>
    <xf numFmtId="0" fontId="4" fillId="0" borderId="22" xfId="0" applyFont="1" applyBorder="1" applyAlignment="1"/>
    <xf numFmtId="0" fontId="4" fillId="0" borderId="189" xfId="0" applyFont="1" applyBorder="1"/>
    <xf numFmtId="0" fontId="4" fillId="0" borderId="189" xfId="0" applyFont="1" applyBorder="1" applyAlignment="1">
      <alignment vertical="center"/>
    </xf>
    <xf numFmtId="3" fontId="4" fillId="0" borderId="189" xfId="0" applyNumberFormat="1" applyFont="1" applyBorder="1"/>
    <xf numFmtId="3" fontId="27" fillId="25" borderId="130" xfId="0" applyNumberFormat="1" applyFont="1" applyFill="1" applyBorder="1" applyAlignment="1">
      <alignment vertical="top"/>
    </xf>
    <xf numFmtId="0" fontId="31" fillId="0" borderId="130" xfId="0" applyFont="1" applyFill="1" applyBorder="1" applyAlignment="1">
      <alignment vertical="top" wrapText="1"/>
    </xf>
    <xf numFmtId="0" fontId="32" fillId="0" borderId="130" xfId="0" applyFont="1" applyBorder="1"/>
    <xf numFmtId="3" fontId="25" fillId="0" borderId="35" xfId="0" applyNumberFormat="1" applyFont="1" applyFill="1" applyBorder="1" applyAlignment="1">
      <alignment vertical="top"/>
    </xf>
    <xf numFmtId="0" fontId="31" fillId="2" borderId="130" xfId="4" applyFont="1" applyFill="1" applyBorder="1" applyAlignment="1">
      <alignment vertical="center"/>
    </xf>
    <xf numFmtId="0" fontId="23" fillId="6" borderId="130" xfId="0" applyFont="1" applyFill="1" applyBorder="1" applyAlignment="1">
      <alignment horizontal="center" vertical="center"/>
    </xf>
    <xf numFmtId="0" fontId="27" fillId="2" borderId="35" xfId="4" applyFont="1" applyFill="1" applyBorder="1" applyAlignment="1">
      <alignment vertical="center"/>
    </xf>
    <xf numFmtId="0" fontId="31" fillId="2" borderId="124" xfId="4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top"/>
    </xf>
    <xf numFmtId="3" fontId="31" fillId="2" borderId="130" xfId="0" applyNumberFormat="1" applyFont="1" applyFill="1" applyBorder="1" applyAlignment="1">
      <alignment vertical="top"/>
    </xf>
    <xf numFmtId="3" fontId="31" fillId="2" borderId="130" xfId="0" applyNumberFormat="1" applyFont="1" applyFill="1" applyBorder="1" applyAlignment="1">
      <alignment vertical="center"/>
    </xf>
    <xf numFmtId="0" fontId="27" fillId="0" borderId="130" xfId="0" applyFont="1" applyFill="1" applyBorder="1" applyAlignment="1">
      <alignment vertical="center" wrapText="1"/>
    </xf>
    <xf numFmtId="3" fontId="27" fillId="0" borderId="130" xfId="0" applyNumberFormat="1" applyFont="1" applyFill="1" applyBorder="1" applyAlignment="1">
      <alignment vertical="center"/>
    </xf>
    <xf numFmtId="0" fontId="31" fillId="0" borderId="130" xfId="0" applyFont="1" applyFill="1" applyBorder="1" applyAlignment="1">
      <alignment vertical="center" wrapText="1"/>
    </xf>
    <xf numFmtId="3" fontId="31" fillId="25" borderId="197" xfId="0" applyNumberFormat="1" applyFont="1" applyFill="1" applyBorder="1" applyAlignment="1">
      <alignment horizontal="center" vertical="top"/>
    </xf>
    <xf numFmtId="3" fontId="25" fillId="2" borderId="130" xfId="0" applyNumberFormat="1" applyFont="1" applyFill="1" applyBorder="1" applyAlignment="1">
      <alignment vertical="top"/>
    </xf>
    <xf numFmtId="0" fontId="27" fillId="0" borderId="130" xfId="0" applyFont="1" applyFill="1" applyBorder="1" applyAlignment="1">
      <alignment vertical="top" wrapText="1"/>
    </xf>
    <xf numFmtId="0" fontId="31" fillId="0" borderId="124" xfId="4" applyFont="1" applyFill="1" applyBorder="1" applyAlignment="1">
      <alignment vertical="center"/>
    </xf>
    <xf numFmtId="0" fontId="25" fillId="8" borderId="35" xfId="0" applyFont="1" applyFill="1" applyBorder="1" applyAlignment="1">
      <alignment vertical="center" wrapText="1"/>
    </xf>
    <xf numFmtId="3" fontId="27" fillId="0" borderId="130" xfId="4" applyNumberFormat="1" applyFont="1" applyFill="1" applyBorder="1" applyAlignment="1">
      <alignment vertical="top" wrapText="1"/>
    </xf>
    <xf numFmtId="0" fontId="33" fillId="0" borderId="130" xfId="0" applyFont="1" applyBorder="1" applyAlignment="1">
      <alignment vertical="center"/>
    </xf>
    <xf numFmtId="0" fontId="31" fillId="6" borderId="130" xfId="0" applyFont="1" applyFill="1" applyBorder="1" applyAlignment="1">
      <alignment vertical="center"/>
    </xf>
    <xf numFmtId="3" fontId="25" fillId="6" borderId="130" xfId="0" applyNumberFormat="1" applyFont="1" applyFill="1" applyBorder="1" applyAlignment="1">
      <alignment vertical="center"/>
    </xf>
    <xf numFmtId="3" fontId="27" fillId="2" borderId="130" xfId="0" applyNumberFormat="1" applyFont="1" applyFill="1" applyBorder="1" applyAlignment="1">
      <alignment vertical="center"/>
    </xf>
    <xf numFmtId="3" fontId="28" fillId="51" borderId="9" xfId="0" applyNumberFormat="1" applyFont="1" applyFill="1" applyBorder="1" applyAlignment="1">
      <alignment vertical="center"/>
    </xf>
    <xf numFmtId="3" fontId="28" fillId="2" borderId="206" xfId="0" applyNumberFormat="1" applyFont="1" applyFill="1" applyBorder="1" applyAlignment="1">
      <alignment vertical="top"/>
    </xf>
    <xf numFmtId="0" fontId="66" fillId="6" borderId="170" xfId="4" applyFont="1" applyFill="1" applyBorder="1" applyAlignment="1">
      <alignment horizontal="left" vertical="center"/>
    </xf>
    <xf numFmtId="3" fontId="24" fillId="6" borderId="179" xfId="0" applyNumberFormat="1" applyFont="1" applyFill="1" applyBorder="1" applyAlignment="1">
      <alignment vertical="center"/>
    </xf>
    <xf numFmtId="3" fontId="24" fillId="6" borderId="163" xfId="0" applyNumberFormat="1" applyFont="1" applyFill="1" applyBorder="1" applyAlignment="1">
      <alignment vertical="center"/>
    </xf>
    <xf numFmtId="3" fontId="24" fillId="22" borderId="35" xfId="0" applyNumberFormat="1" applyFont="1" applyFill="1" applyBorder="1" applyAlignment="1">
      <alignment vertical="center"/>
    </xf>
    <xf numFmtId="3" fontId="29" fillId="0" borderId="179" xfId="0" applyNumberFormat="1" applyFont="1" applyFill="1" applyBorder="1" applyAlignment="1">
      <alignment vertical="center"/>
    </xf>
    <xf numFmtId="3" fontId="29" fillId="0" borderId="163" xfId="0" applyNumberFormat="1" applyFont="1" applyFill="1" applyBorder="1" applyAlignment="1">
      <alignment vertical="center"/>
    </xf>
    <xf numFmtId="3" fontId="29" fillId="25" borderId="163" xfId="0" applyNumberFormat="1" applyFont="1" applyFill="1" applyBorder="1" applyAlignment="1">
      <alignment vertical="top"/>
    </xf>
    <xf numFmtId="0" fontId="8" fillId="0" borderId="128" xfId="0" applyFont="1" applyFill="1" applyBorder="1" applyAlignment="1">
      <alignment vertical="center" wrapText="1"/>
    </xf>
    <xf numFmtId="3" fontId="7" fillId="0" borderId="173" xfId="4" applyNumberFormat="1" applyFont="1" applyFill="1" applyBorder="1" applyAlignment="1">
      <alignment vertical="center"/>
    </xf>
    <xf numFmtId="3" fontId="38" fillId="2" borderId="132" xfId="0" applyNumberFormat="1" applyFont="1" applyFill="1" applyBorder="1" applyAlignment="1">
      <alignment vertical="top"/>
    </xf>
    <xf numFmtId="3" fontId="7" fillId="25" borderId="130" xfId="0" applyNumberFormat="1" applyFont="1" applyFill="1" applyBorder="1" applyAlignment="1">
      <alignment vertical="top"/>
    </xf>
    <xf numFmtId="3" fontId="7" fillId="0" borderId="164" xfId="4" applyNumberFormat="1" applyFont="1" applyFill="1" applyBorder="1" applyAlignment="1">
      <alignment vertical="center"/>
    </xf>
    <xf numFmtId="0" fontId="29" fillId="2" borderId="128" xfId="4" applyFont="1" applyFill="1" applyBorder="1" applyAlignment="1">
      <alignment vertical="top"/>
    </xf>
    <xf numFmtId="3" fontId="29" fillId="0" borderId="179" xfId="0" applyNumberFormat="1" applyFont="1" applyFill="1" applyBorder="1" applyAlignment="1">
      <alignment horizontal="right" vertical="center"/>
    </xf>
    <xf numFmtId="3" fontId="29" fillId="0" borderId="163" xfId="0" applyNumberFormat="1" applyFont="1" applyFill="1" applyBorder="1" applyAlignment="1">
      <alignment horizontal="right" vertical="center"/>
    </xf>
    <xf numFmtId="3" fontId="38" fillId="0" borderId="179" xfId="0" applyNumberFormat="1" applyFont="1" applyFill="1" applyBorder="1" applyAlignment="1">
      <alignment vertical="center"/>
    </xf>
    <xf numFmtId="3" fontId="7" fillId="25" borderId="130" xfId="0" applyNumberFormat="1" applyFont="1" applyFill="1" applyBorder="1" applyAlignment="1">
      <alignment vertical="center"/>
    </xf>
    <xf numFmtId="3" fontId="38" fillId="0" borderId="173" xfId="0" applyNumberFormat="1" applyFont="1" applyFill="1" applyBorder="1" applyAlignment="1">
      <alignment vertical="center"/>
    </xf>
    <xf numFmtId="3" fontId="7" fillId="0" borderId="163" xfId="0" applyNumberFormat="1" applyFont="1" applyFill="1" applyBorder="1" applyAlignment="1">
      <alignment vertical="center"/>
    </xf>
    <xf numFmtId="3" fontId="7" fillId="0" borderId="124" xfId="4" applyNumberFormat="1" applyFont="1" applyFill="1" applyBorder="1" applyAlignment="1">
      <alignment vertical="center"/>
    </xf>
    <xf numFmtId="0" fontId="24" fillId="8" borderId="32" xfId="0" applyFont="1" applyFill="1" applyBorder="1" applyAlignment="1">
      <alignment vertical="center" wrapText="1"/>
    </xf>
    <xf numFmtId="0" fontId="24" fillId="8" borderId="111" xfId="0" applyFont="1" applyFill="1" applyBorder="1" applyAlignment="1">
      <alignment horizontal="center" vertical="center" wrapText="1"/>
    </xf>
    <xf numFmtId="3" fontId="7" fillId="8" borderId="108" xfId="0" applyNumberFormat="1" applyFont="1" applyFill="1" applyBorder="1" applyAlignment="1">
      <alignment vertical="top"/>
    </xf>
    <xf numFmtId="3" fontId="7" fillId="8" borderId="106" xfId="0" applyNumberFormat="1" applyFont="1" applyFill="1" applyBorder="1" applyAlignment="1">
      <alignment vertical="top"/>
    </xf>
    <xf numFmtId="0" fontId="7" fillId="8" borderId="106" xfId="0" applyFont="1" applyFill="1" applyBorder="1" applyAlignment="1">
      <alignment vertical="top"/>
    </xf>
    <xf numFmtId="0" fontId="7" fillId="8" borderId="101" xfId="0" applyFont="1" applyFill="1" applyBorder="1" applyAlignment="1">
      <alignment vertical="top"/>
    </xf>
    <xf numFmtId="3" fontId="24" fillId="22" borderId="100" xfId="0" applyNumberFormat="1" applyFont="1" applyFill="1" applyBorder="1" applyAlignment="1">
      <alignment horizontal="center" vertical="center"/>
    </xf>
    <xf numFmtId="0" fontId="66" fillId="6" borderId="102" xfId="4" applyFont="1" applyFill="1" applyBorder="1" applyAlignment="1">
      <alignment horizontal="left" vertical="center"/>
    </xf>
    <xf numFmtId="3" fontId="24" fillId="6" borderId="9" xfId="0" applyNumberFormat="1" applyFont="1" applyFill="1" applyBorder="1" applyAlignment="1">
      <alignment vertical="center"/>
    </xf>
    <xf numFmtId="3" fontId="29" fillId="0" borderId="100" xfId="0" applyNumberFormat="1" applyFont="1" applyFill="1" applyBorder="1" applyAlignment="1">
      <alignment vertical="center"/>
    </xf>
    <xf numFmtId="3" fontId="29" fillId="0" borderId="100" xfId="0" applyNumberFormat="1" applyFont="1" applyFill="1" applyBorder="1" applyAlignment="1">
      <alignment vertical="top"/>
    </xf>
    <xf numFmtId="3" fontId="24" fillId="22" borderId="100" xfId="0" applyNumberFormat="1" applyFont="1" applyFill="1" applyBorder="1" applyAlignment="1">
      <alignment horizontal="right" vertical="center"/>
    </xf>
    <xf numFmtId="3" fontId="7" fillId="0" borderId="100" xfId="0" applyNumberFormat="1" applyFont="1" applyFill="1" applyBorder="1" applyAlignment="1">
      <alignment vertical="center"/>
    </xf>
    <xf numFmtId="3" fontId="7" fillId="0" borderId="100" xfId="0" applyNumberFormat="1" applyFont="1" applyFill="1" applyBorder="1" applyAlignment="1">
      <alignment vertical="top"/>
    </xf>
    <xf numFmtId="3" fontId="7" fillId="22" borderId="100" xfId="0" applyNumberFormat="1" applyFont="1" applyFill="1" applyBorder="1" applyAlignment="1">
      <alignment horizontal="right" vertical="center"/>
    </xf>
    <xf numFmtId="3" fontId="38" fillId="0" borderId="100" xfId="0" applyNumberFormat="1" applyFont="1" applyFill="1" applyBorder="1" applyAlignment="1">
      <alignment vertical="center"/>
    </xf>
    <xf numFmtId="3" fontId="38" fillId="0" borderId="100" xfId="0" applyNumberFormat="1" applyFont="1" applyFill="1" applyBorder="1" applyAlignment="1">
      <alignment vertical="top"/>
    </xf>
    <xf numFmtId="0" fontId="7" fillId="0" borderId="103" xfId="0" applyFont="1" applyFill="1" applyBorder="1" applyAlignment="1">
      <alignment horizontal="center" vertical="center" wrapText="1"/>
    </xf>
    <xf numFmtId="0" fontId="25" fillId="8" borderId="20" xfId="0" applyFont="1" applyFill="1" applyBorder="1" applyAlignment="1">
      <alignment horizontal="center" vertical="center" wrapText="1"/>
    </xf>
    <xf numFmtId="0" fontId="62" fillId="6" borderId="28" xfId="4" applyFont="1" applyFill="1" applyBorder="1" applyAlignment="1">
      <alignment horizontal="left" vertical="center"/>
    </xf>
    <xf numFmtId="3" fontId="60" fillId="22" borderId="88" xfId="0" applyNumberFormat="1" applyFont="1" applyFill="1" applyBorder="1" applyAlignment="1">
      <alignment horizontal="right" vertical="center"/>
    </xf>
    <xf numFmtId="3" fontId="7" fillId="22" borderId="199" xfId="0" applyNumberFormat="1" applyFont="1" applyFill="1" applyBorder="1" applyAlignment="1">
      <alignment horizontal="right" vertical="center"/>
    </xf>
    <xf numFmtId="3" fontId="27" fillId="22" borderId="88" xfId="0" applyNumberFormat="1" applyFont="1" applyFill="1" applyBorder="1" applyAlignment="1">
      <alignment horizontal="right" vertical="center"/>
    </xf>
    <xf numFmtId="3" fontId="27" fillId="22" borderId="39" xfId="0" applyNumberFormat="1" applyFont="1" applyFill="1" applyBorder="1" applyAlignment="1">
      <alignment horizontal="right" vertical="center"/>
    </xf>
    <xf numFmtId="0" fontId="17" fillId="2" borderId="40" xfId="0" applyFont="1" applyFill="1" applyBorder="1" applyAlignment="1">
      <alignment vertical="center" wrapText="1"/>
    </xf>
    <xf numFmtId="3" fontId="7" fillId="22" borderId="39" xfId="0" applyNumberFormat="1" applyFont="1" applyFill="1" applyBorder="1" applyAlignment="1">
      <alignment horizontal="right" vertical="center"/>
    </xf>
    <xf numFmtId="3" fontId="28" fillId="0" borderId="88" xfId="0" applyNumberFormat="1" applyFont="1" applyFill="1" applyBorder="1" applyAlignment="1">
      <alignment vertical="top"/>
    </xf>
    <xf numFmtId="0" fontId="7" fillId="0" borderId="95" xfId="0" applyFont="1" applyFill="1" applyBorder="1" applyAlignment="1">
      <alignment vertical="center" wrapText="1"/>
    </xf>
    <xf numFmtId="3" fontId="28" fillId="0" borderId="199" xfId="0" applyNumberFormat="1" applyFont="1" applyFill="1" applyBorder="1" applyAlignment="1">
      <alignment vertical="center"/>
    </xf>
    <xf numFmtId="3" fontId="28" fillId="0" borderId="199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horizontal="left" vertical="center" wrapText="1"/>
    </xf>
    <xf numFmtId="3" fontId="25" fillId="6" borderId="17" xfId="0" applyNumberFormat="1" applyFont="1" applyFill="1" applyBorder="1" applyAlignment="1">
      <alignment vertical="center"/>
    </xf>
    <xf numFmtId="0" fontId="17" fillId="0" borderId="26" xfId="0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 vertical="center" wrapText="1"/>
    </xf>
    <xf numFmtId="3" fontId="28" fillId="0" borderId="47" xfId="0" applyNumberFormat="1" applyFont="1" applyFill="1" applyBorder="1" applyAlignment="1">
      <alignment vertical="center"/>
    </xf>
    <xf numFmtId="3" fontId="28" fillId="0" borderId="47" xfId="0" applyNumberFormat="1" applyFont="1" applyFill="1" applyBorder="1" applyAlignment="1">
      <alignment vertical="top"/>
    </xf>
    <xf numFmtId="0" fontId="4" fillId="0" borderId="24" xfId="0" applyFont="1" applyBorder="1"/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 wrapText="1"/>
    </xf>
    <xf numFmtId="3" fontId="4" fillId="0" borderId="0" xfId="0" applyNumberFormat="1" applyFont="1" applyBorder="1" applyAlignment="1">
      <alignment vertical="top"/>
    </xf>
    <xf numFmtId="0" fontId="4" fillId="0" borderId="24" xfId="0" applyFont="1" applyBorder="1" applyAlignment="1">
      <alignment vertical="top"/>
    </xf>
    <xf numFmtId="0" fontId="4" fillId="0" borderId="24" xfId="0" applyFont="1" applyBorder="1" applyAlignment="1">
      <alignment horizontal="center" vertical="top" wrapText="1"/>
    </xf>
    <xf numFmtId="0" fontId="4" fillId="0" borderId="51" xfId="0" applyFont="1" applyBorder="1" applyAlignment="1">
      <alignment vertical="top"/>
    </xf>
    <xf numFmtId="0" fontId="4" fillId="0" borderId="51" xfId="0" applyFont="1" applyBorder="1" applyAlignment="1">
      <alignment horizontal="center" vertical="top" wrapText="1"/>
    </xf>
    <xf numFmtId="0" fontId="4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 wrapText="1"/>
    </xf>
    <xf numFmtId="2" fontId="4" fillId="0" borderId="0" xfId="0" applyNumberFormat="1" applyFont="1" applyBorder="1"/>
    <xf numFmtId="0" fontId="34" fillId="0" borderId="39" xfId="0" applyFont="1" applyFill="1" applyBorder="1" applyAlignment="1">
      <alignment vertical="top"/>
    </xf>
    <xf numFmtId="3" fontId="27" fillId="50" borderId="68" xfId="4" applyNumberFormat="1" applyFont="1" applyFill="1" applyBorder="1" applyAlignment="1">
      <alignment horizontal="right" vertical="center"/>
    </xf>
    <xf numFmtId="3" fontId="27" fillId="21" borderId="77" xfId="4" applyNumberFormat="1" applyFont="1" applyFill="1" applyBorder="1" applyAlignment="1">
      <alignment horizontal="right" vertical="center"/>
    </xf>
    <xf numFmtId="3" fontId="27" fillId="50" borderId="35" xfId="4" applyNumberFormat="1" applyFont="1" applyFill="1" applyBorder="1" applyAlignment="1">
      <alignment horizontal="right" vertical="center"/>
    </xf>
    <xf numFmtId="0" fontId="17" fillId="28" borderId="25" xfId="0" applyFont="1" applyFill="1" applyBorder="1" applyAlignment="1">
      <alignment vertical="top"/>
    </xf>
    <xf numFmtId="3" fontId="7" fillId="23" borderId="69" xfId="0" applyNumberFormat="1" applyFont="1" applyFill="1" applyBorder="1" applyAlignment="1">
      <alignment vertical="center"/>
    </xf>
    <xf numFmtId="3" fontId="24" fillId="22" borderId="31" xfId="0" applyNumberFormat="1" applyFont="1" applyFill="1" applyBorder="1" applyAlignment="1">
      <alignment vertical="top"/>
    </xf>
    <xf numFmtId="3" fontId="29" fillId="26" borderId="31" xfId="0" applyNumberFormat="1" applyFont="1" applyFill="1" applyBorder="1" applyAlignment="1">
      <alignment vertical="center"/>
    </xf>
    <xf numFmtId="2" fontId="4" fillId="0" borderId="3" xfId="0" applyNumberFormat="1" applyFont="1" applyBorder="1" applyAlignment="1">
      <alignment horizontal="center" vertical="center"/>
    </xf>
    <xf numFmtId="2" fontId="4" fillId="0" borderId="11" xfId="0" applyNumberFormat="1" applyFont="1" applyBorder="1"/>
    <xf numFmtId="2" fontId="4" fillId="0" borderId="189" xfId="0" applyNumberFormat="1" applyFont="1" applyBorder="1"/>
    <xf numFmtId="2" fontId="4" fillId="0" borderId="189" xfId="0" applyNumberFormat="1" applyFont="1" applyBorder="1" applyAlignment="1">
      <alignment vertical="center"/>
    </xf>
    <xf numFmtId="2" fontId="4" fillId="0" borderId="51" xfId="0" applyNumberFormat="1" applyFont="1" applyBorder="1"/>
    <xf numFmtId="2" fontId="4" fillId="0" borderId="3" xfId="0" applyNumberFormat="1" applyFont="1" applyBorder="1"/>
    <xf numFmtId="0" fontId="4" fillId="0" borderId="0" xfId="0" applyFont="1" applyFill="1" applyBorder="1" applyAlignment="1">
      <alignment vertical="top"/>
    </xf>
    <xf numFmtId="3" fontId="25" fillId="23" borderId="2" xfId="0" applyNumberFormat="1" applyFont="1" applyFill="1" applyBorder="1" applyAlignment="1">
      <alignment vertical="top"/>
    </xf>
    <xf numFmtId="0" fontId="7" fillId="6" borderId="190" xfId="0" applyFont="1" applyFill="1" applyBorder="1" applyAlignment="1">
      <alignment vertical="top"/>
    </xf>
    <xf numFmtId="43" fontId="25" fillId="6" borderId="192" xfId="1" applyFont="1" applyFill="1" applyBorder="1" applyAlignment="1"/>
    <xf numFmtId="3" fontId="25" fillId="22" borderId="197" xfId="0" applyNumberFormat="1" applyFont="1" applyFill="1" applyBorder="1" applyAlignment="1"/>
    <xf numFmtId="43" fontId="27" fillId="2" borderId="192" xfId="1" applyFont="1" applyFill="1" applyBorder="1" applyAlignment="1">
      <alignment vertical="center"/>
    </xf>
    <xf numFmtId="3" fontId="27" fillId="23" borderId="197" xfId="0" applyNumberFormat="1" applyFont="1" applyFill="1" applyBorder="1" applyAlignment="1"/>
    <xf numFmtId="43" fontId="31" fillId="0" borderId="192" xfId="1" applyFont="1" applyFill="1" applyBorder="1" applyAlignment="1">
      <alignment vertical="center"/>
    </xf>
    <xf numFmtId="0" fontId="7" fillId="0" borderId="25" xfId="0" applyFont="1" applyFill="1" applyBorder="1" applyAlignment="1">
      <alignment vertical="center"/>
    </xf>
    <xf numFmtId="3" fontId="31" fillId="0" borderId="12" xfId="0" applyNumberFormat="1" applyFont="1" applyFill="1" applyBorder="1" applyAlignment="1">
      <alignment vertical="center"/>
    </xf>
    <xf numFmtId="43" fontId="31" fillId="0" borderId="127" xfId="1" applyFont="1" applyFill="1" applyBorder="1" applyAlignment="1">
      <alignment vertical="center"/>
    </xf>
    <xf numFmtId="3" fontId="31" fillId="25" borderId="141" xfId="0" applyNumberFormat="1" applyFont="1" applyFill="1" applyBorder="1" applyAlignment="1">
      <alignment vertical="top"/>
    </xf>
    <xf numFmtId="0" fontId="24" fillId="8" borderId="5" xfId="0" applyFont="1" applyFill="1" applyBorder="1" applyAlignment="1">
      <alignment vertical="top" wrapText="1"/>
    </xf>
    <xf numFmtId="3" fontId="31" fillId="23" borderId="45" xfId="0" applyNumberFormat="1" applyFont="1" applyFill="1" applyBorder="1" applyAlignment="1"/>
    <xf numFmtId="3" fontId="31" fillId="23" borderId="18" xfId="0" applyNumberFormat="1" applyFont="1" applyFill="1" applyBorder="1" applyAlignment="1"/>
    <xf numFmtId="0" fontId="7" fillId="6" borderId="168" xfId="0" applyFont="1" applyFill="1" applyBorder="1" applyAlignment="1">
      <alignment vertical="top"/>
    </xf>
    <xf numFmtId="3" fontId="25" fillId="6" borderId="174" xfId="0" applyNumberFormat="1" applyFont="1" applyFill="1" applyBorder="1" applyAlignment="1"/>
    <xf numFmtId="3" fontId="25" fillId="22" borderId="169" xfId="0" applyNumberFormat="1" applyFont="1" applyFill="1" applyBorder="1" applyAlignment="1"/>
    <xf numFmtId="3" fontId="25" fillId="22" borderId="192" xfId="0" applyNumberFormat="1" applyFont="1" applyFill="1" applyBorder="1" applyAlignment="1"/>
    <xf numFmtId="3" fontId="27" fillId="23" borderId="166" xfId="0" applyNumberFormat="1" applyFont="1" applyFill="1" applyBorder="1" applyAlignment="1"/>
    <xf numFmtId="3" fontId="31" fillId="0" borderId="124" xfId="4" applyNumberFormat="1" applyFont="1" applyFill="1" applyBorder="1" applyAlignment="1"/>
    <xf numFmtId="3" fontId="25" fillId="22" borderId="69" xfId="0" applyNumberFormat="1" applyFont="1" applyFill="1" applyBorder="1" applyAlignment="1"/>
    <xf numFmtId="3" fontId="27" fillId="23" borderId="69" xfId="0" applyNumberFormat="1" applyFont="1" applyFill="1" applyBorder="1" applyAlignment="1"/>
    <xf numFmtId="43" fontId="31" fillId="0" borderId="132" xfId="1" applyFont="1" applyFill="1" applyBorder="1" applyAlignment="1"/>
    <xf numFmtId="43" fontId="31" fillId="0" borderId="124" xfId="1" applyFont="1" applyFill="1" applyBorder="1" applyAlignment="1"/>
    <xf numFmtId="3" fontId="31" fillId="23" borderId="142" xfId="0" applyNumberFormat="1" applyFont="1" applyFill="1" applyBorder="1" applyAlignment="1"/>
    <xf numFmtId="3" fontId="31" fillId="23" borderId="192" xfId="0" applyNumberFormat="1" applyFont="1" applyFill="1" applyBorder="1" applyAlignment="1"/>
    <xf numFmtId="3" fontId="25" fillId="23" borderId="0" xfId="0" applyNumberFormat="1" applyFont="1" applyFill="1" applyBorder="1" applyAlignment="1">
      <alignment vertical="top"/>
    </xf>
    <xf numFmtId="0" fontId="7" fillId="6" borderId="209" xfId="0" applyFont="1" applyFill="1" applyBorder="1" applyAlignment="1">
      <alignment vertical="top"/>
    </xf>
    <xf numFmtId="3" fontId="25" fillId="6" borderId="179" xfId="0" applyNumberFormat="1" applyFont="1" applyFill="1" applyBorder="1" applyAlignment="1"/>
    <xf numFmtId="43" fontId="25" fillId="6" borderId="179" xfId="1" applyFont="1" applyFill="1" applyBorder="1" applyAlignment="1"/>
    <xf numFmtId="3" fontId="25" fillId="22" borderId="210" xfId="0" applyNumberFormat="1" applyFont="1" applyFill="1" applyBorder="1" applyAlignment="1"/>
    <xf numFmtId="3" fontId="25" fillId="22" borderId="7" xfId="0" applyNumberFormat="1" applyFont="1" applyFill="1" applyBorder="1" applyAlignment="1"/>
    <xf numFmtId="3" fontId="27" fillId="2" borderId="179" xfId="0" applyNumberFormat="1" applyFont="1" applyFill="1" applyBorder="1" applyAlignment="1">
      <alignment vertical="center"/>
    </xf>
    <xf numFmtId="43" fontId="27" fillId="2" borderId="179" xfId="1" applyFont="1" applyFill="1" applyBorder="1" applyAlignment="1">
      <alignment vertical="center"/>
    </xf>
    <xf numFmtId="3" fontId="27" fillId="23" borderId="210" xfId="0" applyNumberFormat="1" applyFont="1" applyFill="1" applyBorder="1" applyAlignment="1"/>
    <xf numFmtId="3" fontId="27" fillId="23" borderId="7" xfId="0" applyNumberFormat="1" applyFont="1" applyFill="1" applyBorder="1" applyAlignment="1"/>
    <xf numFmtId="43" fontId="31" fillId="0" borderId="23" xfId="1" applyFont="1" applyFill="1" applyBorder="1" applyAlignment="1"/>
    <xf numFmtId="43" fontId="31" fillId="0" borderId="12" xfId="1" applyFont="1" applyFill="1" applyBorder="1" applyAlignment="1">
      <alignment vertical="center"/>
    </xf>
    <xf numFmtId="43" fontId="31" fillId="0" borderId="23" xfId="1" applyFont="1" applyFill="1" applyBorder="1" applyAlignment="1">
      <alignment vertical="center"/>
    </xf>
    <xf numFmtId="3" fontId="31" fillId="25" borderId="41" xfId="0" applyNumberFormat="1" applyFont="1" applyFill="1" applyBorder="1" applyAlignment="1">
      <alignment vertical="top"/>
    </xf>
    <xf numFmtId="3" fontId="31" fillId="25" borderId="72" xfId="0" applyNumberFormat="1" applyFont="1" applyFill="1" applyBorder="1" applyAlignment="1">
      <alignment vertical="top"/>
    </xf>
    <xf numFmtId="0" fontId="4" fillId="0" borderId="66" xfId="0" applyFont="1" applyBorder="1" applyAlignment="1">
      <alignment horizontal="center" vertical="top" wrapText="1"/>
    </xf>
    <xf numFmtId="0" fontId="4" fillId="0" borderId="85" xfId="0" applyFont="1" applyBorder="1" applyAlignment="1">
      <alignment horizontal="center" vertical="top" wrapText="1"/>
    </xf>
    <xf numFmtId="0" fontId="4" fillId="0" borderId="163" xfId="0" applyFont="1" applyBorder="1" applyAlignment="1">
      <alignment horizontal="center" vertical="top"/>
    </xf>
    <xf numFmtId="0" fontId="4" fillId="0" borderId="69" xfId="0" applyFont="1" applyBorder="1" applyAlignment="1">
      <alignment horizontal="center" vertical="top"/>
    </xf>
    <xf numFmtId="0" fontId="4" fillId="0" borderId="38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5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64" xfId="0" applyFont="1" applyBorder="1" applyAlignment="1">
      <alignment horizontal="center" vertical="top" wrapText="1"/>
    </xf>
    <xf numFmtId="0" fontId="4" fillId="0" borderId="65" xfId="0" applyFont="1" applyBorder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4" fillId="0" borderId="0" xfId="0" applyFont="1"/>
    <xf numFmtId="3" fontId="4" fillId="0" borderId="0" xfId="0" applyNumberFormat="1" applyFont="1"/>
    <xf numFmtId="3" fontId="4" fillId="0" borderId="8" xfId="0" applyNumberFormat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4" xfId="0" applyFont="1" applyFill="1" applyBorder="1" applyAlignment="1">
      <alignment vertical="center"/>
    </xf>
    <xf numFmtId="0" fontId="4" fillId="2" borderId="51" xfId="0" applyFont="1" applyFill="1" applyBorder="1" applyAlignment="1">
      <alignment vertical="center"/>
    </xf>
    <xf numFmtId="3" fontId="76" fillId="8" borderId="11" xfId="0" applyNumberFormat="1" applyFont="1" applyFill="1" applyBorder="1"/>
    <xf numFmtId="0" fontId="36" fillId="15" borderId="51" xfId="0" applyFont="1" applyFill="1" applyBorder="1" applyAlignment="1">
      <alignment horizontal="center" wrapText="1"/>
    </xf>
    <xf numFmtId="0" fontId="36" fillId="16" borderId="51" xfId="0" applyFont="1" applyFill="1" applyBorder="1" applyAlignment="1">
      <alignment horizontal="center" wrapText="1"/>
    </xf>
    <xf numFmtId="0" fontId="36" fillId="18" borderId="51" xfId="0" applyFont="1" applyFill="1" applyBorder="1" applyAlignment="1">
      <alignment horizontal="center"/>
    </xf>
    <xf numFmtId="0" fontId="4" fillId="0" borderId="3" xfId="0" applyFont="1" applyBorder="1"/>
    <xf numFmtId="0" fontId="31" fillId="0" borderId="208" xfId="4" applyFont="1" applyFill="1" applyBorder="1" applyAlignment="1">
      <alignment horizontal="left" vertical="center"/>
    </xf>
    <xf numFmtId="3" fontId="7" fillId="0" borderId="174" xfId="0" applyNumberFormat="1" applyFont="1" applyFill="1" applyBorder="1" applyAlignment="1">
      <alignment horizontal="right" vertical="center"/>
    </xf>
    <xf numFmtId="3" fontId="7" fillId="0" borderId="206" xfId="0" applyNumberFormat="1" applyFont="1" applyFill="1" applyBorder="1" applyAlignment="1">
      <alignment horizontal="right" vertical="center"/>
    </xf>
    <xf numFmtId="3" fontId="23" fillId="6" borderId="113" xfId="6" applyNumberFormat="1" applyFont="1" applyFill="1" applyBorder="1" applyAlignment="1">
      <alignment horizontal="right" vertical="center"/>
    </xf>
    <xf numFmtId="43" fontId="23" fillId="6" borderId="113" xfId="1" applyFont="1" applyFill="1" applyBorder="1" applyAlignment="1">
      <alignment horizontal="right" vertical="center"/>
    </xf>
    <xf numFmtId="3" fontId="25" fillId="22" borderId="112" xfId="4" applyNumberFormat="1" applyFont="1" applyFill="1" applyBorder="1" applyAlignment="1">
      <alignment horizontal="right" vertical="center"/>
    </xf>
    <xf numFmtId="3" fontId="23" fillId="6" borderId="9" xfId="6" applyNumberFormat="1" applyFont="1" applyFill="1" applyBorder="1" applyAlignment="1">
      <alignment horizontal="right" vertical="center"/>
    </xf>
    <xf numFmtId="3" fontId="24" fillId="6" borderId="183" xfId="4" applyNumberFormat="1" applyFont="1" applyFill="1" applyBorder="1" applyAlignment="1">
      <alignment vertical="center"/>
    </xf>
    <xf numFmtId="3" fontId="31" fillId="0" borderId="140" xfId="4" applyNumberFormat="1" applyFont="1" applyFill="1" applyBorder="1" applyAlignment="1">
      <alignment horizontal="right" vertical="center"/>
    </xf>
    <xf numFmtId="3" fontId="24" fillId="23" borderId="77" xfId="4" applyNumberFormat="1" applyFont="1" applyFill="1" applyBorder="1" applyAlignment="1">
      <alignment horizontal="right" vertical="center"/>
    </xf>
    <xf numFmtId="43" fontId="31" fillId="25" borderId="69" xfId="1" applyFont="1" applyFill="1" applyBorder="1" applyAlignment="1">
      <alignment vertical="top"/>
    </xf>
    <xf numFmtId="43" fontId="31" fillId="25" borderId="197" xfId="1" applyFont="1" applyFill="1" applyBorder="1" applyAlignment="1">
      <alignment vertical="top"/>
    </xf>
    <xf numFmtId="3" fontId="7" fillId="8" borderId="209" xfId="4" applyNumberFormat="1" applyFont="1" applyFill="1" applyBorder="1" applyAlignment="1">
      <alignment vertical="center" wrapText="1"/>
    </xf>
    <xf numFmtId="0" fontId="25" fillId="0" borderId="12" xfId="4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3" fillId="0" borderId="3" xfId="4" applyFont="1" applyFill="1" applyBorder="1" applyAlignment="1">
      <alignment horizontal="left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3" fontId="7" fillId="8" borderId="189" xfId="112" applyNumberFormat="1" applyFont="1" applyFill="1" applyBorder="1" applyAlignment="1">
      <alignment vertical="center"/>
    </xf>
    <xf numFmtId="0" fontId="7" fillId="8" borderId="3" xfId="112" applyFont="1" applyFill="1" applyBorder="1" applyAlignment="1">
      <alignment vertical="center"/>
    </xf>
    <xf numFmtId="3" fontId="7" fillId="8" borderId="77" xfId="112" applyNumberFormat="1" applyFont="1" applyFill="1" applyBorder="1" applyAlignment="1">
      <alignment vertical="center"/>
    </xf>
    <xf numFmtId="0" fontId="18" fillId="0" borderId="42" xfId="112" applyFont="1" applyFill="1" applyBorder="1" applyAlignment="1">
      <alignment vertical="center" wrapText="1"/>
    </xf>
    <xf numFmtId="43" fontId="7" fillId="0" borderId="130" xfId="1" applyFont="1" applyFill="1" applyBorder="1" applyAlignment="1">
      <alignment horizontal="right" vertical="center"/>
    </xf>
    <xf numFmtId="43" fontId="7" fillId="0" borderId="189" xfId="1" applyFont="1" applyFill="1" applyBorder="1" applyAlignment="1">
      <alignment horizontal="right" vertical="center"/>
    </xf>
    <xf numFmtId="0" fontId="4" fillId="0" borderId="27" xfId="112" applyFont="1" applyBorder="1" applyAlignment="1">
      <alignment vertical="center"/>
    </xf>
    <xf numFmtId="3" fontId="20" fillId="0" borderId="0" xfId="112" applyNumberFormat="1" applyFont="1" applyBorder="1" applyAlignment="1">
      <alignment vertical="center"/>
    </xf>
    <xf numFmtId="0" fontId="4" fillId="0" borderId="208" xfId="112" applyFont="1" applyBorder="1" applyAlignment="1">
      <alignment vertical="center"/>
    </xf>
    <xf numFmtId="0" fontId="25" fillId="32" borderId="134" xfId="4" applyFont="1" applyFill="1" applyBorder="1" applyAlignment="1">
      <alignment horizontal="left" vertical="center"/>
    </xf>
    <xf numFmtId="3" fontId="7" fillId="0" borderId="179" xfId="4" applyNumberFormat="1" applyFont="1" applyFill="1" applyBorder="1" applyAlignment="1">
      <alignment vertical="center"/>
    </xf>
    <xf numFmtId="43" fontId="31" fillId="32" borderId="132" xfId="1" applyFont="1" applyFill="1" applyBorder="1" applyAlignment="1">
      <alignment vertical="center"/>
    </xf>
    <xf numFmtId="43" fontId="31" fillId="32" borderId="189" xfId="1" applyFont="1" applyFill="1" applyBorder="1" applyAlignment="1">
      <alignment vertical="center"/>
    </xf>
    <xf numFmtId="0" fontId="4" fillId="0" borderId="24" xfId="112" applyFont="1" applyBorder="1" applyAlignment="1">
      <alignment vertical="center"/>
    </xf>
    <xf numFmtId="3" fontId="7" fillId="0" borderId="130" xfId="4" applyNumberFormat="1" applyFont="1" applyFill="1" applyBorder="1" applyAlignment="1">
      <alignment horizontal="right" vertical="center"/>
    </xf>
    <xf numFmtId="3" fontId="31" fillId="32" borderId="132" xfId="4" applyNumberFormat="1" applyFont="1" applyFill="1" applyBorder="1" applyAlignment="1">
      <alignment vertical="center"/>
    </xf>
    <xf numFmtId="3" fontId="31" fillId="32" borderId="189" xfId="4" applyNumberFormat="1" applyFont="1" applyFill="1" applyBorder="1" applyAlignment="1">
      <alignment vertical="center"/>
    </xf>
    <xf numFmtId="3" fontId="24" fillId="32" borderId="189" xfId="4" applyNumberFormat="1" applyFont="1" applyFill="1" applyBorder="1" applyAlignment="1">
      <alignment vertical="center"/>
    </xf>
    <xf numFmtId="3" fontId="31" fillId="0" borderId="124" xfId="112" applyNumberFormat="1" applyFont="1" applyFill="1" applyBorder="1" applyAlignment="1">
      <alignment vertical="center"/>
    </xf>
    <xf numFmtId="0" fontId="24" fillId="8" borderId="83" xfId="0" applyFont="1" applyFill="1" applyBorder="1" applyAlignment="1">
      <alignment horizontal="center" vertical="center" wrapText="1"/>
    </xf>
    <xf numFmtId="165" fontId="7" fillId="8" borderId="8" xfId="2" applyNumberFormat="1" applyFont="1" applyFill="1" applyBorder="1" applyAlignment="1">
      <alignment vertical="center"/>
    </xf>
    <xf numFmtId="3" fontId="7" fillId="8" borderId="8" xfId="0" applyNumberFormat="1" applyFont="1" applyFill="1" applyBorder="1" applyAlignment="1">
      <alignment vertical="center"/>
    </xf>
    <xf numFmtId="0" fontId="7" fillId="8" borderId="8" xfId="0" applyFont="1" applyFill="1" applyBorder="1" applyAlignment="1">
      <alignment vertical="center"/>
    </xf>
    <xf numFmtId="0" fontId="7" fillId="8" borderId="9" xfId="0" applyFont="1" applyFill="1" applyBorder="1" applyAlignment="1">
      <alignment vertical="center"/>
    </xf>
    <xf numFmtId="3" fontId="7" fillId="23" borderId="7" xfId="0" applyNumberFormat="1" applyFont="1" applyFill="1" applyBorder="1" applyAlignment="1">
      <alignment vertical="center"/>
    </xf>
    <xf numFmtId="3" fontId="31" fillId="0" borderId="180" xfId="4" applyNumberFormat="1" applyFont="1" applyFill="1" applyBorder="1" applyAlignment="1">
      <alignment horizontal="right" vertical="center"/>
    </xf>
    <xf numFmtId="0" fontId="28" fillId="59" borderId="192" xfId="4" applyFont="1" applyFill="1" applyBorder="1" applyAlignment="1">
      <alignment horizontal="right" vertical="center"/>
    </xf>
    <xf numFmtId="3" fontId="31" fillId="59" borderId="180" xfId="4" applyNumberFormat="1" applyFont="1" applyFill="1" applyBorder="1" applyAlignment="1">
      <alignment vertical="center"/>
    </xf>
    <xf numFmtId="3" fontId="28" fillId="23" borderId="188" xfId="4" applyNumberFormat="1" applyFont="1" applyFill="1" applyBorder="1" applyAlignment="1">
      <alignment vertical="center"/>
    </xf>
    <xf numFmtId="0" fontId="28" fillId="52" borderId="192" xfId="4" applyFont="1" applyFill="1" applyBorder="1" applyAlignment="1">
      <alignment horizontal="right" vertical="center"/>
    </xf>
    <xf numFmtId="3" fontId="31" fillId="52" borderId="180" xfId="4" applyNumberFormat="1" applyFont="1" applyFill="1" applyBorder="1" applyAlignment="1">
      <alignment vertical="center"/>
    </xf>
    <xf numFmtId="3" fontId="31" fillId="23" borderId="197" xfId="0" applyNumberFormat="1" applyFont="1" applyFill="1" applyBorder="1" applyAlignment="1">
      <alignment vertical="top"/>
    </xf>
    <xf numFmtId="3" fontId="31" fillId="0" borderId="39" xfId="4" applyNumberFormat="1" applyFont="1" applyFill="1" applyBorder="1" applyAlignment="1">
      <alignment vertical="center"/>
    </xf>
    <xf numFmtId="3" fontId="31" fillId="0" borderId="39" xfId="0" applyNumberFormat="1" applyFont="1" applyFill="1" applyBorder="1" applyAlignment="1">
      <alignment vertical="top"/>
    </xf>
    <xf numFmtId="3" fontId="31" fillId="0" borderId="39" xfId="0" applyNumberFormat="1" applyFont="1" applyFill="1" applyBorder="1" applyAlignment="1">
      <alignment vertical="center"/>
    </xf>
    <xf numFmtId="0" fontId="25" fillId="8" borderId="18" xfId="0" applyFont="1" applyFill="1" applyBorder="1" applyAlignment="1">
      <alignment horizontal="center" vertical="center" wrapText="1"/>
    </xf>
    <xf numFmtId="3" fontId="31" fillId="23" borderId="18" xfId="0" applyNumberFormat="1" applyFont="1" applyFill="1" applyBorder="1" applyAlignment="1">
      <alignment vertical="top"/>
    </xf>
    <xf numFmtId="3" fontId="31" fillId="23" borderId="17" xfId="0" applyNumberFormat="1" applyFont="1" applyFill="1" applyBorder="1" applyAlignment="1">
      <alignment vertical="top"/>
    </xf>
    <xf numFmtId="3" fontId="25" fillId="2" borderId="189" xfId="0" applyNumberFormat="1" applyFont="1" applyFill="1" applyBorder="1" applyAlignment="1">
      <alignment vertical="top"/>
    </xf>
    <xf numFmtId="0" fontId="20" fillId="2" borderId="66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/>
    </xf>
    <xf numFmtId="0" fontId="23" fillId="0" borderId="23" xfId="0" applyFont="1" applyBorder="1" applyAlignment="1">
      <alignment vertical="center"/>
    </xf>
    <xf numFmtId="0" fontId="21" fillId="0" borderId="72" xfId="0" applyFont="1" applyFill="1" applyBorder="1" applyAlignment="1">
      <alignment vertical="center" wrapText="1"/>
    </xf>
    <xf numFmtId="3" fontId="25" fillId="25" borderId="23" xfId="0" applyNumberFormat="1" applyFont="1" applyFill="1" applyBorder="1" applyAlignment="1">
      <alignment vertical="center"/>
    </xf>
    <xf numFmtId="0" fontId="36" fillId="15" borderId="4" xfId="0" applyFont="1" applyFill="1" applyBorder="1" applyAlignment="1">
      <alignment horizontal="center" vertical="center" wrapText="1"/>
    </xf>
    <xf numFmtId="0" fontId="36" fillId="15" borderId="23" xfId="0" applyFont="1" applyFill="1" applyBorder="1" applyAlignment="1">
      <alignment horizontal="center" vertical="center" wrapText="1"/>
    </xf>
    <xf numFmtId="0" fontId="36" fillId="16" borderId="4" xfId="0" applyFont="1" applyFill="1" applyBorder="1" applyAlignment="1">
      <alignment horizontal="center" wrapText="1"/>
    </xf>
    <xf numFmtId="0" fontId="36" fillId="16" borderId="23" xfId="0" applyFont="1" applyFill="1" applyBorder="1" applyAlignment="1">
      <alignment horizontal="center" wrapText="1"/>
    </xf>
    <xf numFmtId="0" fontId="70" fillId="2" borderId="0" xfId="0" applyFont="1" applyFill="1" applyBorder="1" applyAlignment="1">
      <alignment horizontal="center" wrapText="1"/>
    </xf>
    <xf numFmtId="0" fontId="40" fillId="2" borderId="24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72" xfId="0" applyFont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2" borderId="9" xfId="0" applyFont="1" applyFill="1" applyBorder="1" applyAlignment="1">
      <alignment horizontal="center" vertical="center" wrapText="1"/>
    </xf>
    <xf numFmtId="0" fontId="25" fillId="0" borderId="15" xfId="4" applyFont="1" applyBorder="1" applyAlignment="1">
      <alignment horizontal="center" vertical="center" wrapText="1"/>
    </xf>
    <xf numFmtId="0" fontId="25" fillId="0" borderId="13" xfId="4" applyFont="1" applyBorder="1" applyAlignment="1">
      <alignment horizontal="center" vertical="center" wrapText="1"/>
    </xf>
    <xf numFmtId="0" fontId="25" fillId="0" borderId="12" xfId="4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 wrapText="1"/>
    </xf>
    <xf numFmtId="3" fontId="62" fillId="10" borderId="201" xfId="0" applyNumberFormat="1" applyFont="1" applyFill="1" applyBorder="1" applyAlignment="1">
      <alignment horizontal="center" vertical="center" wrapText="1"/>
    </xf>
    <xf numFmtId="0" fontId="4" fillId="10" borderId="26" xfId="0" applyFont="1" applyFill="1" applyBorder="1" applyAlignment="1">
      <alignment horizontal="center" vertical="center" wrapText="1"/>
    </xf>
    <xf numFmtId="0" fontId="4" fillId="10" borderId="66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3" fontId="62" fillId="10" borderId="194" xfId="0" applyNumberFormat="1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0" fontId="4" fillId="10" borderId="25" xfId="0" applyFont="1" applyFill="1" applyBorder="1" applyAlignment="1">
      <alignment horizontal="center" vertical="center" wrapText="1"/>
    </xf>
    <xf numFmtId="0" fontId="8" fillId="0" borderId="107" xfId="0" applyFont="1" applyBorder="1" applyAlignment="1">
      <alignment horizontal="center"/>
    </xf>
    <xf numFmtId="0" fontId="8" fillId="0" borderId="105" xfId="0" applyFont="1" applyBorder="1" applyAlignment="1">
      <alignment horizontal="center"/>
    </xf>
    <xf numFmtId="0" fontId="24" fillId="2" borderId="5" xfId="4" applyFont="1" applyFill="1" applyBorder="1" applyAlignment="1">
      <alignment horizontal="center" vertical="center"/>
    </xf>
    <xf numFmtId="0" fontId="24" fillId="2" borderId="11" xfId="4" applyFont="1" applyFill="1" applyBorder="1" applyAlignment="1">
      <alignment horizontal="center" vertical="center"/>
    </xf>
    <xf numFmtId="0" fontId="24" fillId="2" borderId="25" xfId="4" applyFont="1" applyFill="1" applyBorder="1" applyAlignment="1">
      <alignment horizontal="center" vertical="center"/>
    </xf>
    <xf numFmtId="3" fontId="18" fillId="0" borderId="42" xfId="4" applyNumberFormat="1" applyFont="1" applyFill="1" applyBorder="1" applyAlignment="1">
      <alignment horizontal="center" vertical="center" wrapText="1"/>
    </xf>
    <xf numFmtId="3" fontId="18" fillId="0" borderId="43" xfId="4" applyNumberFormat="1" applyFont="1" applyFill="1" applyBorder="1" applyAlignment="1">
      <alignment horizontal="center" vertical="center" wrapText="1"/>
    </xf>
    <xf numFmtId="3" fontId="18" fillId="0" borderId="41" xfId="4" applyNumberFormat="1" applyFont="1" applyFill="1" applyBorder="1" applyAlignment="1">
      <alignment horizontal="center" vertical="center" wrapText="1"/>
    </xf>
    <xf numFmtId="0" fontId="23" fillId="0" borderId="7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7" fillId="8" borderId="41" xfId="4" applyFont="1" applyFill="1" applyBorder="1" applyAlignment="1">
      <alignment horizontal="center" vertical="center"/>
    </xf>
    <xf numFmtId="0" fontId="7" fillId="8" borderId="40" xfId="4" applyFont="1" applyFill="1" applyBorder="1" applyAlignment="1">
      <alignment horizontal="center" vertical="center"/>
    </xf>
    <xf numFmtId="3" fontId="25" fillId="26" borderId="61" xfId="4" applyNumberFormat="1" applyFont="1" applyFill="1" applyBorder="1" applyAlignment="1">
      <alignment horizontal="center" vertical="center"/>
    </xf>
    <xf numFmtId="3" fontId="25" fillId="26" borderId="13" xfId="4" applyNumberFormat="1" applyFont="1" applyFill="1" applyBorder="1" applyAlignment="1">
      <alignment horizontal="center" vertical="center"/>
    </xf>
    <xf numFmtId="3" fontId="25" fillId="26" borderId="12" xfId="4" applyNumberFormat="1" applyFont="1" applyFill="1" applyBorder="1" applyAlignment="1">
      <alignment horizontal="center" vertical="center"/>
    </xf>
    <xf numFmtId="3" fontId="18" fillId="27" borderId="42" xfId="4" applyNumberFormat="1" applyFont="1" applyFill="1" applyBorder="1" applyAlignment="1">
      <alignment horizontal="center" vertical="center" wrapText="1"/>
    </xf>
    <xf numFmtId="3" fontId="18" fillId="27" borderId="43" xfId="4" applyNumberFormat="1" applyFont="1" applyFill="1" applyBorder="1" applyAlignment="1">
      <alignment horizontal="center" vertical="center" wrapText="1"/>
    </xf>
    <xf numFmtId="0" fontId="17" fillId="27" borderId="5" xfId="4" applyFont="1" applyFill="1" applyBorder="1" applyAlignment="1">
      <alignment horizontal="center" vertical="center"/>
    </xf>
    <xf numFmtId="0" fontId="17" fillId="27" borderId="11" xfId="4" applyFont="1" applyFill="1" applyBorder="1" applyAlignment="1">
      <alignment horizontal="center" vertical="center"/>
    </xf>
    <xf numFmtId="0" fontId="17" fillId="27" borderId="25" xfId="4" applyFont="1" applyFill="1" applyBorder="1" applyAlignment="1">
      <alignment horizontal="center" vertical="center"/>
    </xf>
    <xf numFmtId="3" fontId="18" fillId="0" borderId="80" xfId="4" applyNumberFormat="1" applyFont="1" applyFill="1" applyBorder="1" applyAlignment="1">
      <alignment horizontal="center" vertical="center" wrapText="1"/>
    </xf>
    <xf numFmtId="3" fontId="18" fillId="0" borderId="46" xfId="4" applyNumberFormat="1" applyFont="1" applyFill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/>
    </xf>
    <xf numFmtId="43" fontId="24" fillId="22" borderId="60" xfId="1" applyFont="1" applyFill="1" applyBorder="1" applyAlignment="1">
      <alignment horizontal="center" vertical="center"/>
    </xf>
    <xf numFmtId="43" fontId="24" fillId="22" borderId="10" xfId="1" applyFont="1" applyFill="1" applyBorder="1" applyAlignment="1">
      <alignment horizontal="center" vertical="center"/>
    </xf>
    <xf numFmtId="43" fontId="24" fillId="22" borderId="72" xfId="1" applyFont="1" applyFill="1" applyBorder="1" applyAlignment="1">
      <alignment horizontal="center" vertical="center"/>
    </xf>
    <xf numFmtId="43" fontId="24" fillId="22" borderId="173" xfId="1" applyFont="1" applyFill="1" applyBorder="1" applyAlignment="1">
      <alignment horizontal="center" vertical="center"/>
    </xf>
    <xf numFmtId="43" fontId="24" fillId="22" borderId="13" xfId="1" applyFont="1" applyFill="1" applyBorder="1" applyAlignment="1">
      <alignment horizontal="center" vertical="center"/>
    </xf>
    <xf numFmtId="43" fontId="24" fillId="22" borderId="12" xfId="1" applyFont="1" applyFill="1" applyBorder="1" applyAlignment="1">
      <alignment horizontal="center" vertical="center"/>
    </xf>
    <xf numFmtId="3" fontId="25" fillId="2" borderId="134" xfId="4" applyNumberFormat="1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3" fontId="25" fillId="2" borderId="71" xfId="4" applyNumberFormat="1" applyFont="1" applyFill="1" applyBorder="1" applyAlignment="1">
      <alignment horizontal="center" vertical="center" wrapText="1"/>
    </xf>
    <xf numFmtId="3" fontId="25" fillId="2" borderId="6" xfId="4" applyNumberFormat="1" applyFont="1" applyFill="1" applyBorder="1" applyAlignment="1">
      <alignment horizontal="center" vertical="center" wrapText="1"/>
    </xf>
    <xf numFmtId="3" fontId="25" fillId="2" borderId="20" xfId="4" applyNumberFormat="1" applyFont="1" applyFill="1" applyBorder="1" applyAlignment="1">
      <alignment horizontal="center" vertical="center" wrapText="1"/>
    </xf>
    <xf numFmtId="0" fontId="18" fillId="0" borderId="42" xfId="4" applyFont="1" applyFill="1" applyBorder="1" applyAlignment="1">
      <alignment horizontal="center" vertical="center" wrapText="1"/>
    </xf>
    <xf numFmtId="0" fontId="18" fillId="0" borderId="43" xfId="4" applyFont="1" applyFill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3" fontId="25" fillId="2" borderId="187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32" fillId="0" borderId="11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center" vertical="center" wrapText="1"/>
    </xf>
    <xf numFmtId="0" fontId="18" fillId="0" borderId="43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18" fillId="0" borderId="46" xfId="4" applyFont="1" applyFill="1" applyBorder="1" applyAlignment="1">
      <alignment horizontal="center" vertical="center" wrapText="1"/>
    </xf>
    <xf numFmtId="0" fontId="18" fillId="0" borderId="49" xfId="4" applyFont="1" applyFill="1" applyBorder="1" applyAlignment="1">
      <alignment horizontal="center" vertical="center" wrapText="1"/>
    </xf>
    <xf numFmtId="0" fontId="18" fillId="0" borderId="48" xfId="4" applyFont="1" applyFill="1" applyBorder="1" applyAlignment="1">
      <alignment horizontal="center" vertical="center" wrapText="1"/>
    </xf>
    <xf numFmtId="0" fontId="24" fillId="27" borderId="64" xfId="4" applyFont="1" applyFill="1" applyBorder="1" applyAlignment="1">
      <alignment horizontal="center" vertical="center" wrapText="1"/>
    </xf>
    <xf numFmtId="0" fontId="24" fillId="27" borderId="65" xfId="4" applyFont="1" applyFill="1" applyBorder="1" applyAlignment="1">
      <alignment horizontal="center" vertical="center" wrapText="1"/>
    </xf>
    <xf numFmtId="0" fontId="24" fillId="27" borderId="67" xfId="4" applyFont="1" applyFill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3" fontId="25" fillId="25" borderId="185" xfId="4" applyNumberFormat="1" applyFont="1" applyFill="1" applyBorder="1" applyAlignment="1">
      <alignment horizontal="center" vertical="center"/>
    </xf>
    <xf numFmtId="3" fontId="25" fillId="25" borderId="13" xfId="4" applyNumberFormat="1" applyFont="1" applyFill="1" applyBorder="1" applyAlignment="1">
      <alignment horizontal="center" vertical="center"/>
    </xf>
    <xf numFmtId="3" fontId="25" fillId="25" borderId="12" xfId="4" applyNumberFormat="1" applyFont="1" applyFill="1" applyBorder="1" applyAlignment="1">
      <alignment horizontal="center" vertical="center"/>
    </xf>
    <xf numFmtId="3" fontId="24" fillId="26" borderId="61" xfId="4" applyNumberFormat="1" applyFont="1" applyFill="1" applyBorder="1" applyAlignment="1">
      <alignment horizontal="center" vertical="center"/>
    </xf>
    <xf numFmtId="3" fontId="24" fillId="26" borderId="13" xfId="4" applyNumberFormat="1" applyFont="1" applyFill="1" applyBorder="1" applyAlignment="1">
      <alignment horizontal="center" vertical="center"/>
    </xf>
    <xf numFmtId="3" fontId="24" fillId="26" borderId="12" xfId="4" applyNumberFormat="1" applyFont="1" applyFill="1" applyBorder="1" applyAlignment="1">
      <alignment horizontal="center" vertical="center"/>
    </xf>
    <xf numFmtId="3" fontId="24" fillId="26" borderId="185" xfId="4" applyNumberFormat="1" applyFont="1" applyFill="1" applyBorder="1" applyAlignment="1">
      <alignment horizontal="center" vertical="center"/>
    </xf>
    <xf numFmtId="3" fontId="24" fillId="26" borderId="199" xfId="4" applyNumberFormat="1" applyFont="1" applyFill="1" applyBorder="1" applyAlignment="1">
      <alignment horizontal="center" vertical="center"/>
    </xf>
    <xf numFmtId="3" fontId="24" fillId="26" borderId="39" xfId="4" applyNumberFormat="1" applyFont="1" applyFill="1" applyBorder="1" applyAlignment="1">
      <alignment horizontal="center" vertical="center"/>
    </xf>
    <xf numFmtId="0" fontId="24" fillId="27" borderId="5" xfId="4" applyFont="1" applyFill="1" applyBorder="1" applyAlignment="1">
      <alignment horizontal="center" vertical="center" wrapText="1"/>
    </xf>
    <xf numFmtId="0" fontId="24" fillId="27" borderId="11" xfId="4" applyFont="1" applyFill="1" applyBorder="1" applyAlignment="1">
      <alignment horizontal="center" vertical="center" wrapText="1"/>
    </xf>
    <xf numFmtId="0" fontId="24" fillId="27" borderId="25" xfId="4" applyFont="1" applyFill="1" applyBorder="1" applyAlignment="1">
      <alignment horizontal="center" vertical="center" wrapText="1"/>
    </xf>
    <xf numFmtId="0" fontId="24" fillId="0" borderId="52" xfId="4" applyFont="1" applyFill="1" applyBorder="1" applyAlignment="1">
      <alignment horizontal="center" vertical="center"/>
    </xf>
    <xf numFmtId="3" fontId="31" fillId="25" borderId="27" xfId="4" applyNumberFormat="1" applyFont="1" applyFill="1" applyBorder="1" applyAlignment="1">
      <alignment horizontal="center" vertical="center"/>
    </xf>
    <xf numFmtId="3" fontId="31" fillId="25" borderId="23" xfId="4" applyNumberFormat="1" applyFont="1" applyFill="1" applyBorder="1" applyAlignment="1">
      <alignment horizontal="center" vertical="center"/>
    </xf>
    <xf numFmtId="0" fontId="22" fillId="2" borderId="26" xfId="0" applyFont="1" applyFill="1" applyBorder="1" applyAlignment="1">
      <alignment horizontal="left" vertical="center" wrapText="1"/>
    </xf>
    <xf numFmtId="3" fontId="32" fillId="0" borderId="26" xfId="0" applyNumberFormat="1" applyFont="1" applyBorder="1" applyAlignment="1">
      <alignment horizontal="left" vertical="center" wrapText="1"/>
    </xf>
    <xf numFmtId="0" fontId="23" fillId="0" borderId="168" xfId="0" applyFont="1" applyBorder="1" applyAlignment="1">
      <alignment horizontal="center" vertical="center"/>
    </xf>
    <xf numFmtId="3" fontId="18" fillId="0" borderId="40" xfId="4" applyNumberFormat="1" applyFont="1" applyFill="1" applyBorder="1" applyAlignment="1">
      <alignment horizontal="center" vertical="center"/>
    </xf>
    <xf numFmtId="0" fontId="18" fillId="0" borderId="40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/>
    </xf>
    <xf numFmtId="0" fontId="17" fillId="0" borderId="11" xfId="4" applyFont="1" applyFill="1" applyBorder="1" applyAlignment="1">
      <alignment horizontal="center" vertical="center"/>
    </xf>
    <xf numFmtId="0" fontId="17" fillId="0" borderId="25" xfId="4" applyFont="1" applyFill="1" applyBorder="1" applyAlignment="1">
      <alignment horizontal="center" vertical="center"/>
    </xf>
    <xf numFmtId="3" fontId="24" fillId="2" borderId="134" xfId="4" applyNumberFormat="1" applyFont="1" applyFill="1" applyBorder="1" applyAlignment="1">
      <alignment horizontal="center" vertical="center" wrapText="1"/>
    </xf>
    <xf numFmtId="3" fontId="24" fillId="2" borderId="6" xfId="4" applyNumberFormat="1" applyFont="1" applyFill="1" applyBorder="1" applyAlignment="1">
      <alignment horizontal="center" vertical="center" wrapText="1"/>
    </xf>
    <xf numFmtId="3" fontId="24" fillId="2" borderId="20" xfId="4" applyNumberFormat="1" applyFont="1" applyFill="1" applyBorder="1" applyAlignment="1">
      <alignment horizontal="center" vertical="center" wrapText="1"/>
    </xf>
    <xf numFmtId="3" fontId="25" fillId="26" borderId="173" xfId="4" applyNumberFormat="1" applyFont="1" applyFill="1" applyBorder="1" applyAlignment="1">
      <alignment horizontal="center" vertical="center"/>
    </xf>
    <xf numFmtId="0" fontId="22" fillId="0" borderId="133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5" fillId="2" borderId="22" xfId="4" applyNumberFormat="1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17" fillId="0" borderId="52" xfId="4" applyFont="1" applyFill="1" applyBorder="1" applyAlignment="1">
      <alignment horizontal="center" vertical="center"/>
    </xf>
    <xf numFmtId="0" fontId="0" fillId="0" borderId="5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23" fillId="0" borderId="18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195" xfId="0" applyFont="1" applyBorder="1" applyAlignment="1">
      <alignment horizontal="center" vertical="center" wrapText="1"/>
    </xf>
    <xf numFmtId="0" fontId="24" fillId="13" borderId="5" xfId="4" applyFont="1" applyFill="1" applyBorder="1" applyAlignment="1">
      <alignment horizontal="center" vertical="center"/>
    </xf>
    <xf numFmtId="0" fontId="24" fillId="13" borderId="11" xfId="4" applyFont="1" applyFill="1" applyBorder="1" applyAlignment="1">
      <alignment horizontal="center" vertical="center"/>
    </xf>
    <xf numFmtId="0" fontId="24" fillId="13" borderId="25" xfId="4" applyFont="1" applyFill="1" applyBorder="1" applyAlignment="1">
      <alignment horizontal="center" vertical="center"/>
    </xf>
    <xf numFmtId="3" fontId="25" fillId="26" borderId="180" xfId="4" applyNumberFormat="1" applyFont="1" applyFill="1" applyBorder="1" applyAlignment="1">
      <alignment horizontal="center" vertical="center"/>
    </xf>
    <xf numFmtId="3" fontId="25" fillId="26" borderId="27" xfId="4" applyNumberFormat="1" applyFont="1" applyFill="1" applyBorder="1" applyAlignment="1">
      <alignment horizontal="center" vertical="center"/>
    </xf>
    <xf numFmtId="3" fontId="25" fillId="26" borderId="23" xfId="4" applyNumberFormat="1" applyFont="1" applyFill="1" applyBorder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3" fontId="25" fillId="2" borderId="38" xfId="4" applyNumberFormat="1" applyFont="1" applyFill="1" applyBorder="1" applyAlignment="1">
      <alignment horizontal="center" vertical="center" wrapText="1"/>
    </xf>
    <xf numFmtId="3" fontId="32" fillId="25" borderId="0" xfId="6" applyNumberFormat="1" applyFont="1" applyFill="1" applyBorder="1" applyAlignment="1">
      <alignment horizontal="center" vertical="center"/>
    </xf>
    <xf numFmtId="3" fontId="32" fillId="25" borderId="7" xfId="6" applyNumberFormat="1" applyFont="1" applyFill="1" applyBorder="1" applyAlignment="1">
      <alignment horizontal="center" vertical="center"/>
    </xf>
    <xf numFmtId="3" fontId="32" fillId="25" borderId="72" xfId="6" applyNumberFormat="1" applyFont="1" applyFill="1" applyBorder="1" applyAlignment="1">
      <alignment horizontal="center" vertical="center"/>
    </xf>
    <xf numFmtId="3" fontId="32" fillId="25" borderId="10" xfId="6" applyNumberFormat="1" applyFont="1" applyFill="1" applyBorder="1" applyAlignment="1">
      <alignment horizontal="center" vertical="center"/>
    </xf>
    <xf numFmtId="0" fontId="25" fillId="2" borderId="134" xfId="4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vertical="center" wrapText="1"/>
    </xf>
    <xf numFmtId="0" fontId="32" fillId="0" borderId="38" xfId="0" applyFont="1" applyBorder="1" applyAlignment="1">
      <alignment vertical="center" wrapText="1"/>
    </xf>
    <xf numFmtId="3" fontId="25" fillId="26" borderId="206" xfId="4" applyNumberFormat="1" applyFont="1" applyFill="1" applyBorder="1" applyAlignment="1">
      <alignment horizontal="center" vertical="center"/>
    </xf>
    <xf numFmtId="3" fontId="25" fillId="26" borderId="50" xfId="4" applyNumberFormat="1" applyFont="1" applyFill="1" applyBorder="1" applyAlignment="1">
      <alignment horizontal="center" vertical="center"/>
    </xf>
    <xf numFmtId="0" fontId="32" fillId="0" borderId="6" xfId="0" applyFont="1" applyBorder="1" applyAlignment="1">
      <alignment vertical="center" wrapText="1"/>
    </xf>
    <xf numFmtId="0" fontId="22" fillId="0" borderId="40" xfId="0" applyFont="1" applyBorder="1" applyAlignment="1">
      <alignment horizontal="center" vertical="center" wrapText="1"/>
    </xf>
    <xf numFmtId="0" fontId="32" fillId="0" borderId="133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 wrapText="1"/>
    </xf>
    <xf numFmtId="0" fontId="18" fillId="0" borderId="80" xfId="4" applyFont="1" applyFill="1" applyBorder="1" applyAlignment="1">
      <alignment horizontal="center" vertical="center" wrapText="1"/>
    </xf>
    <xf numFmtId="0" fontId="18" fillId="0" borderId="41" xfId="4" applyFont="1" applyFill="1" applyBorder="1" applyAlignment="1">
      <alignment horizontal="center" vertical="center" wrapText="1"/>
    </xf>
    <xf numFmtId="0" fontId="17" fillId="0" borderId="5" xfId="4" applyFont="1" applyFill="1" applyBorder="1" applyAlignment="1">
      <alignment horizontal="center" vertical="center" wrapText="1"/>
    </xf>
    <xf numFmtId="0" fontId="17" fillId="0" borderId="11" xfId="4" applyFont="1" applyFill="1" applyBorder="1" applyAlignment="1">
      <alignment horizontal="center" vertical="center" wrapText="1"/>
    </xf>
    <xf numFmtId="0" fontId="17" fillId="0" borderId="25" xfId="4" applyFont="1" applyFill="1" applyBorder="1" applyAlignment="1">
      <alignment horizontal="center" vertical="center" wrapText="1"/>
    </xf>
    <xf numFmtId="3" fontId="24" fillId="26" borderId="173" xfId="4" applyNumberFormat="1" applyFont="1" applyFill="1" applyBorder="1" applyAlignment="1">
      <alignment horizontal="center" vertical="center"/>
    </xf>
    <xf numFmtId="3" fontId="25" fillId="26" borderId="198" xfId="4" applyNumberFormat="1" applyFont="1" applyFill="1" applyBorder="1" applyAlignment="1">
      <alignment horizontal="center" vertical="center"/>
    </xf>
    <xf numFmtId="3" fontId="25" fillId="26" borderId="10" xfId="4" applyNumberFormat="1" applyFont="1" applyFill="1" applyBorder="1" applyAlignment="1">
      <alignment horizontal="center" vertical="center"/>
    </xf>
    <xf numFmtId="3" fontId="25" fillId="26" borderId="72" xfId="4" applyNumberFormat="1" applyFont="1" applyFill="1" applyBorder="1" applyAlignment="1">
      <alignment horizontal="center" vertical="center"/>
    </xf>
    <xf numFmtId="0" fontId="25" fillId="2" borderId="187" xfId="4" applyFont="1" applyFill="1" applyBorder="1" applyAlignment="1">
      <alignment horizontal="center" vertical="center" wrapText="1"/>
    </xf>
    <xf numFmtId="0" fontId="32" fillId="0" borderId="195" xfId="0" applyFont="1" applyBorder="1" applyAlignment="1">
      <alignment horizontal="center" vertical="center" wrapText="1"/>
    </xf>
    <xf numFmtId="3" fontId="32" fillId="25" borderId="198" xfId="6" applyNumberFormat="1" applyFont="1" applyFill="1" applyBorder="1" applyAlignment="1">
      <alignment horizontal="center" vertical="center"/>
    </xf>
    <xf numFmtId="3" fontId="32" fillId="25" borderId="13" xfId="6" applyNumberFormat="1" applyFont="1" applyFill="1" applyBorder="1" applyAlignment="1">
      <alignment horizontal="center" vertical="center"/>
    </xf>
    <xf numFmtId="3" fontId="32" fillId="25" borderId="35" xfId="6" applyNumberFormat="1" applyFont="1" applyFill="1" applyBorder="1" applyAlignment="1">
      <alignment horizontal="center" vertical="center"/>
    </xf>
    <xf numFmtId="3" fontId="32" fillId="25" borderId="12" xfId="6" applyNumberFormat="1" applyFont="1" applyFill="1" applyBorder="1" applyAlignment="1">
      <alignment horizontal="center" vertical="center"/>
    </xf>
    <xf numFmtId="3" fontId="25" fillId="26" borderId="185" xfId="4" applyNumberFormat="1" applyFont="1" applyFill="1" applyBorder="1" applyAlignment="1">
      <alignment horizontal="center" vertical="center"/>
    </xf>
    <xf numFmtId="0" fontId="18" fillId="0" borderId="5" xfId="4" applyFont="1" applyFill="1" applyBorder="1" applyAlignment="1">
      <alignment horizontal="center" vertical="center" wrapText="1"/>
    </xf>
    <xf numFmtId="0" fontId="18" fillId="0" borderId="185" xfId="4" applyFont="1" applyFill="1" applyBorder="1" applyAlignment="1">
      <alignment horizontal="center" vertical="center" wrapText="1"/>
    </xf>
    <xf numFmtId="0" fontId="18" fillId="0" borderId="13" xfId="4" applyFont="1" applyFill="1" applyBorder="1" applyAlignment="1">
      <alignment horizontal="center" vertical="center" wrapText="1"/>
    </xf>
    <xf numFmtId="0" fontId="18" fillId="0" borderId="35" xfId="4" applyFont="1" applyFill="1" applyBorder="1" applyAlignment="1">
      <alignment horizontal="center" vertical="center" wrapText="1"/>
    </xf>
    <xf numFmtId="0" fontId="22" fillId="0" borderId="185" xfId="0" applyFont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17" fillId="0" borderId="0" xfId="4" applyFont="1" applyFill="1" applyBorder="1" applyAlignment="1">
      <alignment horizontal="center" vertical="center"/>
    </xf>
    <xf numFmtId="0" fontId="18" fillId="0" borderId="0" xfId="4" applyFont="1" applyFill="1" applyBorder="1" applyAlignment="1">
      <alignment horizontal="center" vertical="center" wrapText="1"/>
    </xf>
    <xf numFmtId="0" fontId="18" fillId="0" borderId="25" xfId="4" applyFont="1" applyFill="1" applyBorder="1" applyAlignment="1">
      <alignment horizontal="center" vertical="center" wrapText="1"/>
    </xf>
    <xf numFmtId="0" fontId="18" fillId="0" borderId="52" xfId="4" applyFont="1" applyFill="1" applyBorder="1" applyAlignment="1">
      <alignment horizontal="center" vertical="center" wrapText="1"/>
    </xf>
    <xf numFmtId="3" fontId="25" fillId="2" borderId="0" xfId="4" applyNumberFormat="1" applyFont="1" applyFill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8" fillId="0" borderId="68" xfId="4" applyFont="1" applyFill="1" applyBorder="1" applyAlignment="1">
      <alignment horizontal="center" vertical="center" wrapText="1"/>
    </xf>
    <xf numFmtId="0" fontId="18" fillId="0" borderId="199" xfId="4" applyFont="1" applyFill="1" applyBorder="1" applyAlignment="1">
      <alignment horizontal="center" vertical="center" wrapText="1"/>
    </xf>
    <xf numFmtId="0" fontId="18" fillId="0" borderId="39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left" vertical="center" wrapText="1"/>
    </xf>
    <xf numFmtId="0" fontId="18" fillId="0" borderId="14" xfId="4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18" fillId="0" borderId="2" xfId="4" applyFont="1" applyBorder="1" applyAlignment="1">
      <alignment horizontal="center" vertical="center" wrapText="1"/>
    </xf>
    <xf numFmtId="0" fontId="22" fillId="0" borderId="72" xfId="6" applyFont="1" applyBorder="1" applyAlignment="1">
      <alignment horizontal="center" vertical="center" wrapText="1"/>
    </xf>
    <xf numFmtId="0" fontId="21" fillId="0" borderId="64" xfId="4" applyFont="1" applyBorder="1" applyAlignment="1">
      <alignment horizontal="center" vertical="center" wrapText="1"/>
    </xf>
    <xf numFmtId="0" fontId="21" fillId="0" borderId="67" xfId="4" applyFont="1" applyBorder="1" applyAlignment="1">
      <alignment horizontal="center" vertical="center" wrapText="1"/>
    </xf>
    <xf numFmtId="0" fontId="18" fillId="8" borderId="5" xfId="4" applyFont="1" applyFill="1" applyBorder="1" applyAlignment="1">
      <alignment horizontal="center" vertical="center" wrapText="1"/>
    </xf>
    <xf numFmtId="0" fontId="18" fillId="8" borderId="11" xfId="4" applyFont="1" applyFill="1" applyBorder="1" applyAlignment="1">
      <alignment horizontal="center" vertical="center" wrapText="1"/>
    </xf>
    <xf numFmtId="0" fontId="0" fillId="0" borderId="25" xfId="0" applyFont="1" applyBorder="1" applyAlignment="1">
      <alignment vertical="center"/>
    </xf>
    <xf numFmtId="0" fontId="20" fillId="19" borderId="15" xfId="4" applyFont="1" applyFill="1" applyBorder="1" applyAlignment="1">
      <alignment horizontal="center" vertical="center" wrapText="1"/>
    </xf>
    <xf numFmtId="0" fontId="0" fillId="19" borderId="12" xfId="0" applyFont="1" applyFill="1" applyBorder="1" applyAlignment="1">
      <alignment horizontal="center" vertical="center" wrapText="1"/>
    </xf>
    <xf numFmtId="3" fontId="25" fillId="23" borderId="173" xfId="4" applyNumberFormat="1" applyFont="1" applyFill="1" applyBorder="1" applyAlignment="1">
      <alignment horizontal="center" vertical="center"/>
    </xf>
    <xf numFmtId="3" fontId="25" fillId="23" borderId="13" xfId="4" applyNumberFormat="1" applyFont="1" applyFill="1" applyBorder="1" applyAlignment="1">
      <alignment horizontal="center" vertical="center"/>
    </xf>
    <xf numFmtId="3" fontId="25" fillId="23" borderId="12" xfId="4" applyNumberFormat="1" applyFont="1" applyFill="1" applyBorder="1" applyAlignment="1">
      <alignment horizontal="center" vertical="center"/>
    </xf>
    <xf numFmtId="3" fontId="24" fillId="24" borderId="173" xfId="4" applyNumberFormat="1" applyFont="1" applyFill="1" applyBorder="1" applyAlignment="1">
      <alignment horizontal="center" vertical="center"/>
    </xf>
    <xf numFmtId="3" fontId="24" fillId="24" borderId="13" xfId="4" applyNumberFormat="1" applyFont="1" applyFill="1" applyBorder="1" applyAlignment="1">
      <alignment horizontal="center" vertical="center"/>
    </xf>
    <xf numFmtId="3" fontId="24" fillId="24" borderId="12" xfId="4" applyNumberFormat="1" applyFont="1" applyFill="1" applyBorder="1" applyAlignment="1">
      <alignment horizontal="center" vertical="center"/>
    </xf>
    <xf numFmtId="0" fontId="25" fillId="0" borderId="77" xfId="4" applyFont="1" applyBorder="1" applyAlignment="1">
      <alignment horizontal="center" vertical="center" wrapText="1"/>
    </xf>
    <xf numFmtId="0" fontId="25" fillId="0" borderId="18" xfId="4" applyFont="1" applyBorder="1" applyAlignment="1">
      <alignment horizontal="center" vertical="center" wrapText="1"/>
    </xf>
    <xf numFmtId="0" fontId="25" fillId="0" borderId="17" xfId="4" applyFont="1" applyBorder="1" applyAlignment="1">
      <alignment horizontal="center" vertical="center" wrapText="1"/>
    </xf>
    <xf numFmtId="0" fontId="23" fillId="0" borderId="15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/>
    </xf>
    <xf numFmtId="0" fontId="17" fillId="0" borderId="14" xfId="4" applyFont="1" applyBorder="1" applyAlignment="1">
      <alignment horizontal="center" vertical="center"/>
    </xf>
    <xf numFmtId="0" fontId="17" fillId="0" borderId="20" xfId="4" applyFont="1" applyBorder="1" applyAlignment="1">
      <alignment horizontal="center" vertical="center"/>
    </xf>
    <xf numFmtId="0" fontId="17" fillId="0" borderId="68" xfId="4" applyFont="1" applyBorder="1" applyAlignment="1">
      <alignment horizontal="center" vertical="center" wrapText="1"/>
    </xf>
    <xf numFmtId="0" fontId="17" fillId="0" borderId="163" xfId="4" applyFont="1" applyBorder="1" applyAlignment="1">
      <alignment horizontal="center" vertical="center" wrapText="1"/>
    </xf>
    <xf numFmtId="3" fontId="31" fillId="26" borderId="198" xfId="4" applyNumberFormat="1" applyFont="1" applyFill="1" applyBorder="1" applyAlignment="1">
      <alignment horizontal="center" vertical="center"/>
    </xf>
    <xf numFmtId="3" fontId="31" fillId="26" borderId="10" xfId="4" applyNumberFormat="1" applyFont="1" applyFill="1" applyBorder="1" applyAlignment="1">
      <alignment horizontal="center" vertical="center"/>
    </xf>
    <xf numFmtId="3" fontId="31" fillId="26" borderId="72" xfId="4" applyNumberFormat="1" applyFont="1" applyFill="1" applyBorder="1" applyAlignment="1">
      <alignment horizontal="center" vertical="center"/>
    </xf>
    <xf numFmtId="3" fontId="31" fillId="26" borderId="173" xfId="4" applyNumberFormat="1" applyFont="1" applyFill="1" applyBorder="1" applyAlignment="1">
      <alignment horizontal="center" vertical="center"/>
    </xf>
    <xf numFmtId="3" fontId="31" fillId="26" borderId="13" xfId="4" applyNumberFormat="1" applyFont="1" applyFill="1" applyBorder="1" applyAlignment="1">
      <alignment horizontal="center" vertical="center"/>
    </xf>
    <xf numFmtId="3" fontId="31" fillId="26" borderId="12" xfId="4" applyNumberFormat="1" applyFont="1" applyFill="1" applyBorder="1" applyAlignment="1">
      <alignment horizontal="center" vertical="center"/>
    </xf>
    <xf numFmtId="3" fontId="24" fillId="2" borderId="187" xfId="4" applyNumberFormat="1" applyFont="1" applyFill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25" fillId="2" borderId="6" xfId="4" applyFont="1" applyFill="1" applyBorder="1" applyAlignment="1">
      <alignment horizontal="center" vertical="center" wrapText="1"/>
    </xf>
    <xf numFmtId="0" fontId="26" fillId="0" borderId="13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3" fontId="24" fillId="26" borderId="180" xfId="4" applyNumberFormat="1" applyFont="1" applyFill="1" applyBorder="1" applyAlignment="1">
      <alignment horizontal="center" vertical="center"/>
    </xf>
    <xf numFmtId="3" fontId="24" fillId="26" borderId="27" xfId="4" applyNumberFormat="1" applyFont="1" applyFill="1" applyBorder="1" applyAlignment="1">
      <alignment horizontal="center" vertical="center"/>
    </xf>
    <xf numFmtId="3" fontId="24" fillId="26" borderId="23" xfId="4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3" fontId="25" fillId="26" borderId="165" xfId="4" applyNumberFormat="1" applyFont="1" applyFill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 wrapText="1"/>
    </xf>
    <xf numFmtId="3" fontId="25" fillId="2" borderId="37" xfId="4" applyNumberFormat="1" applyFont="1" applyFill="1" applyBorder="1" applyAlignment="1">
      <alignment horizontal="center" vertical="center" wrapText="1"/>
    </xf>
    <xf numFmtId="0" fontId="32" fillId="0" borderId="38" xfId="0" applyFont="1" applyBorder="1" applyAlignment="1">
      <alignment horizontal="center" vertical="center" wrapText="1"/>
    </xf>
    <xf numFmtId="3" fontId="25" fillId="2" borderId="103" xfId="4" applyNumberFormat="1" applyFont="1" applyFill="1" applyBorder="1" applyAlignment="1">
      <alignment horizontal="center" vertical="center" wrapText="1"/>
    </xf>
    <xf numFmtId="0" fontId="18" fillId="13" borderId="42" xfId="4" applyFont="1" applyFill="1" applyBorder="1" applyAlignment="1">
      <alignment horizontal="center" vertical="center" wrapText="1"/>
    </xf>
    <xf numFmtId="0" fontId="18" fillId="13" borderId="43" xfId="4" applyFont="1" applyFill="1" applyBorder="1" applyAlignment="1">
      <alignment horizontal="center" vertical="center" wrapText="1"/>
    </xf>
    <xf numFmtId="3" fontId="18" fillId="0" borderId="40" xfId="4" applyNumberFormat="1" applyFont="1" applyFill="1" applyBorder="1" applyAlignment="1">
      <alignment horizontal="center" vertical="center" wrapText="1"/>
    </xf>
    <xf numFmtId="3" fontId="18" fillId="0" borderId="44" xfId="4" applyNumberFormat="1" applyFont="1" applyFill="1" applyBorder="1" applyAlignment="1">
      <alignment horizontal="center" vertical="center" wrapText="1"/>
    </xf>
    <xf numFmtId="0" fontId="23" fillId="0" borderId="134" xfId="0" applyFont="1" applyBorder="1" applyAlignment="1">
      <alignment horizontal="center" vertical="center" wrapText="1"/>
    </xf>
    <xf numFmtId="3" fontId="25" fillId="25" borderId="173" xfId="4" applyNumberFormat="1" applyFont="1" applyFill="1" applyBorder="1" applyAlignment="1">
      <alignment horizontal="center" vertical="center"/>
    </xf>
    <xf numFmtId="3" fontId="18" fillId="0" borderId="133" xfId="4" applyNumberFormat="1" applyFont="1" applyFill="1" applyBorder="1" applyAlignment="1">
      <alignment horizontal="center" vertical="center" wrapText="1"/>
    </xf>
    <xf numFmtId="43" fontId="24" fillId="22" borderId="107" xfId="1" applyFont="1" applyFill="1" applyBorder="1" applyAlignment="1">
      <alignment horizontal="center" vertical="center"/>
    </xf>
    <xf numFmtId="3" fontId="25" fillId="25" borderId="61" xfId="4" applyNumberFormat="1" applyFont="1" applyFill="1" applyBorder="1" applyAlignment="1">
      <alignment horizontal="center" vertical="center"/>
    </xf>
    <xf numFmtId="3" fontId="25" fillId="25" borderId="179" xfId="4" applyNumberFormat="1" applyFont="1" applyFill="1" applyBorder="1" applyAlignment="1">
      <alignment horizontal="center" vertical="center"/>
    </xf>
    <xf numFmtId="3" fontId="25" fillId="25" borderId="199" xfId="4" applyNumberFormat="1" applyFont="1" applyFill="1" applyBorder="1" applyAlignment="1">
      <alignment horizontal="center" vertical="center"/>
    </xf>
    <xf numFmtId="3" fontId="25" fillId="2" borderId="168" xfId="4" applyNumberFormat="1" applyFont="1" applyFill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24" fillId="0" borderId="25" xfId="4" applyFont="1" applyFill="1" applyBorder="1" applyAlignment="1">
      <alignment horizontal="center" vertical="center"/>
    </xf>
    <xf numFmtId="0" fontId="24" fillId="0" borderId="5" xfId="4" applyFont="1" applyFill="1" applyBorder="1" applyAlignment="1">
      <alignment horizontal="center" vertical="center" wrapText="1"/>
    </xf>
    <xf numFmtId="0" fontId="24" fillId="0" borderId="11" xfId="4" applyFont="1" applyFill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22" fillId="0" borderId="43" xfId="0" applyFont="1" applyBorder="1" applyAlignment="1">
      <alignment vertical="center" wrapText="1"/>
    </xf>
    <xf numFmtId="0" fontId="22" fillId="0" borderId="41" xfId="0" applyFont="1" applyBorder="1" applyAlignment="1">
      <alignment vertical="center" wrapText="1"/>
    </xf>
    <xf numFmtId="0" fontId="24" fillId="0" borderId="52" xfId="4" applyFont="1" applyFill="1" applyBorder="1" applyAlignment="1">
      <alignment horizontal="center" vertical="center" wrapText="1"/>
    </xf>
    <xf numFmtId="0" fontId="24" fillId="0" borderId="43" xfId="4" applyFont="1" applyFill="1" applyBorder="1" applyAlignment="1">
      <alignment horizontal="center" vertical="center" wrapText="1"/>
    </xf>
    <xf numFmtId="0" fontId="24" fillId="0" borderId="46" xfId="4" applyFont="1" applyFill="1" applyBorder="1" applyAlignment="1">
      <alignment horizontal="center" vertical="center" wrapText="1"/>
    </xf>
    <xf numFmtId="3" fontId="25" fillId="2" borderId="163" xfId="4" applyNumberFormat="1" applyFont="1" applyFill="1" applyBorder="1" applyAlignment="1">
      <alignment horizontal="center" vertical="center" wrapText="1"/>
    </xf>
    <xf numFmtId="0" fontId="32" fillId="0" borderId="163" xfId="0" applyFont="1" applyBorder="1" applyAlignment="1">
      <alignment horizontal="center" vertical="center" wrapText="1"/>
    </xf>
    <xf numFmtId="0" fontId="32" fillId="0" borderId="189" xfId="0" applyFont="1" applyBorder="1" applyAlignment="1">
      <alignment horizontal="center" vertical="center" wrapText="1"/>
    </xf>
    <xf numFmtId="3" fontId="24" fillId="26" borderId="189" xfId="4" applyNumberFormat="1" applyFont="1" applyFill="1" applyBorder="1" applyAlignment="1">
      <alignment horizontal="center" vertical="center"/>
    </xf>
    <xf numFmtId="0" fontId="23" fillId="0" borderId="189" xfId="0" applyFont="1" applyBorder="1" applyAlignment="1">
      <alignment horizontal="center" vertical="center" wrapText="1"/>
    </xf>
    <xf numFmtId="0" fontId="23" fillId="0" borderId="199" xfId="0" applyFont="1" applyBorder="1" applyAlignment="1">
      <alignment horizontal="center" vertical="center" wrapText="1"/>
    </xf>
    <xf numFmtId="0" fontId="24" fillId="0" borderId="199" xfId="4" applyFont="1" applyFill="1" applyBorder="1" applyAlignment="1">
      <alignment horizontal="center" vertical="center" wrapText="1"/>
    </xf>
    <xf numFmtId="0" fontId="24" fillId="0" borderId="4" xfId="4" applyFont="1" applyFill="1" applyBorder="1" applyAlignment="1">
      <alignment horizontal="center" vertical="center" wrapText="1"/>
    </xf>
    <xf numFmtId="0" fontId="24" fillId="0" borderId="23" xfId="4" applyFont="1" applyFill="1" applyBorder="1" applyAlignment="1">
      <alignment horizontal="center" vertical="center" wrapText="1"/>
    </xf>
    <xf numFmtId="0" fontId="24" fillId="0" borderId="17" xfId="4" applyFont="1" applyFill="1" applyBorder="1" applyAlignment="1">
      <alignment horizontal="center" vertical="center" wrapText="1"/>
    </xf>
    <xf numFmtId="0" fontId="24" fillId="0" borderId="67" xfId="4" applyFont="1" applyFill="1" applyBorder="1" applyAlignment="1">
      <alignment horizontal="center" vertical="center" wrapText="1"/>
    </xf>
    <xf numFmtId="0" fontId="24" fillId="0" borderId="65" xfId="4" applyFont="1" applyFill="1" applyBorder="1" applyAlignment="1">
      <alignment horizontal="center" vertical="center" wrapText="1"/>
    </xf>
    <xf numFmtId="0" fontId="24" fillId="0" borderId="0" xfId="4" applyFont="1" applyFill="1" applyBorder="1" applyAlignment="1">
      <alignment horizontal="center" vertical="center" wrapText="1"/>
    </xf>
    <xf numFmtId="0" fontId="17" fillId="0" borderId="16" xfId="4" applyFont="1" applyFill="1" applyBorder="1" applyAlignment="1">
      <alignment horizontal="center" vertical="center" wrapText="1"/>
    </xf>
    <xf numFmtId="0" fontId="17" fillId="0" borderId="181" xfId="4" applyFont="1" applyFill="1" applyBorder="1" applyAlignment="1">
      <alignment horizontal="center" vertical="center" wrapText="1"/>
    </xf>
    <xf numFmtId="0" fontId="17" fillId="0" borderId="190" xfId="4" applyFont="1" applyFill="1" applyBorder="1" applyAlignment="1">
      <alignment horizontal="center" vertical="center" wrapText="1"/>
    </xf>
    <xf numFmtId="0" fontId="0" fillId="0" borderId="181" xfId="0" applyFont="1" applyBorder="1" applyAlignment="1">
      <alignment horizontal="center" vertical="center" wrapText="1"/>
    </xf>
    <xf numFmtId="0" fontId="0" fillId="0" borderId="190" xfId="0" applyFont="1" applyBorder="1" applyAlignment="1">
      <alignment horizontal="center" vertical="center" wrapText="1"/>
    </xf>
    <xf numFmtId="0" fontId="0" fillId="0" borderId="37" xfId="0" applyFont="1" applyBorder="1" applyAlignment="1">
      <alignment horizontal="center" vertical="center" wrapText="1"/>
    </xf>
    <xf numFmtId="0" fontId="24" fillId="0" borderId="42" xfId="4" applyFont="1" applyFill="1" applyBorder="1" applyAlignment="1">
      <alignment horizontal="center" vertical="center" wrapText="1"/>
    </xf>
    <xf numFmtId="3" fontId="25" fillId="0" borderId="183" xfId="4" applyNumberFormat="1" applyFont="1" applyFill="1" applyBorder="1" applyAlignment="1">
      <alignment horizontal="center" vertical="center" wrapText="1"/>
    </xf>
    <xf numFmtId="0" fontId="32" fillId="0" borderId="183" xfId="0" applyFont="1" applyFill="1" applyBorder="1" applyAlignment="1">
      <alignment horizontal="center" vertical="center" wrapText="1"/>
    </xf>
    <xf numFmtId="0" fontId="32" fillId="0" borderId="189" xfId="0" applyFont="1" applyFill="1" applyBorder="1" applyAlignment="1">
      <alignment horizontal="center" vertical="center" wrapText="1"/>
    </xf>
    <xf numFmtId="3" fontId="24" fillId="26" borderId="183" xfId="4" applyNumberFormat="1" applyFont="1" applyFill="1" applyBorder="1" applyAlignment="1">
      <alignment horizontal="center" vertical="center"/>
    </xf>
    <xf numFmtId="3" fontId="24" fillId="26" borderId="124" xfId="4" applyNumberFormat="1" applyFont="1" applyFill="1" applyBorder="1" applyAlignment="1">
      <alignment horizontal="center" vertical="center"/>
    </xf>
    <xf numFmtId="0" fontId="23" fillId="0" borderId="19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185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0" fontId="24" fillId="0" borderId="40" xfId="4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126" xfId="0" applyFont="1" applyBorder="1" applyAlignment="1">
      <alignment horizontal="center" vertical="center" wrapText="1"/>
    </xf>
    <xf numFmtId="0" fontId="24" fillId="0" borderId="44" xfId="4" applyFont="1" applyFill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 wrapText="1"/>
    </xf>
    <xf numFmtId="0" fontId="0" fillId="0" borderId="38" xfId="0" applyFont="1" applyBorder="1" applyAlignment="1">
      <alignment horizontal="center" vertical="center" wrapText="1"/>
    </xf>
    <xf numFmtId="0" fontId="23" fillId="0" borderId="199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3" fontId="25" fillId="2" borderId="179" xfId="4" applyNumberFormat="1" applyFont="1" applyFill="1" applyBorder="1" applyAlignment="1">
      <alignment horizontal="center" vertical="center" wrapText="1"/>
    </xf>
    <xf numFmtId="0" fontId="32" fillId="0" borderId="179" xfId="0" applyFont="1" applyBorder="1" applyAlignment="1">
      <alignment horizontal="center" vertical="center" wrapText="1"/>
    </xf>
    <xf numFmtId="3" fontId="24" fillId="26" borderId="197" xfId="4" applyNumberFormat="1" applyFont="1" applyFill="1" applyBorder="1" applyAlignment="1">
      <alignment horizontal="center" vertical="center"/>
    </xf>
    <xf numFmtId="3" fontId="24" fillId="26" borderId="69" xfId="4" applyNumberFormat="1" applyFont="1" applyFill="1" applyBorder="1" applyAlignment="1">
      <alignment horizontal="center" vertical="center"/>
    </xf>
    <xf numFmtId="3" fontId="24" fillId="26" borderId="141" xfId="4" applyNumberFormat="1" applyFont="1" applyFill="1" applyBorder="1" applyAlignment="1">
      <alignment horizontal="center" vertical="center"/>
    </xf>
    <xf numFmtId="0" fontId="17" fillId="0" borderId="190" xfId="4" applyFont="1" applyFill="1" applyBorder="1" applyAlignment="1">
      <alignment horizontal="center" vertical="center"/>
    </xf>
    <xf numFmtId="0" fontId="17" fillId="0" borderId="37" xfId="4" applyFont="1" applyFill="1" applyBorder="1" applyAlignment="1">
      <alignment horizontal="center" vertical="center"/>
    </xf>
    <xf numFmtId="3" fontId="25" fillId="2" borderId="189" xfId="4" applyNumberFormat="1" applyFont="1" applyFill="1" applyBorder="1" applyAlignment="1">
      <alignment horizontal="center" vertical="center" wrapText="1"/>
    </xf>
    <xf numFmtId="0" fontId="25" fillId="2" borderId="189" xfId="4" applyFont="1" applyFill="1" applyBorder="1" applyAlignment="1">
      <alignment horizontal="center" vertical="center" wrapText="1"/>
    </xf>
    <xf numFmtId="0" fontId="32" fillId="0" borderId="189" xfId="0" applyFont="1" applyBorder="1" applyAlignment="1">
      <alignment wrapText="1"/>
    </xf>
    <xf numFmtId="0" fontId="32" fillId="0" borderId="199" xfId="0" applyFont="1" applyBorder="1" applyAlignment="1">
      <alignment wrapText="1"/>
    </xf>
    <xf numFmtId="0" fontId="17" fillId="0" borderId="16" xfId="4" quotePrefix="1" applyFont="1" applyFill="1" applyBorder="1" applyAlignment="1">
      <alignment horizontal="center" vertical="center" wrapText="1"/>
    </xf>
    <xf numFmtId="0" fontId="17" fillId="0" borderId="168" xfId="4" applyFont="1" applyFill="1" applyBorder="1" applyAlignment="1">
      <alignment horizontal="center" vertical="center" wrapText="1"/>
    </xf>
    <xf numFmtId="0" fontId="0" fillId="0" borderId="168" xfId="0" applyFont="1" applyBorder="1" applyAlignment="1">
      <alignment horizontal="center" vertical="center" wrapText="1"/>
    </xf>
    <xf numFmtId="3" fontId="25" fillId="0" borderId="163" xfId="4" applyNumberFormat="1" applyFont="1" applyFill="1" applyBorder="1" applyAlignment="1">
      <alignment horizontal="center" vertical="center" wrapText="1"/>
    </xf>
    <xf numFmtId="0" fontId="32" fillId="0" borderId="163" xfId="0" applyFont="1" applyFill="1" applyBorder="1" applyAlignment="1">
      <alignment horizontal="center" vertical="center" wrapText="1"/>
    </xf>
    <xf numFmtId="0" fontId="25" fillId="0" borderId="173" xfId="4" applyFont="1" applyFill="1" applyBorder="1" applyAlignment="1">
      <alignment horizontal="center" wrapText="1"/>
    </xf>
    <xf numFmtId="0" fontId="32" fillId="0" borderId="13" xfId="0" applyFont="1" applyFill="1" applyBorder="1" applyAlignment="1">
      <alignment horizontal="center" wrapText="1"/>
    </xf>
    <xf numFmtId="0" fontId="32" fillId="0" borderId="12" xfId="0" applyFont="1" applyFill="1" applyBorder="1" applyAlignment="1">
      <alignment horizontal="center" wrapText="1"/>
    </xf>
    <xf numFmtId="3" fontId="24" fillId="26" borderId="163" xfId="4" applyNumberFormat="1" applyFont="1" applyFill="1" applyBorder="1" applyAlignment="1">
      <alignment horizontal="center" vertical="center"/>
    </xf>
    <xf numFmtId="0" fontId="24" fillId="0" borderId="195" xfId="4" applyFont="1" applyFill="1" applyBorder="1" applyAlignment="1">
      <alignment horizontal="center" vertical="center" wrapText="1"/>
    </xf>
    <xf numFmtId="0" fontId="24" fillId="0" borderId="15" xfId="4" applyFont="1" applyFill="1" applyBorder="1" applyAlignment="1">
      <alignment horizontal="center" vertical="center" wrapText="1"/>
    </xf>
    <xf numFmtId="0" fontId="24" fillId="0" borderId="13" xfId="4" applyFont="1" applyFill="1" applyBorder="1" applyAlignment="1">
      <alignment horizontal="center" vertical="center" wrapText="1"/>
    </xf>
    <xf numFmtId="0" fontId="24" fillId="0" borderId="12" xfId="4" applyFont="1" applyFill="1" applyBorder="1" applyAlignment="1">
      <alignment horizontal="center" vertical="center" wrapText="1"/>
    </xf>
    <xf numFmtId="0" fontId="24" fillId="0" borderId="39" xfId="4" applyFont="1" applyFill="1" applyBorder="1" applyAlignment="1">
      <alignment horizontal="center" vertical="center" wrapText="1"/>
    </xf>
    <xf numFmtId="3" fontId="24" fillId="26" borderId="179" xfId="4" applyNumberFormat="1" applyFont="1" applyFill="1" applyBorder="1" applyAlignment="1">
      <alignment horizontal="center" vertical="center"/>
    </xf>
    <xf numFmtId="0" fontId="16" fillId="2" borderId="23" xfId="4" applyFont="1" applyFill="1" applyBorder="1" applyAlignment="1">
      <alignment horizontal="left" vertical="center" wrapText="1"/>
    </xf>
    <xf numFmtId="0" fontId="16" fillId="2" borderId="12" xfId="4" applyFont="1" applyFill="1" applyBorder="1" applyAlignment="1">
      <alignment horizontal="left" vertical="center" wrapText="1"/>
    </xf>
    <xf numFmtId="0" fontId="16" fillId="2" borderId="72" xfId="4" applyFont="1" applyFill="1" applyBorder="1" applyAlignment="1">
      <alignment horizontal="left" vertical="center" wrapText="1"/>
    </xf>
    <xf numFmtId="0" fontId="18" fillId="0" borderId="68" xfId="4" applyFont="1" applyBorder="1" applyAlignment="1">
      <alignment horizontal="center" vertical="center" wrapText="1"/>
    </xf>
    <xf numFmtId="0" fontId="0" fillId="0" borderId="163" xfId="0" applyFont="1" applyBorder="1" applyAlignment="1">
      <alignment horizontal="center" vertical="center" wrapText="1"/>
    </xf>
    <xf numFmtId="0" fontId="22" fillId="0" borderId="163" xfId="6" applyFont="1" applyBorder="1" applyAlignment="1">
      <alignment horizontal="center" vertical="center" wrapText="1"/>
    </xf>
    <xf numFmtId="0" fontId="17" fillId="0" borderId="44" xfId="4" applyFont="1" applyBorder="1" applyAlignment="1">
      <alignment horizontal="center" vertical="center" wrapText="1"/>
    </xf>
    <xf numFmtId="0" fontId="17" fillId="0" borderId="166" xfId="4" applyFont="1" applyBorder="1" applyAlignment="1">
      <alignment horizontal="center" vertical="center" wrapText="1"/>
    </xf>
    <xf numFmtId="0" fontId="20" fillId="19" borderId="68" xfId="4" applyFont="1" applyFill="1" applyBorder="1" applyAlignment="1">
      <alignment horizontal="center" vertical="center" wrapText="1"/>
    </xf>
    <xf numFmtId="0" fontId="0" fillId="19" borderId="163" xfId="0" applyFont="1" applyFill="1" applyBorder="1" applyAlignment="1">
      <alignment horizontal="center" vertical="center" wrapText="1"/>
    </xf>
    <xf numFmtId="0" fontId="17" fillId="0" borderId="168" xfId="4" quotePrefix="1" applyFont="1" applyFill="1" applyBorder="1" applyAlignment="1">
      <alignment horizontal="center" vertical="center" wrapText="1"/>
    </xf>
    <xf numFmtId="0" fontId="17" fillId="0" borderId="170" xfId="4" applyFont="1" applyFill="1" applyBorder="1" applyAlignment="1">
      <alignment horizontal="center" vertical="center" wrapText="1"/>
    </xf>
    <xf numFmtId="0" fontId="32" fillId="0" borderId="164" xfId="0" applyFont="1" applyBorder="1" applyAlignment="1">
      <alignment horizontal="center" vertical="center" wrapText="1"/>
    </xf>
    <xf numFmtId="0" fontId="25" fillId="2" borderId="163" xfId="4" applyFont="1" applyFill="1" applyBorder="1" applyAlignment="1">
      <alignment horizontal="center" vertical="center" wrapText="1"/>
    </xf>
    <xf numFmtId="0" fontId="32" fillId="0" borderId="163" xfId="0" applyFont="1" applyBorder="1" applyAlignment="1">
      <alignment wrapText="1"/>
    </xf>
    <xf numFmtId="0" fontId="32" fillId="0" borderId="124" xfId="0" applyFont="1" applyBorder="1" applyAlignment="1">
      <alignment wrapText="1"/>
    </xf>
    <xf numFmtId="3" fontId="24" fillId="22" borderId="163" xfId="4" applyNumberFormat="1" applyFont="1" applyFill="1" applyBorder="1" applyAlignment="1">
      <alignment horizontal="center" vertical="center"/>
    </xf>
    <xf numFmtId="3" fontId="24" fillId="22" borderId="173" xfId="4" applyNumberFormat="1" applyFont="1" applyFill="1" applyBorder="1" applyAlignment="1">
      <alignment horizontal="center" vertical="center"/>
    </xf>
    <xf numFmtId="3" fontId="24" fillId="22" borderId="124" xfId="4" applyNumberFormat="1" applyFont="1" applyFill="1" applyBorder="1" applyAlignment="1">
      <alignment horizontal="center" vertical="center"/>
    </xf>
    <xf numFmtId="0" fontId="23" fillId="0" borderId="35" xfId="6" applyFont="1" applyBorder="1" applyAlignment="1">
      <alignment horizontal="center" vertical="center"/>
    </xf>
    <xf numFmtId="0" fontId="23" fillId="0" borderId="185" xfId="0" applyFont="1" applyFill="1" applyBorder="1" applyAlignment="1">
      <alignment horizontal="center" wrapText="1"/>
    </xf>
    <xf numFmtId="0" fontId="23" fillId="0" borderId="35" xfId="0" applyFont="1" applyFill="1" applyBorder="1" applyAlignment="1">
      <alignment horizontal="center" wrapText="1"/>
    </xf>
    <xf numFmtId="0" fontId="23" fillId="0" borderId="13" xfId="0" applyFont="1" applyFill="1" applyBorder="1" applyAlignment="1">
      <alignment horizontal="center" wrapText="1"/>
    </xf>
    <xf numFmtId="0" fontId="23" fillId="0" borderId="12" xfId="0" applyFont="1" applyFill="1" applyBorder="1" applyAlignment="1">
      <alignment horizontal="center" wrapText="1"/>
    </xf>
    <xf numFmtId="0" fontId="17" fillId="0" borderId="37" xfId="4" applyFont="1" applyFill="1" applyBorder="1" applyAlignment="1">
      <alignment horizontal="center" vertical="center" wrapText="1"/>
    </xf>
    <xf numFmtId="0" fontId="17" fillId="0" borderId="20" xfId="4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3" fontId="25" fillId="0" borderId="189" xfId="4" applyNumberFormat="1" applyFont="1" applyFill="1" applyBorder="1" applyAlignment="1">
      <alignment horizontal="center" vertical="center" wrapText="1"/>
    </xf>
    <xf numFmtId="3" fontId="24" fillId="26" borderId="0" xfId="4" applyNumberFormat="1" applyFont="1" applyFill="1" applyBorder="1" applyAlignment="1">
      <alignment horizontal="center" vertical="center"/>
    </xf>
    <xf numFmtId="3" fontId="24" fillId="26" borderId="35" xfId="4" applyNumberFormat="1" applyFont="1" applyFill="1" applyBorder="1" applyAlignment="1">
      <alignment horizontal="center" vertical="center"/>
    </xf>
    <xf numFmtId="0" fontId="17" fillId="0" borderId="20" xfId="4" applyFont="1" applyFill="1" applyBorder="1" applyAlignment="1">
      <alignment horizontal="center" vertical="center"/>
    </xf>
    <xf numFmtId="0" fontId="17" fillId="0" borderId="168" xfId="4" applyFont="1" applyFill="1" applyBorder="1" applyAlignment="1">
      <alignment horizontal="center" vertical="center"/>
    </xf>
    <xf numFmtId="0" fontId="23" fillId="0" borderId="179" xfId="0" applyFont="1" applyBorder="1" applyAlignment="1">
      <alignment horizontal="center" vertical="center" wrapText="1"/>
    </xf>
    <xf numFmtId="0" fontId="23" fillId="0" borderId="124" xfId="0" applyFont="1" applyBorder="1" applyAlignment="1">
      <alignment horizontal="center" vertical="center" wrapText="1"/>
    </xf>
    <xf numFmtId="0" fontId="17" fillId="0" borderId="38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22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32" fillId="0" borderId="199" xfId="0" applyFont="1" applyBorder="1" applyAlignment="1">
      <alignment horizontal="center" vertical="center" wrapText="1"/>
    </xf>
    <xf numFmtId="0" fontId="32" fillId="0" borderId="39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3" fontId="24" fillId="26" borderId="7" xfId="4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17" fillId="0" borderId="187" xfId="4" applyFont="1" applyFill="1" applyBorder="1" applyAlignment="1">
      <alignment horizontal="center" vertical="center"/>
    </xf>
    <xf numFmtId="0" fontId="17" fillId="0" borderId="16" xfId="4" applyFont="1" applyFill="1" applyBorder="1" applyAlignment="1">
      <alignment horizontal="center" vertical="center"/>
    </xf>
    <xf numFmtId="0" fontId="17" fillId="0" borderId="38" xfId="4" quotePrefix="1" applyFont="1" applyFill="1" applyBorder="1" applyAlignment="1">
      <alignment horizontal="center" vertical="center" wrapText="1"/>
    </xf>
    <xf numFmtId="0" fontId="23" fillId="0" borderId="17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0" fillId="58" borderId="180" xfId="3" applyFont="1" applyFill="1" applyBorder="1" applyAlignment="1">
      <alignment horizontal="center" vertical="center"/>
    </xf>
    <xf numFmtId="0" fontId="0" fillId="58" borderId="27" xfId="3" applyFont="1" applyFill="1" applyBorder="1" applyAlignment="1">
      <alignment horizontal="center" vertical="center"/>
    </xf>
    <xf numFmtId="0" fontId="0" fillId="58" borderId="23" xfId="3" applyFont="1" applyFill="1" applyBorder="1" applyAlignment="1">
      <alignment horizontal="center" vertical="center"/>
    </xf>
    <xf numFmtId="0" fontId="17" fillId="2" borderId="84" xfId="0" quotePrefix="1" applyFont="1" applyFill="1" applyBorder="1" applyAlignment="1">
      <alignment horizontal="center" vertical="center" wrapText="1"/>
    </xf>
    <xf numFmtId="0" fontId="17" fillId="2" borderId="170" xfId="0" quotePrefix="1" applyFont="1" applyFill="1" applyBorder="1" applyAlignment="1">
      <alignment horizontal="center" vertical="center" wrapText="1"/>
    </xf>
    <xf numFmtId="0" fontId="17" fillId="2" borderId="202" xfId="0" quotePrefix="1" applyFont="1" applyFill="1" applyBorder="1" applyAlignment="1">
      <alignment horizontal="center" vertical="center" wrapText="1"/>
    </xf>
    <xf numFmtId="0" fontId="24" fillId="0" borderId="187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20" xfId="0" applyFont="1" applyFill="1" applyBorder="1" applyAlignment="1">
      <alignment horizontal="center" vertical="center" wrapText="1"/>
    </xf>
    <xf numFmtId="43" fontId="25" fillId="22" borderId="184" xfId="1" applyFont="1" applyFill="1" applyBorder="1" applyAlignment="1">
      <alignment horizontal="center" vertical="center"/>
    </xf>
    <xf numFmtId="0" fontId="37" fillId="0" borderId="187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22" xfId="0" applyFont="1" applyBorder="1" applyAlignment="1">
      <alignment horizontal="center" vertical="center" wrapText="1"/>
    </xf>
    <xf numFmtId="0" fontId="16" fillId="2" borderId="24" xfId="0" applyFont="1" applyFill="1" applyBorder="1" applyAlignment="1">
      <alignment vertical="top"/>
    </xf>
    <xf numFmtId="0" fontId="18" fillId="0" borderId="6" xfId="4" applyFont="1" applyBorder="1" applyAlignment="1">
      <alignment horizontal="center" vertical="center" wrapText="1"/>
    </xf>
    <xf numFmtId="0" fontId="18" fillId="0" borderId="22" xfId="4" applyFont="1" applyBorder="1" applyAlignment="1">
      <alignment horizontal="center" vertical="center" wrapText="1"/>
    </xf>
    <xf numFmtId="0" fontId="18" fillId="0" borderId="15" xfId="4" applyFont="1" applyBorder="1" applyAlignment="1">
      <alignment horizontal="center" vertical="center" wrapText="1"/>
    </xf>
    <xf numFmtId="0" fontId="18" fillId="0" borderId="13" xfId="4" applyFont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3" fontId="25" fillId="22" borderId="133" xfId="0" applyNumberFormat="1" applyFont="1" applyFill="1" applyBorder="1" applyAlignment="1">
      <alignment horizontal="center" vertical="center"/>
    </xf>
    <xf numFmtId="3" fontId="25" fillId="22" borderId="43" xfId="0" applyNumberFormat="1" applyFont="1" applyFill="1" applyBorder="1" applyAlignment="1">
      <alignment horizontal="center" vertical="center"/>
    </xf>
    <xf numFmtId="3" fontId="25" fillId="22" borderId="41" xfId="0" applyNumberFormat="1" applyFont="1" applyFill="1" applyBorder="1" applyAlignment="1">
      <alignment horizontal="center" vertical="center"/>
    </xf>
    <xf numFmtId="0" fontId="23" fillId="0" borderId="185" xfId="6" applyFont="1" applyBorder="1" applyAlignment="1">
      <alignment horizontal="center" vertical="center"/>
    </xf>
    <xf numFmtId="0" fontId="57" fillId="0" borderId="0" xfId="0" applyFont="1" applyFill="1" applyBorder="1" applyAlignment="1">
      <alignment horizontal="left" vertical="top"/>
    </xf>
    <xf numFmtId="0" fontId="57" fillId="0" borderId="26" xfId="0" applyFont="1" applyFill="1" applyBorder="1" applyAlignment="1">
      <alignment horizontal="left" vertical="top"/>
    </xf>
    <xf numFmtId="0" fontId="13" fillId="2" borderId="0" xfId="0" applyFont="1" applyFill="1" applyBorder="1" applyAlignment="1">
      <alignment horizontal="left" vertical="center" wrapText="1"/>
    </xf>
    <xf numFmtId="0" fontId="24" fillId="2" borderId="134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22" xfId="0" applyFont="1" applyFill="1" applyBorder="1" applyAlignment="1">
      <alignment horizontal="center" vertical="center" wrapText="1"/>
    </xf>
    <xf numFmtId="0" fontId="17" fillId="2" borderId="5" xfId="0" quotePrefix="1" applyFont="1" applyFill="1" applyBorder="1" applyAlignment="1">
      <alignment horizontal="center" vertical="center" wrapText="1"/>
    </xf>
    <xf numFmtId="0" fontId="17" fillId="2" borderId="11" xfId="0" quotePrefix="1" applyFont="1" applyFill="1" applyBorder="1" applyAlignment="1">
      <alignment horizontal="center" vertical="center" wrapText="1"/>
    </xf>
    <xf numFmtId="0" fontId="17" fillId="2" borderId="25" xfId="0" quotePrefix="1" applyFont="1" applyFill="1" applyBorder="1" applyAlignment="1">
      <alignment horizontal="center" vertical="center" wrapText="1"/>
    </xf>
    <xf numFmtId="0" fontId="17" fillId="2" borderId="52" xfId="0" quotePrefix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49" fontId="22" fillId="0" borderId="15" xfId="3" applyNumberFormat="1" applyFont="1" applyBorder="1" applyAlignment="1">
      <alignment horizontal="center" vertical="center" wrapText="1"/>
    </xf>
    <xf numFmtId="49" fontId="22" fillId="0" borderId="12" xfId="3" applyNumberFormat="1" applyFont="1" applyBorder="1" applyAlignment="1">
      <alignment horizontal="center" vertical="center" wrapText="1"/>
    </xf>
    <xf numFmtId="49" fontId="22" fillId="0" borderId="68" xfId="3" applyNumberFormat="1" applyFont="1" applyBorder="1" applyAlignment="1">
      <alignment horizontal="center" vertical="center" wrapText="1"/>
    </xf>
    <xf numFmtId="49" fontId="22" fillId="0" borderId="25" xfId="3" applyNumberFormat="1" applyFont="1" applyBorder="1" applyAlignment="1">
      <alignment horizontal="center" vertical="center" wrapText="1"/>
    </xf>
    <xf numFmtId="0" fontId="24" fillId="2" borderId="37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49" fontId="22" fillId="0" borderId="199" xfId="3" applyNumberFormat="1" applyFont="1" applyBorder="1" applyAlignment="1">
      <alignment horizontal="center" vertical="center" wrapText="1"/>
    </xf>
    <xf numFmtId="49" fontId="22" fillId="0" borderId="39" xfId="3" applyNumberFormat="1" applyFont="1" applyBorder="1" applyAlignment="1">
      <alignment horizontal="center" vertical="center" wrapText="1"/>
    </xf>
    <xf numFmtId="0" fontId="17" fillId="0" borderId="42" xfId="4" applyFont="1" applyBorder="1" applyAlignment="1">
      <alignment horizontal="center" vertical="center" wrapText="1"/>
    </xf>
    <xf numFmtId="0" fontId="17" fillId="0" borderId="43" xfId="4" applyFont="1" applyBorder="1" applyAlignment="1">
      <alignment horizontal="center" vertical="center" wrapText="1"/>
    </xf>
    <xf numFmtId="0" fontId="17" fillId="0" borderId="41" xfId="4" applyFont="1" applyBorder="1" applyAlignment="1">
      <alignment horizontal="center" vertical="center" wrapText="1"/>
    </xf>
    <xf numFmtId="0" fontId="20" fillId="19" borderId="13" xfId="4" applyFont="1" applyFill="1" applyBorder="1" applyAlignment="1">
      <alignment horizontal="center" vertical="center" wrapText="1"/>
    </xf>
    <xf numFmtId="0" fontId="20" fillId="19" borderId="12" xfId="4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top" wrapText="1"/>
    </xf>
    <xf numFmtId="0" fontId="24" fillId="0" borderId="134" xfId="0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37" fillId="0" borderId="134" xfId="0" applyFont="1" applyBorder="1" applyAlignment="1">
      <alignment horizontal="center" vertical="center" wrapText="1"/>
    </xf>
    <xf numFmtId="43" fontId="25" fillId="22" borderId="133" xfId="1" applyFont="1" applyFill="1" applyBorder="1" applyAlignment="1">
      <alignment horizontal="center" vertical="center"/>
    </xf>
    <xf numFmtId="43" fontId="25" fillId="22" borderId="43" xfId="1" applyFont="1" applyFill="1" applyBorder="1" applyAlignment="1">
      <alignment horizontal="center" vertical="center"/>
    </xf>
    <xf numFmtId="43" fontId="25" fillId="22" borderId="41" xfId="1" applyFont="1" applyFill="1" applyBorder="1" applyAlignment="1">
      <alignment horizontal="center" vertical="center"/>
    </xf>
    <xf numFmtId="0" fontId="0" fillId="0" borderId="26" xfId="0" applyFont="1" applyBorder="1"/>
    <xf numFmtId="0" fontId="0" fillId="0" borderId="66" xfId="0" applyFont="1" applyBorder="1"/>
    <xf numFmtId="0" fontId="18" fillId="0" borderId="64" xfId="0" applyFont="1" applyFill="1" applyBorder="1" applyAlignment="1">
      <alignment horizontal="center" vertical="center" wrapText="1"/>
    </xf>
    <xf numFmtId="0" fontId="18" fillId="0" borderId="65" xfId="0" applyFont="1" applyFill="1" applyBorder="1" applyAlignment="1">
      <alignment horizontal="center" vertical="center" wrapText="1"/>
    </xf>
    <xf numFmtId="0" fontId="0" fillId="0" borderId="65" xfId="0" applyFont="1" applyBorder="1" applyAlignment="1">
      <alignment horizontal="center" wrapText="1"/>
    </xf>
    <xf numFmtId="49" fontId="81" fillId="0" borderId="185" xfId="3" applyNumberFormat="1" applyFont="1" applyBorder="1" applyAlignment="1">
      <alignment horizontal="center" vertical="center" wrapText="1"/>
    </xf>
    <xf numFmtId="49" fontId="81" fillId="0" borderId="13" xfId="3" applyNumberFormat="1" applyFont="1" applyBorder="1" applyAlignment="1">
      <alignment horizontal="center" vertical="center" wrapText="1"/>
    </xf>
    <xf numFmtId="49" fontId="81" fillId="0" borderId="12" xfId="3" applyNumberFormat="1" applyFont="1" applyBorder="1" applyAlignment="1">
      <alignment horizontal="center" vertical="center" wrapText="1"/>
    </xf>
    <xf numFmtId="0" fontId="24" fillId="2" borderId="187" xfId="0" applyFont="1" applyFill="1" applyBorder="1" applyAlignment="1">
      <alignment horizontal="center" vertical="center" wrapText="1"/>
    </xf>
    <xf numFmtId="0" fontId="23" fillId="0" borderId="13" xfId="6" applyFont="1" applyBorder="1" applyAlignment="1">
      <alignment horizontal="center" vertical="center" wrapText="1"/>
    </xf>
    <xf numFmtId="0" fontId="23" fillId="0" borderId="12" xfId="6" applyFont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/>
    </xf>
    <xf numFmtId="2" fontId="17" fillId="0" borderId="11" xfId="0" applyNumberFormat="1" applyFont="1" applyFill="1" applyBorder="1" applyAlignment="1">
      <alignment horizontal="center" vertical="center"/>
    </xf>
    <xf numFmtId="2" fontId="0" fillId="0" borderId="25" xfId="0" applyNumberFormat="1" applyFont="1" applyBorder="1" applyAlignment="1">
      <alignment horizontal="center" vertical="center"/>
    </xf>
    <xf numFmtId="2" fontId="22" fillId="0" borderId="42" xfId="0" applyNumberFormat="1" applyFont="1" applyBorder="1" applyAlignment="1">
      <alignment horizontal="center" vertical="center" wrapText="1"/>
    </xf>
    <xf numFmtId="2" fontId="22" fillId="0" borderId="43" xfId="0" applyNumberFormat="1" applyFont="1" applyBorder="1" applyAlignment="1">
      <alignment horizontal="center" vertical="center" wrapText="1"/>
    </xf>
    <xf numFmtId="2" fontId="22" fillId="0" borderId="185" xfId="0" applyNumberFormat="1" applyFont="1" applyBorder="1" applyAlignment="1">
      <alignment horizontal="center" vertical="center" wrapText="1"/>
    </xf>
    <xf numFmtId="2" fontId="22" fillId="0" borderId="13" xfId="0" applyNumberFormat="1" applyFont="1" applyBorder="1" applyAlignment="1">
      <alignment horizontal="center" vertical="center" wrapText="1"/>
    </xf>
    <xf numFmtId="2" fontId="22" fillId="0" borderId="12" xfId="0" applyNumberFormat="1" applyFont="1" applyBorder="1" applyAlignment="1">
      <alignment horizontal="center" vertical="center" wrapText="1"/>
    </xf>
    <xf numFmtId="3" fontId="25" fillId="22" borderId="173" xfId="0" applyNumberFormat="1" applyFont="1" applyFill="1" applyBorder="1" applyAlignment="1">
      <alignment horizontal="center" vertical="center"/>
    </xf>
    <xf numFmtId="3" fontId="25" fillId="22" borderId="13" xfId="0" applyNumberFormat="1" applyFont="1" applyFill="1" applyBorder="1" applyAlignment="1">
      <alignment horizontal="center" vertical="center"/>
    </xf>
    <xf numFmtId="3" fontId="25" fillId="22" borderId="12" xfId="0" applyNumberFormat="1" applyFont="1" applyFill="1" applyBorder="1" applyAlignment="1">
      <alignment horizontal="center" vertical="center"/>
    </xf>
    <xf numFmtId="3" fontId="25" fillId="22" borderId="10" xfId="0" applyNumberFormat="1" applyFont="1" applyFill="1" applyBorder="1" applyAlignment="1">
      <alignment horizontal="center" vertical="center"/>
    </xf>
    <xf numFmtId="3" fontId="25" fillId="22" borderId="72" xfId="0" applyNumberFormat="1" applyFont="1" applyFill="1" applyBorder="1" applyAlignment="1">
      <alignment horizontal="center" vertical="center"/>
    </xf>
    <xf numFmtId="2" fontId="25" fillId="32" borderId="134" xfId="0" applyNumberFormat="1" applyFont="1" applyFill="1" applyBorder="1" applyAlignment="1">
      <alignment horizontal="center" vertical="center" wrapText="1"/>
    </xf>
    <xf numFmtId="2" fontId="25" fillId="32" borderId="6" xfId="0" applyNumberFormat="1" applyFont="1" applyFill="1" applyBorder="1" applyAlignment="1">
      <alignment horizontal="center" vertical="center" wrapText="1"/>
    </xf>
    <xf numFmtId="2" fontId="25" fillId="32" borderId="22" xfId="0" applyNumberFormat="1" applyFont="1" applyFill="1" applyBorder="1" applyAlignment="1">
      <alignment horizontal="center" vertical="center" wrapText="1"/>
    </xf>
    <xf numFmtId="3" fontId="24" fillId="22" borderId="185" xfId="0" applyNumberFormat="1" applyFont="1" applyFill="1" applyBorder="1" applyAlignment="1">
      <alignment horizontal="center" vertical="center"/>
    </xf>
    <xf numFmtId="3" fontId="24" fillId="22" borderId="13" xfId="0" applyNumberFormat="1" applyFont="1" applyFill="1" applyBorder="1" applyAlignment="1">
      <alignment horizontal="center" vertical="center"/>
    </xf>
    <xf numFmtId="3" fontId="24" fillId="22" borderId="12" xfId="0" applyNumberFormat="1" applyFont="1" applyFill="1" applyBorder="1" applyAlignment="1">
      <alignment horizontal="center" vertical="center"/>
    </xf>
    <xf numFmtId="3" fontId="25" fillId="22" borderId="185" xfId="0" applyNumberFormat="1" applyFont="1" applyFill="1" applyBorder="1" applyAlignment="1">
      <alignment horizontal="center" vertical="center"/>
    </xf>
    <xf numFmtId="2" fontId="18" fillId="0" borderId="64" xfId="0" applyNumberFormat="1" applyFont="1" applyFill="1" applyBorder="1" applyAlignment="1">
      <alignment horizontal="center" vertical="center" wrapText="1"/>
    </xf>
    <xf numFmtId="2" fontId="0" fillId="0" borderId="65" xfId="0" applyNumberFormat="1" applyFont="1" applyBorder="1" applyAlignment="1">
      <alignment horizontal="center" wrapText="1"/>
    </xf>
    <xf numFmtId="2" fontId="0" fillId="0" borderId="67" xfId="0" applyNumberFormat="1" applyFont="1" applyBorder="1" applyAlignment="1">
      <alignment horizontal="center" wrapText="1"/>
    </xf>
    <xf numFmtId="2" fontId="22" fillId="0" borderId="41" xfId="0" applyNumberFormat="1" applyFont="1" applyBorder="1" applyAlignment="1">
      <alignment horizontal="center" vertical="center" wrapText="1"/>
    </xf>
    <xf numFmtId="2" fontId="23" fillId="0" borderId="187" xfId="0" applyNumberFormat="1" applyFont="1" applyBorder="1" applyAlignment="1">
      <alignment horizontal="center" vertical="center" wrapText="1"/>
    </xf>
    <xf numFmtId="2" fontId="23" fillId="0" borderId="20" xfId="0" applyNumberFormat="1" applyFont="1" applyBorder="1" applyAlignment="1">
      <alignment horizontal="center" vertical="center" wrapText="1"/>
    </xf>
    <xf numFmtId="2" fontId="23" fillId="0" borderId="22" xfId="0" applyNumberFormat="1" applyFont="1" applyBorder="1" applyAlignment="1">
      <alignment horizontal="center" vertical="center" wrapText="1"/>
    </xf>
    <xf numFmtId="2" fontId="16" fillId="2" borderId="24" xfId="0" applyNumberFormat="1" applyFont="1" applyFill="1" applyBorder="1" applyAlignment="1">
      <alignment horizontal="left" vertical="center" wrapText="1"/>
    </xf>
    <xf numFmtId="2" fontId="20" fillId="0" borderId="5" xfId="0" applyNumberFormat="1" applyFont="1" applyBorder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20" fillId="0" borderId="25" xfId="0" applyNumberFormat="1" applyFont="1" applyBorder="1" applyAlignment="1">
      <alignment horizontal="center" vertical="center" wrapText="1"/>
    </xf>
    <xf numFmtId="2" fontId="18" fillId="0" borderId="14" xfId="4" applyNumberFormat="1" applyFont="1" applyBorder="1" applyAlignment="1">
      <alignment horizontal="center" vertical="center" wrapText="1"/>
    </xf>
    <xf numFmtId="2" fontId="18" fillId="0" borderId="6" xfId="4" applyNumberFormat="1" applyFont="1" applyBorder="1" applyAlignment="1">
      <alignment horizontal="center" vertical="center" wrapText="1"/>
    </xf>
    <xf numFmtId="2" fontId="18" fillId="0" borderId="22" xfId="4" applyNumberFormat="1" applyFont="1" applyBorder="1" applyAlignment="1">
      <alignment horizontal="center" vertical="center" wrapText="1"/>
    </xf>
    <xf numFmtId="2" fontId="18" fillId="0" borderId="15" xfId="4" applyNumberFormat="1" applyFont="1" applyBorder="1" applyAlignment="1">
      <alignment horizontal="center" vertical="center" wrapText="1"/>
    </xf>
    <xf numFmtId="2" fontId="18" fillId="0" borderId="13" xfId="4" applyNumberFormat="1" applyFont="1" applyBorder="1" applyAlignment="1">
      <alignment horizontal="center" vertical="center" wrapText="1"/>
    </xf>
    <xf numFmtId="2" fontId="18" fillId="0" borderId="12" xfId="4" applyNumberFormat="1" applyFont="1" applyBorder="1" applyAlignment="1">
      <alignment horizontal="center" vertical="center" wrapText="1"/>
    </xf>
    <xf numFmtId="2" fontId="17" fillId="0" borderId="64" xfId="4" applyNumberFormat="1" applyFont="1" applyBorder="1" applyAlignment="1">
      <alignment horizontal="center" vertical="center" wrapText="1"/>
    </xf>
    <xf numFmtId="2" fontId="17" fillId="0" borderId="65" xfId="4" applyNumberFormat="1" applyFont="1" applyBorder="1" applyAlignment="1">
      <alignment horizontal="center" vertical="center" wrapText="1"/>
    </xf>
    <xf numFmtId="2" fontId="17" fillId="0" borderId="67" xfId="4" applyNumberFormat="1" applyFont="1" applyBorder="1" applyAlignment="1">
      <alignment horizontal="center" vertical="center" wrapText="1"/>
    </xf>
    <xf numFmtId="2" fontId="20" fillId="19" borderId="15" xfId="4" applyNumberFormat="1" applyFont="1" applyFill="1" applyBorder="1" applyAlignment="1">
      <alignment horizontal="center" vertical="center" wrapText="1"/>
    </xf>
    <xf numFmtId="2" fontId="0" fillId="19" borderId="13" xfId="0" applyNumberFormat="1" applyFont="1" applyFill="1" applyBorder="1" applyAlignment="1">
      <alignment horizontal="center" vertical="center" wrapText="1"/>
    </xf>
    <xf numFmtId="2" fontId="0" fillId="19" borderId="12" xfId="0" applyNumberFormat="1" applyFont="1" applyFill="1" applyBorder="1" applyAlignment="1">
      <alignment horizontal="center" vertical="center" wrapText="1"/>
    </xf>
    <xf numFmtId="2" fontId="24" fillId="2" borderId="15" xfId="0" applyNumberFormat="1" applyFont="1" applyFill="1" applyBorder="1" applyAlignment="1">
      <alignment horizontal="center" vertical="center" wrapText="1"/>
    </xf>
    <xf numFmtId="2" fontId="24" fillId="2" borderId="13" xfId="0" applyNumberFormat="1" applyFont="1" applyFill="1" applyBorder="1" applyAlignment="1">
      <alignment horizontal="center" vertical="center" wrapText="1"/>
    </xf>
    <xf numFmtId="2" fontId="24" fillId="2" borderId="12" xfId="0" applyNumberFormat="1" applyFont="1" applyFill="1" applyBorder="1" applyAlignment="1">
      <alignment horizontal="center" vertical="center" wrapText="1"/>
    </xf>
    <xf numFmtId="2" fontId="23" fillId="0" borderId="15" xfId="6" applyNumberFormat="1" applyFont="1" applyBorder="1" applyAlignment="1">
      <alignment horizontal="center" vertical="center" wrapText="1"/>
    </xf>
    <xf numFmtId="2" fontId="23" fillId="0" borderId="13" xfId="6" applyNumberFormat="1" applyFont="1" applyBorder="1" applyAlignment="1">
      <alignment horizontal="center" vertical="center" wrapText="1"/>
    </xf>
    <xf numFmtId="2" fontId="23" fillId="0" borderId="12" xfId="6" applyNumberFormat="1" applyFont="1" applyBorder="1" applyAlignment="1">
      <alignment horizontal="center" vertical="center" wrapText="1"/>
    </xf>
    <xf numFmtId="2" fontId="25" fillId="0" borderId="77" xfId="4" applyNumberFormat="1" applyFont="1" applyBorder="1" applyAlignment="1">
      <alignment horizontal="center" vertical="center" wrapText="1"/>
    </xf>
    <xf numFmtId="2" fontId="25" fillId="0" borderId="18" xfId="4" applyNumberFormat="1" applyFont="1" applyBorder="1" applyAlignment="1">
      <alignment horizontal="center" vertical="center" wrapText="1"/>
    </xf>
    <xf numFmtId="2" fontId="25" fillId="0" borderId="17" xfId="4" applyNumberFormat="1" applyFont="1" applyBorder="1" applyAlignment="1">
      <alignment horizontal="center" vertical="center" wrapText="1"/>
    </xf>
    <xf numFmtId="2" fontId="23" fillId="0" borderId="185" xfId="6" applyNumberFormat="1" applyFont="1" applyBorder="1" applyAlignment="1">
      <alignment horizontal="center" vertical="center"/>
    </xf>
    <xf numFmtId="2" fontId="23" fillId="0" borderId="12" xfId="6" applyNumberFormat="1" applyFont="1" applyBorder="1" applyAlignment="1">
      <alignment horizontal="center" vertical="center"/>
    </xf>
    <xf numFmtId="2" fontId="4" fillId="0" borderId="18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2" xfId="0" applyNumberFormat="1" applyFont="1" applyBorder="1" applyAlignment="1">
      <alignment horizontal="center" vertical="center"/>
    </xf>
    <xf numFmtId="2" fontId="25" fillId="22" borderId="185" xfId="0" applyNumberFormat="1" applyFont="1" applyFill="1" applyBorder="1" applyAlignment="1">
      <alignment horizontal="center" vertical="center"/>
    </xf>
    <xf numFmtId="2" fontId="25" fillId="22" borderId="13" xfId="0" applyNumberFormat="1" applyFont="1" applyFill="1" applyBorder="1" applyAlignment="1">
      <alignment horizontal="center" vertical="center"/>
    </xf>
    <xf numFmtId="2" fontId="25" fillId="22" borderId="12" xfId="0" applyNumberFormat="1" applyFont="1" applyFill="1" applyBorder="1" applyAlignment="1">
      <alignment horizontal="center" vertical="center"/>
    </xf>
    <xf numFmtId="2" fontId="23" fillId="0" borderId="6" xfId="0" applyNumberFormat="1" applyFont="1" applyBorder="1" applyAlignment="1">
      <alignment horizontal="center" vertical="center" wrapText="1"/>
    </xf>
    <xf numFmtId="2" fontId="17" fillId="51" borderId="5" xfId="0" applyNumberFormat="1" applyFont="1" applyFill="1" applyBorder="1" applyAlignment="1">
      <alignment horizontal="center" vertical="center" wrapText="1"/>
    </xf>
    <xf numFmtId="2" fontId="4" fillId="51" borderId="11" xfId="0" applyNumberFormat="1" applyFont="1" applyFill="1" applyBorder="1" applyAlignment="1">
      <alignment vertical="center" wrapText="1"/>
    </xf>
    <xf numFmtId="2" fontId="4" fillId="51" borderId="25" xfId="0" applyNumberFormat="1" applyFont="1" applyFill="1" applyBorder="1" applyAlignment="1">
      <alignment vertical="center" wrapText="1"/>
    </xf>
    <xf numFmtId="2" fontId="25" fillId="22" borderId="198" xfId="0" applyNumberFormat="1" applyFont="1" applyFill="1" applyBorder="1" applyAlignment="1">
      <alignment horizontal="center" vertical="center"/>
    </xf>
    <xf numFmtId="2" fontId="25" fillId="22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2" fontId="25" fillId="2" borderId="187" xfId="0" applyNumberFormat="1" applyFont="1" applyFill="1" applyBorder="1" applyAlignment="1">
      <alignment horizontal="center" vertical="center" wrapText="1"/>
    </xf>
    <xf numFmtId="2" fontId="17" fillId="0" borderId="5" xfId="0" applyNumberFormat="1" applyFont="1" applyFill="1" applyBorder="1" applyAlignment="1">
      <alignment horizontal="center" vertical="center" wrapText="1"/>
    </xf>
    <xf numFmtId="2" fontId="4" fillId="0" borderId="11" xfId="0" applyNumberFormat="1" applyFont="1" applyBorder="1" applyAlignment="1">
      <alignment vertical="center" wrapText="1"/>
    </xf>
    <xf numFmtId="2" fontId="4" fillId="0" borderId="25" xfId="0" applyNumberFormat="1" applyFont="1" applyBorder="1" applyAlignment="1">
      <alignment vertical="center" wrapText="1"/>
    </xf>
    <xf numFmtId="2" fontId="23" fillId="0" borderId="185" xfId="0" applyNumberFormat="1" applyFont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 wrapText="1"/>
    </xf>
    <xf numFmtId="2" fontId="17" fillId="0" borderId="11" xfId="0" applyNumberFormat="1" applyFont="1" applyFill="1" applyBorder="1" applyAlignment="1">
      <alignment horizontal="center" vertical="center" wrapText="1"/>
    </xf>
    <xf numFmtId="2" fontId="18" fillId="0" borderId="43" xfId="0" applyNumberFormat="1" applyFont="1" applyFill="1" applyBorder="1" applyAlignment="1">
      <alignment horizontal="center" vertical="center" wrapText="1"/>
    </xf>
    <xf numFmtId="2" fontId="4" fillId="0" borderId="65" xfId="0" applyNumberFormat="1" applyFont="1" applyBorder="1"/>
    <xf numFmtId="2" fontId="4" fillId="0" borderId="0" xfId="0" applyNumberFormat="1" applyFont="1" applyBorder="1"/>
    <xf numFmtId="2" fontId="21" fillId="0" borderId="43" xfId="0" applyNumberFormat="1" applyFont="1" applyFill="1" applyBorder="1" applyAlignment="1">
      <alignment horizontal="center" vertical="center" wrapText="1"/>
    </xf>
    <xf numFmtId="2" fontId="21" fillId="0" borderId="41" xfId="0" applyNumberFormat="1" applyFont="1" applyFill="1" applyBorder="1" applyAlignment="1">
      <alignment horizontal="center" vertical="center" wrapText="1"/>
    </xf>
    <xf numFmtId="2" fontId="20" fillId="0" borderId="42" xfId="0" applyNumberFormat="1" applyFont="1" applyFill="1" applyBorder="1" applyAlignment="1">
      <alignment horizontal="center" vertical="center" wrapText="1"/>
    </xf>
    <xf numFmtId="2" fontId="20" fillId="0" borderId="43" xfId="0" applyNumberFormat="1" applyFont="1" applyFill="1" applyBorder="1" applyAlignment="1">
      <alignment horizontal="center" vertical="center" wrapText="1"/>
    </xf>
    <xf numFmtId="2" fontId="20" fillId="0" borderId="46" xfId="0" applyNumberFormat="1" applyFont="1" applyFill="1" applyBorder="1" applyAlignment="1">
      <alignment horizontal="center" vertical="center" wrapText="1"/>
    </xf>
    <xf numFmtId="2" fontId="20" fillId="31" borderId="68" xfId="0" applyNumberFormat="1" applyFont="1" applyFill="1" applyBorder="1" applyAlignment="1">
      <alignment horizontal="center" vertical="center" wrapText="1"/>
    </xf>
    <xf numFmtId="2" fontId="20" fillId="31" borderId="25" xfId="0" applyNumberFormat="1" applyFont="1" applyFill="1" applyBorder="1" applyAlignment="1">
      <alignment horizontal="center" vertical="center" wrapText="1"/>
    </xf>
    <xf numFmtId="2" fontId="20" fillId="31" borderId="11" xfId="0" applyNumberFormat="1" applyFont="1" applyFill="1" applyBorder="1" applyAlignment="1">
      <alignment horizontal="center" vertical="center" wrapText="1"/>
    </xf>
    <xf numFmtId="2" fontId="20" fillId="31" borderId="0" xfId="0" applyNumberFormat="1" applyFont="1" applyFill="1" applyBorder="1" applyAlignment="1">
      <alignment horizontal="center" vertical="center" wrapText="1"/>
    </xf>
    <xf numFmtId="2" fontId="20" fillId="31" borderId="52" xfId="0" applyNumberFormat="1" applyFont="1" applyFill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/>
    </xf>
    <xf numFmtId="0" fontId="24" fillId="0" borderId="39" xfId="0" applyFont="1" applyFill="1" applyBorder="1" applyAlignment="1">
      <alignment horizontal="center" vertical="center" wrapText="1"/>
    </xf>
    <xf numFmtId="0" fontId="24" fillId="0" borderId="68" xfId="0" applyFont="1" applyFill="1" applyBorder="1" applyAlignment="1">
      <alignment horizontal="center" vertical="center" wrapText="1"/>
    </xf>
    <xf numFmtId="0" fontId="24" fillId="0" borderId="199" xfId="0" applyFont="1" applyFill="1" applyBorder="1" applyAlignment="1">
      <alignment horizontal="center" vertical="center" wrapText="1"/>
    </xf>
    <xf numFmtId="3" fontId="25" fillId="28" borderId="15" xfId="0" applyNumberFormat="1" applyFont="1" applyFill="1" applyBorder="1" applyAlignment="1">
      <alignment horizontal="center" vertical="center" wrapText="1"/>
    </xf>
    <xf numFmtId="3" fontId="25" fillId="28" borderId="12" xfId="0" applyNumberFormat="1" applyFont="1" applyFill="1" applyBorder="1" applyAlignment="1">
      <alignment horizontal="center" vertical="center" wrapText="1"/>
    </xf>
    <xf numFmtId="3" fontId="25" fillId="28" borderId="39" xfId="0" applyNumberFormat="1" applyFont="1" applyFill="1" applyBorder="1" applyAlignment="1">
      <alignment horizontal="center" vertical="center" wrapText="1"/>
    </xf>
    <xf numFmtId="3" fontId="25" fillId="28" borderId="68" xfId="0" applyNumberFormat="1" applyFont="1" applyFill="1" applyBorder="1" applyAlignment="1">
      <alignment horizontal="center" vertical="center" wrapText="1"/>
    </xf>
    <xf numFmtId="3" fontId="25" fillId="28" borderId="199" xfId="0" applyNumberFormat="1" applyFont="1" applyFill="1" applyBorder="1" applyAlignment="1">
      <alignment horizontal="center" vertical="center" wrapText="1"/>
    </xf>
    <xf numFmtId="0" fontId="25" fillId="8" borderId="134" xfId="0" applyFont="1" applyFill="1" applyBorder="1" applyAlignment="1">
      <alignment horizontal="center" vertical="center" wrapText="1"/>
    </xf>
    <xf numFmtId="0" fontId="25" fillId="8" borderId="6" xfId="0" applyFont="1" applyFill="1" applyBorder="1" applyAlignment="1">
      <alignment horizontal="center" vertical="center" wrapText="1"/>
    </xf>
    <xf numFmtId="0" fontId="25" fillId="2" borderId="134" xfId="0" applyFont="1" applyFill="1" applyBorder="1" applyAlignment="1">
      <alignment horizontal="center" vertical="center" wrapText="1"/>
    </xf>
    <xf numFmtId="0" fontId="23" fillId="2" borderId="2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wrapText="1"/>
    </xf>
    <xf numFmtId="0" fontId="23" fillId="0" borderId="42" xfId="0" applyFont="1" applyBorder="1" applyAlignment="1">
      <alignment horizontal="center" wrapText="1"/>
    </xf>
    <xf numFmtId="0" fontId="23" fillId="0" borderId="43" xfId="0" applyFont="1" applyBorder="1" applyAlignment="1">
      <alignment horizontal="center" wrapText="1"/>
    </xf>
    <xf numFmtId="0" fontId="23" fillId="0" borderId="41" xfId="0" applyFont="1" applyBorder="1" applyAlignment="1">
      <alignment horizontal="center" wrapText="1"/>
    </xf>
    <xf numFmtId="0" fontId="25" fillId="2" borderId="89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3" fontId="25" fillId="22" borderId="93" xfId="0" applyNumberFormat="1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 wrapText="1"/>
    </xf>
    <xf numFmtId="0" fontId="6" fillId="0" borderId="103" xfId="4" applyFont="1" applyFill="1" applyBorder="1" applyAlignment="1">
      <alignment horizontal="center" vertical="center" wrapText="1"/>
    </xf>
    <xf numFmtId="0" fontId="6" fillId="0" borderId="6" xfId="4" applyFont="1" applyFill="1" applyBorder="1" applyAlignment="1">
      <alignment horizontal="center" vertical="center" wrapText="1"/>
    </xf>
    <xf numFmtId="0" fontId="6" fillId="0" borderId="20" xfId="4" applyFont="1" applyFill="1" applyBorder="1" applyAlignment="1">
      <alignment horizontal="center" vertical="center" wrapText="1"/>
    </xf>
    <xf numFmtId="0" fontId="7" fillId="0" borderId="10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" fontId="25" fillId="22" borderId="99" xfId="0" applyNumberFormat="1" applyFont="1" applyFill="1" applyBorder="1" applyAlignment="1">
      <alignment horizontal="center" vertical="center"/>
    </xf>
    <xf numFmtId="0" fontId="8" fillId="0" borderId="103" xfId="4" applyFont="1" applyFill="1" applyBorder="1" applyAlignment="1">
      <alignment horizontal="center" vertical="center" wrapText="1"/>
    </xf>
    <xf numFmtId="0" fontId="8" fillId="0" borderId="6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4" applyFont="1" applyFill="1" applyBorder="1" applyAlignment="1">
      <alignment horizontal="center" vertical="center" wrapText="1"/>
    </xf>
    <xf numFmtId="0" fontId="8" fillId="0" borderId="38" xfId="4" applyFont="1" applyFill="1" applyBorder="1" applyAlignment="1">
      <alignment horizontal="center" vertical="center" wrapText="1"/>
    </xf>
    <xf numFmtId="0" fontId="8" fillId="0" borderId="20" xfId="4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31" fillId="32" borderId="0" xfId="0" applyFont="1" applyFill="1" applyBorder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32" fillId="0" borderId="40" xfId="0" applyFont="1" applyBorder="1"/>
    <xf numFmtId="3" fontId="25" fillId="28" borderId="42" xfId="0" applyNumberFormat="1" applyFont="1" applyFill="1" applyBorder="1" applyAlignment="1">
      <alignment horizontal="center" vertical="center" wrapText="1"/>
    </xf>
    <xf numFmtId="3" fontId="25" fillId="28" borderId="43" xfId="0" applyNumberFormat="1" applyFont="1" applyFill="1" applyBorder="1" applyAlignment="1">
      <alignment horizontal="center" vertical="center" wrapText="1"/>
    </xf>
    <xf numFmtId="3" fontId="25" fillId="28" borderId="41" xfId="0" applyNumberFormat="1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25" fillId="0" borderId="134" xfId="0" applyFont="1" applyFill="1" applyBorder="1" applyAlignment="1">
      <alignment horizontal="center" vertical="center" wrapText="1"/>
    </xf>
    <xf numFmtId="0" fontId="25" fillId="2" borderId="22" xfId="0" applyFont="1" applyFill="1" applyBorder="1" applyAlignment="1">
      <alignment horizontal="center" vertical="center" wrapText="1"/>
    </xf>
    <xf numFmtId="0" fontId="16" fillId="2" borderId="24" xfId="0" applyFont="1" applyFill="1" applyBorder="1" applyAlignment="1">
      <alignment horizontal="left" vertical="center" wrapText="1"/>
    </xf>
    <xf numFmtId="0" fontId="20" fillId="0" borderId="52" xfId="0" applyFont="1" applyBorder="1" applyAlignment="1">
      <alignment horizontal="center" vertical="center" wrapText="1"/>
    </xf>
    <xf numFmtId="0" fontId="22" fillId="0" borderId="12" xfId="6" applyFont="1" applyBorder="1" applyAlignment="1">
      <alignment horizontal="center" vertical="center" wrapText="1"/>
    </xf>
    <xf numFmtId="0" fontId="17" fillId="0" borderId="64" xfId="4" applyFont="1" applyBorder="1" applyAlignment="1">
      <alignment horizontal="center" vertical="center" wrapText="1"/>
    </xf>
    <xf numFmtId="0" fontId="17" fillId="0" borderId="67" xfId="4" applyFont="1" applyBorder="1" applyAlignment="1">
      <alignment horizontal="center" vertical="center" wrapText="1"/>
    </xf>
    <xf numFmtId="3" fontId="24" fillId="22" borderId="93" xfId="0" applyNumberFormat="1" applyFont="1" applyFill="1" applyBorder="1" applyAlignment="1">
      <alignment horizontal="center" vertical="center"/>
    </xf>
    <xf numFmtId="0" fontId="24" fillId="0" borderId="42" xfId="0" applyFont="1" applyFill="1" applyBorder="1" applyAlignment="1">
      <alignment horizontal="center" vertical="center" wrapText="1"/>
    </xf>
    <xf numFmtId="0" fontId="23" fillId="0" borderId="18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0" borderId="39" xfId="0" applyFont="1" applyBorder="1" applyAlignment="1">
      <alignment horizontal="center" wrapText="1"/>
    </xf>
    <xf numFmtId="0" fontId="23" fillId="0" borderId="68" xfId="0" applyFont="1" applyBorder="1" applyAlignment="1">
      <alignment horizontal="center" wrapText="1"/>
    </xf>
    <xf numFmtId="0" fontId="25" fillId="2" borderId="103" xfId="0" applyFont="1" applyFill="1" applyBorder="1" applyAlignment="1">
      <alignment horizontal="center" vertical="center" wrapText="1"/>
    </xf>
    <xf numFmtId="0" fontId="7" fillId="0" borderId="187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8" fillId="0" borderId="187" xfId="4" applyFont="1" applyFill="1" applyBorder="1" applyAlignment="1">
      <alignment horizontal="center" vertical="center" wrapText="1"/>
    </xf>
    <xf numFmtId="0" fontId="25" fillId="2" borderId="187" xfId="0" applyFont="1" applyFill="1" applyBorder="1" applyAlignment="1">
      <alignment horizontal="center" vertical="center" wrapText="1"/>
    </xf>
    <xf numFmtId="0" fontId="17" fillId="0" borderId="42" xfId="0" applyFont="1" applyFill="1" applyBorder="1" applyAlignment="1">
      <alignment horizontal="center" vertical="center" wrapText="1"/>
    </xf>
    <xf numFmtId="0" fontId="37" fillId="0" borderId="43" xfId="0" applyFont="1" applyBorder="1" applyAlignment="1">
      <alignment horizontal="center" wrapText="1"/>
    </xf>
    <xf numFmtId="0" fontId="37" fillId="0" borderId="41" xfId="0" applyFont="1" applyBorder="1" applyAlignment="1">
      <alignment horizontal="center" wrapText="1"/>
    </xf>
    <xf numFmtId="0" fontId="19" fillId="0" borderId="26" xfId="4" applyFont="1" applyFill="1" applyBorder="1" applyAlignment="1">
      <alignment horizontal="center" vertical="center" wrapText="1"/>
    </xf>
    <xf numFmtId="3" fontId="24" fillId="22" borderId="99" xfId="0" applyNumberFormat="1" applyFont="1" applyFill="1" applyBorder="1" applyAlignment="1">
      <alignment horizontal="center" vertical="center"/>
    </xf>
    <xf numFmtId="3" fontId="24" fillId="22" borderId="35" xfId="0" applyNumberFormat="1" applyFont="1" applyFill="1" applyBorder="1" applyAlignment="1">
      <alignment horizontal="center" vertical="center"/>
    </xf>
    <xf numFmtId="3" fontId="25" fillId="22" borderId="35" xfId="0" applyNumberFormat="1" applyFont="1" applyFill="1" applyBorder="1" applyAlignment="1">
      <alignment horizontal="center" vertical="center"/>
    </xf>
    <xf numFmtId="0" fontId="17" fillId="0" borderId="104" xfId="0" applyFont="1" applyFill="1" applyBorder="1" applyAlignment="1">
      <alignment horizontal="center" vertical="center"/>
    </xf>
    <xf numFmtId="3" fontId="25" fillId="22" borderId="15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23" fillId="0" borderId="18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4" fillId="2" borderId="42" xfId="0" applyFont="1" applyFill="1" applyBorder="1" applyAlignment="1">
      <alignment horizontal="center" vertical="center" wrapText="1"/>
    </xf>
    <xf numFmtId="0" fontId="24" fillId="2" borderId="43" xfId="0" applyFont="1" applyFill="1" applyBorder="1" applyAlignment="1">
      <alignment horizontal="center" vertical="center" wrapText="1"/>
    </xf>
    <xf numFmtId="0" fontId="24" fillId="2" borderId="41" xfId="0" applyFont="1" applyFill="1" applyBorder="1" applyAlignment="1">
      <alignment horizontal="center" vertical="center" wrapText="1"/>
    </xf>
    <xf numFmtId="0" fontId="19" fillId="0" borderId="171" xfId="4" applyFont="1" applyFill="1" applyBorder="1" applyAlignment="1">
      <alignment horizontal="center" vertical="center" wrapText="1"/>
    </xf>
    <xf numFmtId="0" fontId="19" fillId="0" borderId="66" xfId="4" applyFont="1" applyFill="1" applyBorder="1" applyAlignment="1">
      <alignment horizontal="center" vertical="center" wrapText="1"/>
    </xf>
    <xf numFmtId="3" fontId="24" fillId="22" borderId="173" xfId="0" applyNumberFormat="1" applyFont="1" applyFill="1" applyBorder="1" applyAlignment="1">
      <alignment horizontal="center" vertical="center"/>
    </xf>
    <xf numFmtId="3" fontId="0" fillId="0" borderId="26" xfId="0" applyNumberFormat="1" applyFont="1" applyBorder="1" applyAlignment="1">
      <alignment horizontal="justify" vertical="top" wrapText="1"/>
    </xf>
    <xf numFmtId="3" fontId="0" fillId="0" borderId="0" xfId="0" applyNumberFormat="1" applyFont="1" applyBorder="1" applyAlignment="1">
      <alignment horizontal="justify" vertical="top" wrapText="1"/>
    </xf>
    <xf numFmtId="0" fontId="25" fillId="2" borderId="199" xfId="0" applyFont="1" applyFill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center" wrapText="1"/>
    </xf>
    <xf numFmtId="0" fontId="23" fillId="2" borderId="17" xfId="0" applyFont="1" applyFill="1" applyBorder="1" applyAlignment="1">
      <alignment horizontal="center" wrapText="1"/>
    </xf>
    <xf numFmtId="0" fontId="23" fillId="2" borderId="206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67" xfId="0" applyFont="1" applyFill="1" applyBorder="1" applyAlignment="1">
      <alignment horizontal="center" wrapText="1"/>
    </xf>
    <xf numFmtId="0" fontId="23" fillId="2" borderId="65" xfId="0" applyFont="1" applyFill="1" applyBorder="1" applyAlignment="1">
      <alignment horizontal="center" wrapText="1"/>
    </xf>
    <xf numFmtId="0" fontId="23" fillId="2" borderId="0" xfId="0" applyFont="1" applyFill="1" applyBorder="1" applyAlignment="1">
      <alignment horizontal="center" wrapText="1"/>
    </xf>
    <xf numFmtId="0" fontId="23" fillId="2" borderId="78" xfId="0" applyFont="1" applyFill="1" applyBorder="1" applyAlignment="1">
      <alignment horizontal="center" wrapText="1"/>
    </xf>
    <xf numFmtId="0" fontId="23" fillId="2" borderId="64" xfId="0" applyFont="1" applyFill="1" applyBorder="1" applyAlignment="1">
      <alignment horizontal="center" wrapText="1"/>
    </xf>
    <xf numFmtId="3" fontId="25" fillId="22" borderId="131" xfId="0" applyNumberFormat="1" applyFont="1" applyFill="1" applyBorder="1" applyAlignment="1">
      <alignment horizontal="center" vertical="center"/>
    </xf>
    <xf numFmtId="3" fontId="25" fillId="22" borderId="198" xfId="0" applyNumberFormat="1" applyFont="1" applyFill="1" applyBorder="1" applyAlignment="1">
      <alignment horizontal="center" vertical="center"/>
    </xf>
    <xf numFmtId="0" fontId="23" fillId="0" borderId="18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3" fontId="25" fillId="2" borderId="130" xfId="4" applyNumberFormat="1" applyFont="1" applyFill="1" applyBorder="1" applyAlignment="1">
      <alignment horizontal="center" vertical="center" wrapText="1"/>
    </xf>
    <xf numFmtId="0" fontId="32" fillId="0" borderId="131" xfId="0" applyFont="1" applyBorder="1" applyAlignment="1">
      <alignment horizontal="center" vertical="center"/>
    </xf>
    <xf numFmtId="0" fontId="23" fillId="0" borderId="185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2" xfId="0" applyFont="1" applyFill="1" applyBorder="1" applyAlignment="1">
      <alignment horizontal="center" vertical="center" wrapText="1"/>
    </xf>
    <xf numFmtId="0" fontId="20" fillId="2" borderId="38" xfId="0" applyFont="1" applyFill="1" applyBorder="1" applyAlignment="1">
      <alignment horizontal="center" vertical="center" wrapText="1"/>
    </xf>
    <xf numFmtId="0" fontId="21" fillId="0" borderId="42" xfId="0" applyFont="1" applyFill="1" applyBorder="1" applyAlignment="1">
      <alignment horizontal="center" vertical="center" wrapText="1"/>
    </xf>
    <xf numFmtId="0" fontId="21" fillId="0" borderId="43" xfId="0" applyFont="1" applyFill="1" applyBorder="1" applyAlignment="1">
      <alignment horizontal="center" vertical="center" wrapText="1"/>
    </xf>
    <xf numFmtId="0" fontId="21" fillId="0" borderId="41" xfId="0" applyFont="1" applyFill="1" applyBorder="1" applyAlignment="1">
      <alignment horizontal="center" vertical="center" wrapText="1"/>
    </xf>
    <xf numFmtId="3" fontId="25" fillId="2" borderId="131" xfId="4" applyNumberFormat="1" applyFont="1" applyFill="1" applyBorder="1" applyAlignment="1">
      <alignment horizontal="center" vertical="center" wrapText="1"/>
    </xf>
    <xf numFmtId="3" fontId="25" fillId="2" borderId="13" xfId="4" applyNumberFormat="1" applyFont="1" applyFill="1" applyBorder="1" applyAlignment="1">
      <alignment horizontal="center" vertical="center" wrapText="1"/>
    </xf>
    <xf numFmtId="3" fontId="25" fillId="2" borderId="35" xfId="4" applyNumberFormat="1" applyFont="1" applyFill="1" applyBorder="1" applyAlignment="1">
      <alignment horizontal="center" vertical="center" wrapText="1"/>
    </xf>
    <xf numFmtId="0" fontId="23" fillId="0" borderId="131" xfId="0" applyFont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3" fontId="25" fillId="25" borderId="107" xfId="0" applyNumberFormat="1" applyFont="1" applyFill="1" applyBorder="1" applyAlignment="1">
      <alignment horizontal="center" vertical="center"/>
    </xf>
    <xf numFmtId="3" fontId="25" fillId="25" borderId="10" xfId="0" applyNumberFormat="1" applyFont="1" applyFill="1" applyBorder="1" applyAlignment="1">
      <alignment horizontal="center" vertical="center"/>
    </xf>
    <xf numFmtId="3" fontId="25" fillId="25" borderId="72" xfId="0" applyNumberFormat="1" applyFont="1" applyFill="1" applyBorder="1" applyAlignment="1">
      <alignment horizontal="center" vertical="center"/>
    </xf>
    <xf numFmtId="3" fontId="25" fillId="2" borderId="185" xfId="4" applyNumberFormat="1" applyFont="1" applyFill="1" applyBorder="1" applyAlignment="1">
      <alignment horizontal="center" vertical="center" wrapText="1"/>
    </xf>
    <xf numFmtId="3" fontId="25" fillId="25" borderId="198" xfId="0" applyNumberFormat="1" applyFont="1" applyFill="1" applyBorder="1" applyAlignment="1">
      <alignment horizontal="center" vertical="center"/>
    </xf>
    <xf numFmtId="0" fontId="21" fillId="0" borderId="185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0" fillId="0" borderId="12" xfId="0" applyFont="1" applyBorder="1"/>
    <xf numFmtId="0" fontId="23" fillId="0" borderId="13" xfId="0" applyFont="1" applyBorder="1" applyAlignment="1">
      <alignment horizontal="center" vertical="center"/>
    </xf>
    <xf numFmtId="3" fontId="25" fillId="25" borderId="131" xfId="0" applyNumberFormat="1" applyFont="1" applyFill="1" applyBorder="1" applyAlignment="1">
      <alignment horizontal="center" vertical="center"/>
    </xf>
    <xf numFmtId="3" fontId="25" fillId="25" borderId="13" xfId="0" applyNumberFormat="1" applyFont="1" applyFill="1" applyBorder="1" applyAlignment="1">
      <alignment horizontal="center" vertical="center"/>
    </xf>
    <xf numFmtId="3" fontId="25" fillId="25" borderId="12" xfId="0" applyNumberFormat="1" applyFont="1" applyFill="1" applyBorder="1" applyAlignment="1">
      <alignment horizontal="center" vertical="center"/>
    </xf>
    <xf numFmtId="0" fontId="20" fillId="0" borderId="39" xfId="0" applyFont="1" applyBorder="1" applyAlignment="1">
      <alignment horizontal="center" vertical="center" wrapText="1"/>
    </xf>
    <xf numFmtId="0" fontId="18" fillId="0" borderId="4" xfId="4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3" fontId="20" fillId="8" borderId="43" xfId="0" applyNumberFormat="1" applyFont="1" applyFill="1" applyBorder="1" applyAlignment="1">
      <alignment horizontal="center" vertical="center" wrapText="1"/>
    </xf>
    <xf numFmtId="3" fontId="20" fillId="8" borderId="41" xfId="0" applyNumberFormat="1" applyFont="1" applyFill="1" applyBorder="1" applyAlignment="1">
      <alignment horizontal="center" vertical="center" wrapText="1"/>
    </xf>
    <xf numFmtId="0" fontId="27" fillId="8" borderId="130" xfId="4" applyFont="1" applyFill="1" applyBorder="1" applyAlignment="1">
      <alignment horizontal="center" vertical="center"/>
    </xf>
    <xf numFmtId="0" fontId="27" fillId="8" borderId="189" xfId="4" applyFont="1" applyFill="1" applyBorder="1" applyAlignment="1">
      <alignment horizontal="center" vertical="center"/>
    </xf>
    <xf numFmtId="0" fontId="27" fillId="8" borderId="131" xfId="4" applyFont="1" applyFill="1" applyBorder="1" applyAlignment="1">
      <alignment horizontal="center" vertical="center"/>
    </xf>
    <xf numFmtId="0" fontId="27" fillId="8" borderId="13" xfId="4" applyFont="1" applyFill="1" applyBorder="1" applyAlignment="1">
      <alignment horizontal="center" vertical="center"/>
    </xf>
    <xf numFmtId="0" fontId="27" fillId="8" borderId="12" xfId="4" applyFont="1" applyFill="1" applyBorder="1" applyAlignment="1">
      <alignment horizontal="center" vertical="center"/>
    </xf>
    <xf numFmtId="0" fontId="20" fillId="19" borderId="4" xfId="4" applyFont="1" applyFill="1" applyBorder="1" applyAlignment="1">
      <alignment horizontal="center" vertical="center" wrapText="1"/>
    </xf>
    <xf numFmtId="0" fontId="0" fillId="19" borderId="23" xfId="0" applyFont="1" applyFill="1" applyBorder="1" applyAlignment="1">
      <alignment horizontal="center" vertical="center" wrapText="1"/>
    </xf>
    <xf numFmtId="3" fontId="25" fillId="23" borderId="131" xfId="0" applyNumberFormat="1" applyFont="1" applyFill="1" applyBorder="1" applyAlignment="1">
      <alignment horizontal="center" vertical="center"/>
    </xf>
    <xf numFmtId="3" fontId="25" fillId="23" borderId="13" xfId="0" applyNumberFormat="1" applyFont="1" applyFill="1" applyBorder="1" applyAlignment="1">
      <alignment horizontal="center" vertical="center"/>
    </xf>
    <xf numFmtId="3" fontId="25" fillId="23" borderId="12" xfId="0" applyNumberFormat="1" applyFont="1" applyFill="1" applyBorder="1" applyAlignment="1">
      <alignment horizontal="center" vertical="center"/>
    </xf>
    <xf numFmtId="3" fontId="25" fillId="22" borderId="131" xfId="0" applyNumberFormat="1" applyFont="1" applyFill="1" applyBorder="1" applyAlignment="1">
      <alignment horizontal="center" vertical="top"/>
    </xf>
    <xf numFmtId="3" fontId="25" fillId="22" borderId="13" xfId="0" applyNumberFormat="1" applyFont="1" applyFill="1" applyBorder="1" applyAlignment="1">
      <alignment horizontal="center" vertical="top"/>
    </xf>
    <xf numFmtId="3" fontId="25" fillId="22" borderId="12" xfId="0" applyNumberFormat="1" applyFont="1" applyFill="1" applyBorder="1" applyAlignment="1">
      <alignment horizontal="center" vertical="top"/>
    </xf>
    <xf numFmtId="3" fontId="20" fillId="2" borderId="173" xfId="4" applyNumberFormat="1" applyFont="1" applyFill="1" applyBorder="1" applyAlignment="1">
      <alignment horizontal="center" vertical="center" wrapText="1"/>
    </xf>
    <xf numFmtId="3" fontId="20" fillId="2" borderId="13" xfId="4" applyNumberFormat="1" applyFont="1" applyFill="1" applyBorder="1" applyAlignment="1">
      <alignment horizontal="center" vertical="center" wrapText="1"/>
    </xf>
    <xf numFmtId="3" fontId="20" fillId="2" borderId="35" xfId="4" applyNumberFormat="1" applyFont="1" applyFill="1" applyBorder="1" applyAlignment="1">
      <alignment horizontal="center" vertical="center" wrapText="1"/>
    </xf>
    <xf numFmtId="3" fontId="20" fillId="2" borderId="12" xfId="4" applyNumberFormat="1" applyFont="1" applyFill="1" applyBorder="1" applyAlignment="1">
      <alignment horizontal="center" vertical="center" wrapText="1"/>
    </xf>
    <xf numFmtId="0" fontId="0" fillId="0" borderId="41" xfId="0" applyFont="1" applyBorder="1"/>
    <xf numFmtId="3" fontId="25" fillId="2" borderId="12" xfId="4" applyNumberFormat="1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3" fontId="25" fillId="25" borderId="141" xfId="0" applyNumberFormat="1" applyFont="1" applyFill="1" applyBorder="1" applyAlignment="1">
      <alignment horizontal="center" vertical="center"/>
    </xf>
    <xf numFmtId="3" fontId="25" fillId="25" borderId="76" xfId="0" applyNumberFormat="1" applyFont="1" applyFill="1" applyBorder="1" applyAlignment="1">
      <alignment horizontal="center" vertical="center"/>
    </xf>
    <xf numFmtId="3" fontId="25" fillId="25" borderId="77" xfId="0" applyNumberFormat="1" applyFont="1" applyFill="1" applyBorder="1" applyAlignment="1">
      <alignment horizontal="center" vertical="center"/>
    </xf>
    <xf numFmtId="0" fontId="26" fillId="0" borderId="8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66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20" fillId="2" borderId="66" xfId="0" applyFont="1" applyFill="1" applyBorder="1" applyAlignment="1">
      <alignment horizontal="center" vertical="center" wrapText="1"/>
    </xf>
    <xf numFmtId="3" fontId="25" fillId="2" borderId="185" xfId="4" applyNumberFormat="1" applyFont="1" applyFill="1" applyBorder="1" applyAlignment="1">
      <alignment horizontal="center" vertical="center"/>
    </xf>
    <xf numFmtId="3" fontId="25" fillId="2" borderId="13" xfId="4" applyNumberFormat="1" applyFont="1" applyFill="1" applyBorder="1" applyAlignment="1">
      <alignment horizontal="center" vertical="center"/>
    </xf>
    <xf numFmtId="3" fontId="25" fillId="2" borderId="12" xfId="4" applyNumberFormat="1" applyFont="1" applyFill="1" applyBorder="1" applyAlignment="1">
      <alignment horizontal="center" vertical="center"/>
    </xf>
    <xf numFmtId="3" fontId="25" fillId="25" borderId="180" xfId="0" applyNumberFormat="1" applyFont="1" applyFill="1" applyBorder="1" applyAlignment="1">
      <alignment horizontal="center" vertical="center"/>
    </xf>
    <xf numFmtId="3" fontId="25" fillId="25" borderId="27" xfId="0" applyNumberFormat="1" applyFont="1" applyFill="1" applyBorder="1" applyAlignment="1">
      <alignment horizontal="center" vertical="center"/>
    </xf>
    <xf numFmtId="3" fontId="25" fillId="25" borderId="23" xfId="0" applyNumberFormat="1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72" xfId="0" applyFont="1" applyFill="1" applyBorder="1" applyAlignment="1">
      <alignment horizontal="center" vertical="center" wrapText="1"/>
    </xf>
    <xf numFmtId="0" fontId="21" fillId="0" borderId="4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7" xfId="0" applyFont="1" applyFill="1" applyBorder="1" applyAlignment="1">
      <alignment horizontal="center" vertical="center" wrapText="1"/>
    </xf>
    <xf numFmtId="0" fontId="21" fillId="0" borderId="78" xfId="0" applyFont="1" applyFill="1" applyBorder="1" applyAlignment="1">
      <alignment horizontal="center" vertical="center" wrapText="1"/>
    </xf>
    <xf numFmtId="0" fontId="0" fillId="0" borderId="78" xfId="0" applyFont="1" applyBorder="1"/>
    <xf numFmtId="3" fontId="25" fillId="2" borderId="27" xfId="4" applyNumberFormat="1" applyFont="1" applyFill="1" applyBorder="1" applyAlignment="1">
      <alignment horizontal="center" vertical="center" wrapText="1"/>
    </xf>
    <xf numFmtId="3" fontId="25" fillId="2" borderId="9" xfId="4" applyNumberFormat="1" applyFont="1" applyFill="1" applyBorder="1" applyAlignment="1">
      <alignment horizontal="center" vertical="center" wrapText="1"/>
    </xf>
    <xf numFmtId="0" fontId="23" fillId="0" borderId="180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3" fontId="25" fillId="2" borderId="180" xfId="4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/>
    </xf>
    <xf numFmtId="3" fontId="24" fillId="26" borderId="198" xfId="4" applyNumberFormat="1" applyFont="1" applyFill="1" applyBorder="1" applyAlignment="1">
      <alignment horizontal="center" vertical="center"/>
    </xf>
    <xf numFmtId="3" fontId="24" fillId="26" borderId="10" xfId="4" applyNumberFormat="1" applyFont="1" applyFill="1" applyBorder="1" applyAlignment="1">
      <alignment horizontal="center" vertical="center"/>
    </xf>
    <xf numFmtId="3" fontId="24" fillId="26" borderId="72" xfId="4" applyNumberFormat="1" applyFont="1" applyFill="1" applyBorder="1" applyAlignment="1">
      <alignment horizontal="center" vertical="center"/>
    </xf>
    <xf numFmtId="0" fontId="18" fillId="0" borderId="185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46" xfId="0" applyFont="1" applyFill="1" applyBorder="1" applyAlignment="1">
      <alignment horizontal="center" vertical="center" wrapText="1"/>
    </xf>
    <xf numFmtId="0" fontId="25" fillId="0" borderId="190" xfId="4" applyFont="1" applyFill="1" applyBorder="1" applyAlignment="1">
      <alignment horizontal="center" vertical="center" wrapText="1"/>
    </xf>
    <xf numFmtId="0" fontId="32" fillId="0" borderId="190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center" vertical="center" wrapText="1"/>
    </xf>
    <xf numFmtId="3" fontId="24" fillId="34" borderId="174" xfId="4" applyNumberFormat="1" applyFont="1" applyFill="1" applyBorder="1" applyAlignment="1">
      <alignment horizontal="center" vertical="center"/>
    </xf>
    <xf numFmtId="3" fontId="24" fillId="34" borderId="199" xfId="4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top"/>
    </xf>
    <xf numFmtId="0" fontId="40" fillId="2" borderId="0" xfId="0" applyFont="1" applyFill="1" applyBorder="1" applyAlignment="1">
      <alignment horizontal="left" wrapText="1"/>
    </xf>
    <xf numFmtId="0" fontId="20" fillId="0" borderId="5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7" fillId="0" borderId="36" xfId="4" applyFont="1" applyBorder="1" applyAlignment="1">
      <alignment horizontal="center" vertical="center" wrapText="1"/>
    </xf>
    <xf numFmtId="0" fontId="4" fillId="19" borderId="9" xfId="0" applyFont="1" applyFill="1" applyBorder="1" applyAlignment="1">
      <alignment horizontal="center" vertical="center" wrapText="1"/>
    </xf>
    <xf numFmtId="3" fontId="25" fillId="22" borderId="173" xfId="4" applyNumberFormat="1" applyFont="1" applyFill="1" applyBorder="1" applyAlignment="1">
      <alignment horizontal="center" vertical="center"/>
    </xf>
    <xf numFmtId="3" fontId="25" fillId="22" borderId="13" xfId="4" applyNumberFormat="1" applyFont="1" applyFill="1" applyBorder="1" applyAlignment="1">
      <alignment horizontal="center" vertical="center"/>
    </xf>
    <xf numFmtId="3" fontId="25" fillId="22" borderId="12" xfId="4" applyNumberFormat="1" applyFont="1" applyFill="1" applyBorder="1" applyAlignment="1">
      <alignment horizontal="center" vertical="center"/>
    </xf>
    <xf numFmtId="0" fontId="25" fillId="0" borderId="35" xfId="4" applyFont="1" applyBorder="1" applyAlignment="1">
      <alignment horizontal="center" vertical="center" wrapText="1"/>
    </xf>
    <xf numFmtId="0" fontId="18" fillId="0" borderId="44" xfId="4" applyFont="1" applyFill="1" applyBorder="1" applyAlignment="1">
      <alignment horizontal="center" vertical="center" wrapText="1"/>
    </xf>
    <xf numFmtId="0" fontId="18" fillId="0" borderId="184" xfId="4" applyFont="1" applyFill="1" applyBorder="1" applyAlignment="1">
      <alignment horizontal="center" vertical="center" wrapText="1"/>
    </xf>
    <xf numFmtId="0" fontId="18" fillId="0" borderId="126" xfId="4" applyFont="1" applyFill="1" applyBorder="1" applyAlignment="1">
      <alignment horizontal="center" vertical="center" wrapText="1"/>
    </xf>
    <xf numFmtId="0" fontId="24" fillId="2" borderId="190" xfId="4" applyFont="1" applyFill="1" applyBorder="1" applyAlignment="1">
      <alignment horizontal="center" vertical="center" wrapText="1"/>
    </xf>
    <xf numFmtId="0" fontId="24" fillId="2" borderId="190" xfId="4" applyFont="1" applyFill="1" applyBorder="1" applyAlignment="1">
      <alignment horizontal="center" vertical="center" wrapText="1" shrinkToFit="1"/>
    </xf>
    <xf numFmtId="0" fontId="24" fillId="2" borderId="37" xfId="4" applyFont="1" applyFill="1" applyBorder="1" applyAlignment="1">
      <alignment horizontal="center" vertical="center" wrapText="1" shrinkToFit="1"/>
    </xf>
    <xf numFmtId="3" fontId="24" fillId="22" borderId="174" xfId="4" applyNumberFormat="1" applyFont="1" applyFill="1" applyBorder="1" applyAlignment="1">
      <alignment horizontal="center" vertical="center"/>
    </xf>
    <xf numFmtId="3" fontId="24" fillId="22" borderId="199" xfId="4" applyNumberFormat="1" applyFont="1" applyFill="1" applyBorder="1" applyAlignment="1">
      <alignment horizontal="center" vertical="center"/>
    </xf>
    <xf numFmtId="0" fontId="18" fillId="0" borderId="64" xfId="4" applyFont="1" applyFill="1" applyBorder="1" applyAlignment="1">
      <alignment horizontal="center" vertical="center" wrapText="1"/>
    </xf>
    <xf numFmtId="0" fontId="18" fillId="0" borderId="65" xfId="4" applyFont="1" applyFill="1" applyBorder="1" applyAlignment="1">
      <alignment horizontal="center" vertical="center" wrapText="1"/>
    </xf>
    <xf numFmtId="0" fontId="18" fillId="0" borderId="67" xfId="4" applyFont="1" applyFill="1" applyBorder="1" applyAlignment="1">
      <alignment horizontal="center" vertical="center" wrapText="1"/>
    </xf>
    <xf numFmtId="0" fontId="25" fillId="2" borderId="121" xfId="4" applyFont="1" applyFill="1" applyBorder="1" applyAlignment="1">
      <alignment horizontal="center" vertical="center" wrapText="1"/>
    </xf>
    <xf numFmtId="0" fontId="4" fillId="0" borderId="121" xfId="0" applyFont="1" applyBorder="1"/>
    <xf numFmtId="0" fontId="32" fillId="0" borderId="121" xfId="0" applyFont="1" applyBorder="1" applyAlignment="1">
      <alignment horizontal="center" vertical="center" wrapText="1"/>
    </xf>
    <xf numFmtId="3" fontId="25" fillId="22" borderId="185" xfId="4" applyNumberFormat="1" applyFont="1" applyFill="1" applyBorder="1" applyAlignment="1">
      <alignment horizontal="center" vertical="center"/>
    </xf>
    <xf numFmtId="3" fontId="24" fillId="34" borderId="185" xfId="4" applyNumberFormat="1" applyFont="1" applyFill="1" applyBorder="1" applyAlignment="1">
      <alignment horizontal="center" vertical="center"/>
    </xf>
    <xf numFmtId="3" fontId="24" fillId="34" borderId="13" xfId="4" applyNumberFormat="1" applyFont="1" applyFill="1" applyBorder="1" applyAlignment="1">
      <alignment horizontal="center" vertical="center"/>
    </xf>
    <xf numFmtId="3" fontId="24" fillId="34" borderId="12" xfId="4" applyNumberFormat="1" applyFont="1" applyFill="1" applyBorder="1" applyAlignment="1">
      <alignment horizontal="center" vertical="center"/>
    </xf>
    <xf numFmtId="0" fontId="24" fillId="0" borderId="43" xfId="4" applyFont="1" applyFill="1" applyBorder="1" applyAlignment="1">
      <alignment horizontal="center" vertical="center"/>
    </xf>
    <xf numFmtId="0" fontId="18" fillId="0" borderId="27" xfId="4" applyFont="1" applyFill="1" applyBorder="1" applyAlignment="1">
      <alignment horizontal="center" vertical="center" wrapText="1"/>
    </xf>
    <xf numFmtId="0" fontId="25" fillId="2" borderId="190" xfId="4" applyFont="1" applyFill="1" applyBorder="1" applyAlignment="1">
      <alignment horizontal="center" vertical="center" wrapText="1"/>
    </xf>
    <xf numFmtId="0" fontId="32" fillId="0" borderId="190" xfId="0" applyFont="1" applyBorder="1" applyAlignment="1">
      <alignment horizontal="center" vertical="center" wrapText="1"/>
    </xf>
    <xf numFmtId="0" fontId="4" fillId="0" borderId="192" xfId="0" applyFont="1" applyBorder="1"/>
    <xf numFmtId="0" fontId="24" fillId="0" borderId="41" xfId="4" applyFont="1" applyFill="1" applyBorder="1" applyAlignment="1">
      <alignment horizontal="center" vertical="center"/>
    </xf>
    <xf numFmtId="0" fontId="18" fillId="0" borderId="23" xfId="4" applyFont="1" applyFill="1" applyBorder="1" applyAlignment="1">
      <alignment horizontal="center" vertical="center" wrapText="1"/>
    </xf>
    <xf numFmtId="0" fontId="25" fillId="2" borderId="22" xfId="4" applyFont="1" applyFill="1" applyBorder="1" applyAlignment="1">
      <alignment horizontal="center" vertical="center" wrapText="1"/>
    </xf>
    <xf numFmtId="0" fontId="4" fillId="0" borderId="11" xfId="0" applyFont="1" applyBorder="1"/>
    <xf numFmtId="0" fontId="18" fillId="0" borderId="15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68" xfId="0" applyFont="1" applyFill="1" applyBorder="1" applyAlignment="1">
      <alignment horizontal="center" vertical="center" wrapText="1"/>
    </xf>
    <xf numFmtId="0" fontId="18" fillId="0" borderId="199" xfId="0" applyFont="1" applyFill="1" applyBorder="1" applyAlignment="1">
      <alignment horizontal="center" vertical="center" wrapText="1"/>
    </xf>
    <xf numFmtId="0" fontId="4" fillId="0" borderId="25" xfId="0" applyFont="1" applyBorder="1"/>
    <xf numFmtId="0" fontId="25" fillId="2" borderId="27" xfId="4" applyFont="1" applyFill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18" fillId="0" borderId="40" xfId="0" applyFont="1" applyFill="1" applyBorder="1" applyAlignment="1">
      <alignment horizontal="center" vertical="center" wrapText="1"/>
    </xf>
    <xf numFmtId="0" fontId="18" fillId="0" borderId="44" xfId="0" applyFont="1" applyFill="1" applyBorder="1" applyAlignment="1">
      <alignment horizontal="center" vertical="center" wrapText="1"/>
    </xf>
    <xf numFmtId="0" fontId="18" fillId="0" borderId="126" xfId="0" applyFont="1" applyFill="1" applyBorder="1" applyAlignment="1">
      <alignment horizontal="center" vertical="center" wrapText="1"/>
    </xf>
    <xf numFmtId="3" fontId="24" fillId="26" borderId="24" xfId="4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4" fillId="0" borderId="52" xfId="0" applyFont="1" applyBorder="1" applyAlignment="1">
      <alignment vertical="center" wrapText="1"/>
    </xf>
    <xf numFmtId="3" fontId="25" fillId="2" borderId="89" xfId="4" applyNumberFormat="1" applyFont="1" applyFill="1" applyBorder="1" applyAlignment="1">
      <alignment horizontal="center" vertical="center" wrapText="1"/>
    </xf>
    <xf numFmtId="0" fontId="25" fillId="2" borderId="37" xfId="4" applyFont="1" applyFill="1" applyBorder="1" applyAlignment="1">
      <alignment horizontal="center" vertical="center" wrapText="1"/>
    </xf>
    <xf numFmtId="0" fontId="18" fillId="0" borderId="195" xfId="0" applyFont="1" applyFill="1" applyBorder="1" applyAlignment="1">
      <alignment horizontal="center" vertical="center" wrapText="1"/>
    </xf>
    <xf numFmtId="0" fontId="25" fillId="2" borderId="89" xfId="4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17" fillId="0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7" fillId="32" borderId="11" xfId="0" applyFont="1" applyFill="1" applyBorder="1" applyAlignment="1">
      <alignment horizontal="center" vertical="center" wrapText="1"/>
    </xf>
    <xf numFmtId="0" fontId="18" fillId="32" borderId="10" xfId="0" applyFont="1" applyFill="1" applyBorder="1" applyAlignment="1">
      <alignment horizontal="center" vertical="center" wrapText="1"/>
    </xf>
    <xf numFmtId="3" fontId="25" fillId="32" borderId="28" xfId="4" applyNumberFormat="1" applyFont="1" applyFill="1" applyBorder="1" applyAlignment="1">
      <alignment horizontal="center" vertical="center" wrapText="1"/>
    </xf>
    <xf numFmtId="0" fontId="32" fillId="32" borderId="28" xfId="0" applyFont="1" applyFill="1" applyBorder="1" applyAlignment="1">
      <alignment horizontal="center" vertical="center" wrapText="1"/>
    </xf>
    <xf numFmtId="0" fontId="25" fillId="2" borderId="71" xfId="4" applyFont="1" applyFill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/>
    </xf>
    <xf numFmtId="0" fontId="4" fillId="0" borderId="85" xfId="0" applyFont="1" applyBorder="1" applyAlignment="1">
      <alignment vertical="center" wrapText="1"/>
    </xf>
    <xf numFmtId="0" fontId="25" fillId="2" borderId="168" xfId="4" applyFont="1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38" xfId="0" applyFont="1" applyFill="1" applyBorder="1" applyAlignment="1">
      <alignment horizontal="center" vertical="center" wrapText="1"/>
    </xf>
    <xf numFmtId="3" fontId="25" fillId="28" borderId="40" xfId="0" applyNumberFormat="1" applyFont="1" applyFill="1" applyBorder="1" applyAlignment="1">
      <alignment horizontal="center" vertical="center" wrapText="1"/>
    </xf>
    <xf numFmtId="0" fontId="17" fillId="0" borderId="2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3" fontId="25" fillId="2" borderId="16" xfId="4" applyNumberFormat="1" applyFont="1" applyFill="1" applyBorder="1" applyAlignment="1">
      <alignment horizontal="center" vertical="center" wrapText="1"/>
    </xf>
    <xf numFmtId="0" fontId="25" fillId="2" borderId="0" xfId="4" applyFont="1" applyFill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3" fontId="25" fillId="2" borderId="117" xfId="4" applyNumberFormat="1" applyFont="1" applyFill="1" applyBorder="1" applyAlignment="1">
      <alignment horizontal="center" vertical="center" wrapText="1"/>
    </xf>
    <xf numFmtId="3" fontId="24" fillId="26" borderId="123" xfId="4" applyNumberFormat="1" applyFont="1" applyFill="1" applyBorder="1" applyAlignment="1">
      <alignment horizontal="center" vertical="center"/>
    </xf>
    <xf numFmtId="0" fontId="22" fillId="0" borderId="115" xfId="0" applyFont="1" applyBorder="1" applyAlignment="1">
      <alignment horizontal="center" vertical="center" wrapText="1"/>
    </xf>
    <xf numFmtId="0" fontId="22" fillId="0" borderId="199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66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/>
    </xf>
    <xf numFmtId="0" fontId="4" fillId="19" borderId="23" xfId="0" applyFont="1" applyFill="1" applyBorder="1" applyAlignment="1">
      <alignment horizontal="center" vertical="center" wrapText="1"/>
    </xf>
    <xf numFmtId="3" fontId="24" fillId="26" borderId="93" xfId="4" applyNumberFormat="1" applyFont="1" applyFill="1" applyBorder="1" applyAlignment="1">
      <alignment horizontal="center" vertical="center"/>
    </xf>
    <xf numFmtId="3" fontId="17" fillId="26" borderId="185" xfId="4" applyNumberFormat="1" applyFont="1" applyFill="1" applyBorder="1" applyAlignment="1">
      <alignment horizontal="center" vertical="center"/>
    </xf>
    <xf numFmtId="3" fontId="17" fillId="26" borderId="13" xfId="4" applyNumberFormat="1" applyFont="1" applyFill="1" applyBorder="1" applyAlignment="1">
      <alignment horizontal="center" vertical="center"/>
    </xf>
    <xf numFmtId="3" fontId="17" fillId="26" borderId="12" xfId="4" applyNumberFormat="1" applyFont="1" applyFill="1" applyBorder="1" applyAlignment="1">
      <alignment horizontal="center" vertical="center"/>
    </xf>
    <xf numFmtId="3" fontId="17" fillId="26" borderId="173" xfId="4" applyNumberFormat="1" applyFont="1" applyFill="1" applyBorder="1" applyAlignment="1">
      <alignment horizontal="center" vertical="center"/>
    </xf>
    <xf numFmtId="0" fontId="25" fillId="32" borderId="180" xfId="4" applyFont="1" applyFill="1" applyBorder="1" applyAlignment="1">
      <alignment horizontal="center" vertical="center" wrapText="1"/>
    </xf>
    <xf numFmtId="0" fontId="25" fillId="32" borderId="27" xfId="4" applyFont="1" applyFill="1" applyBorder="1" applyAlignment="1">
      <alignment horizontal="center" vertical="center" wrapText="1"/>
    </xf>
    <xf numFmtId="0" fontId="25" fillId="32" borderId="12" xfId="4" applyFont="1" applyFill="1" applyBorder="1" applyAlignment="1">
      <alignment horizontal="center" vertical="center" wrapText="1"/>
    </xf>
    <xf numFmtId="0" fontId="25" fillId="0" borderId="134" xfId="4" applyFont="1" applyFill="1" applyBorder="1" applyAlignment="1">
      <alignment horizontal="center" vertical="center"/>
    </xf>
    <xf numFmtId="0" fontId="25" fillId="0" borderId="20" xfId="4" applyFont="1" applyFill="1" applyBorder="1" applyAlignment="1">
      <alignment horizontal="center" vertical="center"/>
    </xf>
    <xf numFmtId="0" fontId="25" fillId="2" borderId="20" xfId="4" applyFont="1" applyFill="1" applyBorder="1" applyAlignment="1">
      <alignment horizontal="center" vertical="center" wrapText="1"/>
    </xf>
    <xf numFmtId="0" fontId="4" fillId="0" borderId="194" xfId="0" applyFont="1" applyBorder="1" applyAlignment="1">
      <alignment vertical="center" wrapText="1"/>
    </xf>
    <xf numFmtId="0" fontId="25" fillId="2" borderId="209" xfId="4" applyFont="1" applyFill="1" applyBorder="1" applyAlignment="1">
      <alignment horizontal="center" vertical="center" wrapText="1"/>
    </xf>
    <xf numFmtId="0" fontId="4" fillId="0" borderId="133" xfId="0" applyFont="1" applyBorder="1" applyAlignment="1">
      <alignment horizontal="center" vertical="center" wrapText="1"/>
    </xf>
    <xf numFmtId="3" fontId="24" fillId="26" borderId="4" xfId="4" applyNumberFormat="1" applyFont="1" applyFill="1" applyBorder="1" applyAlignment="1">
      <alignment horizontal="center" vertical="center"/>
    </xf>
    <xf numFmtId="0" fontId="22" fillId="0" borderId="195" xfId="112" applyFont="1" applyBorder="1" applyAlignment="1">
      <alignment horizontal="center" vertical="center" wrapText="1"/>
    </xf>
    <xf numFmtId="0" fontId="22" fillId="0" borderId="43" xfId="112" applyFont="1" applyBorder="1" applyAlignment="1">
      <alignment horizontal="center" vertical="center" wrapText="1"/>
    </xf>
    <xf numFmtId="0" fontId="22" fillId="0" borderId="41" xfId="112" applyFont="1" applyBorder="1" applyAlignment="1">
      <alignment horizontal="center" vertical="center" wrapText="1"/>
    </xf>
    <xf numFmtId="0" fontId="17" fillId="0" borderId="5" xfId="112" applyFont="1" applyFill="1" applyBorder="1" applyAlignment="1">
      <alignment horizontal="center" vertical="center" wrapText="1"/>
    </xf>
    <xf numFmtId="0" fontId="17" fillId="0" borderId="11" xfId="112" applyFont="1" applyFill="1" applyBorder="1" applyAlignment="1">
      <alignment horizontal="center" vertical="center" wrapText="1"/>
    </xf>
    <xf numFmtId="0" fontId="17" fillId="0" borderId="25" xfId="112" applyFont="1" applyFill="1" applyBorder="1" applyAlignment="1">
      <alignment horizontal="center" vertical="center" wrapText="1"/>
    </xf>
    <xf numFmtId="0" fontId="18" fillId="0" borderId="64" xfId="112" applyFont="1" applyFill="1" applyBorder="1" applyAlignment="1">
      <alignment horizontal="center" vertical="center" wrapText="1"/>
    </xf>
    <xf numFmtId="0" fontId="18" fillId="0" borderId="65" xfId="112" applyFont="1" applyFill="1" applyBorder="1" applyAlignment="1">
      <alignment horizontal="center" vertical="center" wrapText="1"/>
    </xf>
    <xf numFmtId="0" fontId="4" fillId="0" borderId="65" xfId="112" applyFont="1" applyBorder="1" applyAlignment="1">
      <alignment horizontal="center" vertical="center" wrapText="1"/>
    </xf>
    <xf numFmtId="0" fontId="4" fillId="0" borderId="67" xfId="112" applyFont="1" applyBorder="1" applyAlignment="1">
      <alignment horizontal="center" vertical="center" wrapText="1"/>
    </xf>
    <xf numFmtId="0" fontId="32" fillId="0" borderId="6" xfId="112" applyFont="1" applyBorder="1" applyAlignment="1">
      <alignment horizontal="center" vertical="center" wrapText="1"/>
    </xf>
    <xf numFmtId="3" fontId="24" fillId="26" borderId="131" xfId="4" applyNumberFormat="1" applyFont="1" applyFill="1" applyBorder="1" applyAlignment="1">
      <alignment horizontal="center" vertical="center"/>
    </xf>
    <xf numFmtId="0" fontId="32" fillId="0" borderId="22" xfId="112" applyFont="1" applyBorder="1" applyAlignment="1">
      <alignment horizontal="center" vertical="center" wrapText="1"/>
    </xf>
    <xf numFmtId="0" fontId="4" fillId="0" borderId="11" xfId="112" applyFont="1" applyBorder="1" applyAlignment="1">
      <alignment vertical="center" wrapText="1"/>
    </xf>
    <xf numFmtId="0" fontId="4" fillId="0" borderId="25" xfId="112" applyFont="1" applyBorder="1" applyAlignment="1">
      <alignment vertical="center" wrapText="1"/>
    </xf>
    <xf numFmtId="0" fontId="17" fillId="0" borderId="40" xfId="0" applyFont="1" applyFill="1" applyBorder="1" applyAlignment="1">
      <alignment horizontal="center" vertical="center" wrapText="1"/>
    </xf>
    <xf numFmtId="0" fontId="17" fillId="0" borderId="41" xfId="0" applyFont="1" applyFill="1" applyBorder="1" applyAlignment="1">
      <alignment horizontal="center" vertical="center" wrapText="1"/>
    </xf>
    <xf numFmtId="0" fontId="22" fillId="0" borderId="40" xfId="0" applyFont="1" applyBorder="1" applyAlignment="1">
      <alignment vertical="center"/>
    </xf>
    <xf numFmtId="0" fontId="25" fillId="0" borderId="187" xfId="0" applyFont="1" applyFill="1" applyBorder="1" applyAlignment="1">
      <alignment horizontal="center" vertical="center" wrapText="1"/>
    </xf>
    <xf numFmtId="2" fontId="17" fillId="0" borderId="5" xfId="4" applyNumberFormat="1" applyFont="1" applyFill="1" applyBorder="1" applyAlignment="1">
      <alignment horizontal="center" vertical="center"/>
    </xf>
    <xf numFmtId="2" fontId="4" fillId="0" borderId="11" xfId="112" applyNumberFormat="1" applyFont="1" applyBorder="1" applyAlignment="1">
      <alignment horizontal="center" vertical="center" wrapText="1"/>
    </xf>
    <xf numFmtId="2" fontId="4" fillId="0" borderId="25" xfId="112" applyNumberFormat="1" applyFont="1" applyBorder="1" applyAlignment="1">
      <alignment horizontal="center" vertical="center" wrapText="1"/>
    </xf>
    <xf numFmtId="0" fontId="22" fillId="0" borderId="46" xfId="112" applyFont="1" applyBorder="1" applyAlignment="1">
      <alignment horizontal="center" vertical="center" wrapText="1"/>
    </xf>
    <xf numFmtId="0" fontId="13" fillId="0" borderId="3" xfId="4" applyFont="1" applyFill="1" applyBorder="1" applyAlignment="1">
      <alignment horizontal="left" vertical="center" wrapText="1"/>
    </xf>
    <xf numFmtId="0" fontId="13" fillId="0" borderId="1" xfId="4" applyFont="1" applyFill="1" applyBorder="1" applyAlignment="1">
      <alignment horizontal="left" vertical="center" wrapText="1"/>
    </xf>
    <xf numFmtId="2" fontId="60" fillId="0" borderId="25" xfId="112" applyNumberFormat="1" applyFont="1" applyBorder="1" applyAlignment="1">
      <alignment horizontal="center" vertical="center" wrapText="1"/>
    </xf>
    <xf numFmtId="0" fontId="30" fillId="0" borderId="67" xfId="4" applyFont="1" applyFill="1" applyBorder="1" applyAlignment="1">
      <alignment horizontal="center" vertical="center" wrapText="1"/>
    </xf>
    <xf numFmtId="3" fontId="25" fillId="28" borderId="185" xfId="0" applyNumberFormat="1" applyFont="1" applyFill="1" applyBorder="1" applyAlignment="1">
      <alignment horizontal="center" vertical="center" wrapText="1"/>
    </xf>
    <xf numFmtId="3" fontId="25" fillId="28" borderId="13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16" fillId="2" borderId="24" xfId="112" applyFont="1" applyFill="1" applyBorder="1" applyAlignment="1">
      <alignment horizontal="left" vertical="center" wrapText="1"/>
    </xf>
    <xf numFmtId="0" fontId="20" fillId="0" borderId="5" xfId="112" applyFont="1" applyBorder="1" applyAlignment="1">
      <alignment horizontal="center" vertical="center" wrapText="1"/>
    </xf>
    <xf numFmtId="0" fontId="20" fillId="0" borderId="25" xfId="112" applyFont="1" applyBorder="1" applyAlignment="1">
      <alignment horizontal="center" vertical="center" wrapText="1"/>
    </xf>
    <xf numFmtId="0" fontId="4" fillId="19" borderId="23" xfId="112" applyFont="1" applyFill="1" applyBorder="1" applyAlignment="1">
      <alignment horizontal="center" vertical="center" wrapText="1"/>
    </xf>
  </cellXfs>
  <cellStyles count="847">
    <cellStyle name="Dziesiętny" xfId="1" builtinId="3"/>
    <cellStyle name="Dziesiętny 2" xfId="7"/>
    <cellStyle name="Dziesiętny 3" xfId="8"/>
    <cellStyle name="Dziesiętny 3 2" xfId="9"/>
    <cellStyle name="Dziesiętny 4" xfId="10"/>
    <cellStyle name="Dziesiętny 4 2" xfId="11"/>
    <cellStyle name="Hiperłącze 2" xfId="12"/>
    <cellStyle name="Normalny" xfId="0" builtinId="0"/>
    <cellStyle name="Normalny 2" xfId="5"/>
    <cellStyle name="Normalny 2 2" xfId="13"/>
    <cellStyle name="Normalny 2 2 2" xfId="14"/>
    <cellStyle name="Normalny 2 2 2 2" xfId="15"/>
    <cellStyle name="Normalny 2 3" xfId="16"/>
    <cellStyle name="Normalny 2 4" xfId="17"/>
    <cellStyle name="Normalny 3" xfId="18"/>
    <cellStyle name="Normalny 3 2" xfId="19"/>
    <cellStyle name="Normalny 3 3" xfId="115"/>
    <cellStyle name="Normalny 3 4" xfId="160"/>
    <cellStyle name="Normalny 3 4 2" xfId="526"/>
    <cellStyle name="Normalny 3 5" xfId="482"/>
    <cellStyle name="Normalny 4" xfId="20"/>
    <cellStyle name="Normalny 5" xfId="21"/>
    <cellStyle name="Normalny 6" xfId="22"/>
    <cellStyle name="Normalny 7" xfId="112"/>
    <cellStyle name="Normalny 7 2" xfId="229"/>
    <cellStyle name="Normalny 8" xfId="152"/>
    <cellStyle name="Normalny_INFO dot  spłaty poręczonych kredytów spzoz wg stanu na 12 07 2010" xfId="3"/>
    <cellStyle name="Normalny_INFO dot  spłaty poręczonych kredytów spzoz wg stanu na 12 07 2010 2" xfId="113"/>
    <cellStyle name="Normalny_Kopia WPI_zest_u_marszal_05_09_06_nowe" xfId="4"/>
    <cellStyle name="Normalny_WPI Drogi i Transport 2007-2010_DIN" xfId="6"/>
    <cellStyle name="Normalny_WPI Drogi i Transport 2007-2010_DIN 2" xfId="114"/>
    <cellStyle name="Procentowy" xfId="2" builtinId="5"/>
    <cellStyle name="Procentowy 2" xfId="23"/>
    <cellStyle name="Procentowy 3" xfId="24"/>
    <cellStyle name="Procentowy 3 2" xfId="25"/>
    <cellStyle name="Procentowy 4" xfId="26"/>
    <cellStyle name="Procentowy 4 2" xfId="27"/>
    <cellStyle name="S0" xfId="28"/>
    <cellStyle name="S1" xfId="29"/>
    <cellStyle name="S10" xfId="30"/>
    <cellStyle name="S11" xfId="31"/>
    <cellStyle name="S12" xfId="32"/>
    <cellStyle name="S13" xfId="33"/>
    <cellStyle name="S14" xfId="34"/>
    <cellStyle name="S15" xfId="35"/>
    <cellStyle name="S16" xfId="36"/>
    <cellStyle name="S17" xfId="37"/>
    <cellStyle name="S18" xfId="38"/>
    <cellStyle name="S19" xfId="39"/>
    <cellStyle name="S2" xfId="40"/>
    <cellStyle name="S20" xfId="41"/>
    <cellStyle name="S21" xfId="42"/>
    <cellStyle name="S22" xfId="43"/>
    <cellStyle name="S23" xfId="44"/>
    <cellStyle name="S24" xfId="45"/>
    <cellStyle name="S25" xfId="46"/>
    <cellStyle name="S26" xfId="47"/>
    <cellStyle name="S27" xfId="48"/>
    <cellStyle name="S28" xfId="49"/>
    <cellStyle name="S29" xfId="50"/>
    <cellStyle name="S3" xfId="51"/>
    <cellStyle name="S30" xfId="52"/>
    <cellStyle name="S31" xfId="53"/>
    <cellStyle name="S32" xfId="54"/>
    <cellStyle name="S33" xfId="55"/>
    <cellStyle name="S34" xfId="56"/>
    <cellStyle name="S35" xfId="57"/>
    <cellStyle name="S36" xfId="58"/>
    <cellStyle name="S37" xfId="59"/>
    <cellStyle name="S38" xfId="60"/>
    <cellStyle name="S39" xfId="61"/>
    <cellStyle name="S4" xfId="62"/>
    <cellStyle name="S40" xfId="63"/>
    <cellStyle name="S41" xfId="64"/>
    <cellStyle name="S42" xfId="65"/>
    <cellStyle name="S43" xfId="66"/>
    <cellStyle name="S44" xfId="67"/>
    <cellStyle name="S5" xfId="68"/>
    <cellStyle name="S6" xfId="69"/>
    <cellStyle name="S7" xfId="70"/>
    <cellStyle name="S8" xfId="71"/>
    <cellStyle name="S9" xfId="72"/>
    <cellStyle name="SAPBEXaggData" xfId="73"/>
    <cellStyle name="SAPBEXaggData 2" xfId="116"/>
    <cellStyle name="SAPBEXaggData 2 2" xfId="230"/>
    <cellStyle name="SAPBEXaggData 2 2 2" xfId="595"/>
    <cellStyle name="SAPBEXaggData 2 3" xfId="303"/>
    <cellStyle name="SAPBEXaggData 2 3 2" xfId="668"/>
    <cellStyle name="SAPBEXaggData 2 4" xfId="371"/>
    <cellStyle name="SAPBEXaggData 2 4 2" xfId="736"/>
    <cellStyle name="SAPBEXaggData 2 5" xfId="340"/>
    <cellStyle name="SAPBEXaggData 2 5 2" xfId="705"/>
    <cellStyle name="SAPBEXaggData 2 6" xfId="411"/>
    <cellStyle name="SAPBEXaggData 2 6 2" xfId="776"/>
    <cellStyle name="SAPBEXaggData 2 7" xfId="186"/>
    <cellStyle name="SAPBEXaggData 2 7 2" xfId="552"/>
    <cellStyle name="SAPBEXaggData 2 8" xfId="483"/>
    <cellStyle name="SAPBEXaggData 3" xfId="192"/>
    <cellStyle name="SAPBEXaggData 3 2" xfId="558"/>
    <cellStyle name="SAPBEXaggData 4" xfId="157"/>
    <cellStyle name="SAPBEXaggData 4 2" xfId="523"/>
    <cellStyle name="SAPBEXaggData 5" xfId="161"/>
    <cellStyle name="SAPBEXaggData 5 2" xfId="527"/>
    <cellStyle name="SAPBEXaggDataEmph" xfId="74"/>
    <cellStyle name="SAPBEXaggDataEmph 2" xfId="117"/>
    <cellStyle name="SAPBEXaggDataEmph 2 2" xfId="231"/>
    <cellStyle name="SAPBEXaggDataEmph 2 2 2" xfId="596"/>
    <cellStyle name="SAPBEXaggDataEmph 2 3" xfId="304"/>
    <cellStyle name="SAPBEXaggDataEmph 2 3 2" xfId="669"/>
    <cellStyle name="SAPBEXaggDataEmph 2 4" xfId="372"/>
    <cellStyle name="SAPBEXaggDataEmph 2 4 2" xfId="737"/>
    <cellStyle name="SAPBEXaggDataEmph 2 5" xfId="341"/>
    <cellStyle name="SAPBEXaggDataEmph 2 5 2" xfId="706"/>
    <cellStyle name="SAPBEXaggDataEmph 2 6" xfId="412"/>
    <cellStyle name="SAPBEXaggDataEmph 2 6 2" xfId="777"/>
    <cellStyle name="SAPBEXaggDataEmph 2 7" xfId="447"/>
    <cellStyle name="SAPBEXaggDataEmph 2 7 2" xfId="812"/>
    <cellStyle name="SAPBEXaggDataEmph 2 8" xfId="484"/>
    <cellStyle name="SAPBEXaggDataEmph 3" xfId="193"/>
    <cellStyle name="SAPBEXaggDataEmph 3 2" xfId="559"/>
    <cellStyle name="SAPBEXaggDataEmph 4" xfId="156"/>
    <cellStyle name="SAPBEXaggDataEmph 4 2" xfId="522"/>
    <cellStyle name="SAPBEXaggDataEmph 5" xfId="162"/>
    <cellStyle name="SAPBEXaggDataEmph 5 2" xfId="528"/>
    <cellStyle name="SAPBEXaggItem" xfId="75"/>
    <cellStyle name="SAPBEXaggItem 2" xfId="118"/>
    <cellStyle name="SAPBEXaggItem 2 2" xfId="232"/>
    <cellStyle name="SAPBEXaggItem 2 2 2" xfId="597"/>
    <cellStyle name="SAPBEXaggItem 2 3" xfId="305"/>
    <cellStyle name="SAPBEXaggItem 2 3 2" xfId="670"/>
    <cellStyle name="SAPBEXaggItem 2 4" xfId="373"/>
    <cellStyle name="SAPBEXaggItem 2 4 2" xfId="738"/>
    <cellStyle name="SAPBEXaggItem 2 5" xfId="342"/>
    <cellStyle name="SAPBEXaggItem 2 5 2" xfId="707"/>
    <cellStyle name="SAPBEXaggItem 2 6" xfId="413"/>
    <cellStyle name="SAPBEXaggItem 2 6 2" xfId="778"/>
    <cellStyle name="SAPBEXaggItem 2 7" xfId="448"/>
    <cellStyle name="SAPBEXaggItem 2 7 2" xfId="813"/>
    <cellStyle name="SAPBEXaggItem 2 8" xfId="485"/>
    <cellStyle name="SAPBEXaggItem 3" xfId="194"/>
    <cellStyle name="SAPBEXaggItem 3 2" xfId="560"/>
    <cellStyle name="SAPBEXaggItem 4" xfId="155"/>
    <cellStyle name="SAPBEXaggItem 4 2" xfId="521"/>
    <cellStyle name="SAPBEXaggItem 5" xfId="163"/>
    <cellStyle name="SAPBEXaggItem 5 2" xfId="529"/>
    <cellStyle name="SAPBEXaggItemX" xfId="76"/>
    <cellStyle name="SAPBEXaggItemX 2" xfId="119"/>
    <cellStyle name="SAPBEXaggItemX 2 2" xfId="233"/>
    <cellStyle name="SAPBEXaggItemX 2 2 2" xfId="598"/>
    <cellStyle name="SAPBEXaggItemX 2 3" xfId="306"/>
    <cellStyle name="SAPBEXaggItemX 2 3 2" xfId="671"/>
    <cellStyle name="SAPBEXaggItemX 2 4" xfId="374"/>
    <cellStyle name="SAPBEXaggItemX 2 4 2" xfId="739"/>
    <cellStyle name="SAPBEXaggItemX 2 5" xfId="343"/>
    <cellStyle name="SAPBEXaggItemX 2 5 2" xfId="708"/>
    <cellStyle name="SAPBEXaggItemX 2 6" xfId="414"/>
    <cellStyle name="SAPBEXaggItemX 2 6 2" xfId="779"/>
    <cellStyle name="SAPBEXaggItemX 2 7" xfId="449"/>
    <cellStyle name="SAPBEXaggItemX 2 7 2" xfId="814"/>
    <cellStyle name="SAPBEXaggItemX 2 8" xfId="486"/>
    <cellStyle name="SAPBEXaggItemX 3" xfId="195"/>
    <cellStyle name="SAPBEXaggItemX 3 2" xfId="561"/>
    <cellStyle name="SAPBEXaggItemX 4" xfId="153"/>
    <cellStyle name="SAPBEXaggItemX 4 2" xfId="519"/>
    <cellStyle name="SAPBEXaggItemX 5" xfId="164"/>
    <cellStyle name="SAPBEXaggItemX 5 2" xfId="530"/>
    <cellStyle name="SAPBEXchaText" xfId="77"/>
    <cellStyle name="SAPBEXchaText 2" xfId="120"/>
    <cellStyle name="SAPBEXchaText 2 2" xfId="234"/>
    <cellStyle name="SAPBEXchaText 2 2 2" xfId="599"/>
    <cellStyle name="SAPBEXchaText 2 3" xfId="307"/>
    <cellStyle name="SAPBEXchaText 2 3 2" xfId="672"/>
    <cellStyle name="SAPBEXchaText 2 4" xfId="375"/>
    <cellStyle name="SAPBEXchaText 2 4 2" xfId="740"/>
    <cellStyle name="SAPBEXchaText 2 5" xfId="344"/>
    <cellStyle name="SAPBEXchaText 2 5 2" xfId="709"/>
    <cellStyle name="SAPBEXchaText 2 6" xfId="415"/>
    <cellStyle name="SAPBEXchaText 2 6 2" xfId="780"/>
    <cellStyle name="SAPBEXchaText 2 7" xfId="450"/>
    <cellStyle name="SAPBEXchaText 2 7 2" xfId="815"/>
    <cellStyle name="SAPBEXchaText 2 8" xfId="487"/>
    <cellStyle name="SAPBEXchaText 3" xfId="196"/>
    <cellStyle name="SAPBEXchaText 3 2" xfId="562"/>
    <cellStyle name="SAPBEXchaText 4" xfId="266"/>
    <cellStyle name="SAPBEXchaText 4 2" xfId="631"/>
    <cellStyle name="SAPBEXchaText 5" xfId="165"/>
    <cellStyle name="SAPBEXchaText 5 2" xfId="531"/>
    <cellStyle name="SAPBEXexcBad7" xfId="78"/>
    <cellStyle name="SAPBEXexcBad7 2" xfId="121"/>
    <cellStyle name="SAPBEXexcBad7 2 2" xfId="235"/>
    <cellStyle name="SAPBEXexcBad7 2 2 2" xfId="600"/>
    <cellStyle name="SAPBEXexcBad7 2 3" xfId="308"/>
    <cellStyle name="SAPBEXexcBad7 2 3 2" xfId="673"/>
    <cellStyle name="SAPBEXexcBad7 2 4" xfId="376"/>
    <cellStyle name="SAPBEXexcBad7 2 4 2" xfId="741"/>
    <cellStyle name="SAPBEXexcBad7 2 5" xfId="345"/>
    <cellStyle name="SAPBEXexcBad7 2 5 2" xfId="710"/>
    <cellStyle name="SAPBEXexcBad7 2 6" xfId="416"/>
    <cellStyle name="SAPBEXexcBad7 2 6 2" xfId="781"/>
    <cellStyle name="SAPBEXexcBad7 2 7" xfId="451"/>
    <cellStyle name="SAPBEXexcBad7 2 7 2" xfId="816"/>
    <cellStyle name="SAPBEXexcBad7 2 8" xfId="488"/>
    <cellStyle name="SAPBEXexcBad7 3" xfId="197"/>
    <cellStyle name="SAPBEXexcBad7 3 2" xfId="563"/>
    <cellStyle name="SAPBEXexcBad7 4" xfId="267"/>
    <cellStyle name="SAPBEXexcBad7 4 2" xfId="632"/>
    <cellStyle name="SAPBEXexcBad7 5" xfId="166"/>
    <cellStyle name="SAPBEXexcBad7 5 2" xfId="532"/>
    <cellStyle name="SAPBEXexcBad8" xfId="79"/>
    <cellStyle name="SAPBEXexcBad8 2" xfId="122"/>
    <cellStyle name="SAPBEXexcBad8 2 2" xfId="236"/>
    <cellStyle name="SAPBEXexcBad8 2 2 2" xfId="601"/>
    <cellStyle name="SAPBEXexcBad8 2 3" xfId="309"/>
    <cellStyle name="SAPBEXexcBad8 2 3 2" xfId="674"/>
    <cellStyle name="SAPBEXexcBad8 2 4" xfId="377"/>
    <cellStyle name="SAPBEXexcBad8 2 4 2" xfId="742"/>
    <cellStyle name="SAPBEXexcBad8 2 5" xfId="346"/>
    <cellStyle name="SAPBEXexcBad8 2 5 2" xfId="711"/>
    <cellStyle name="SAPBEXexcBad8 2 6" xfId="417"/>
    <cellStyle name="SAPBEXexcBad8 2 6 2" xfId="782"/>
    <cellStyle name="SAPBEXexcBad8 2 7" xfId="452"/>
    <cellStyle name="SAPBEXexcBad8 2 7 2" xfId="817"/>
    <cellStyle name="SAPBEXexcBad8 2 8" xfId="489"/>
    <cellStyle name="SAPBEXexcBad8 3" xfId="198"/>
    <cellStyle name="SAPBEXexcBad8 3 2" xfId="564"/>
    <cellStyle name="SAPBEXexcBad8 4" xfId="268"/>
    <cellStyle name="SAPBEXexcBad8 4 2" xfId="633"/>
    <cellStyle name="SAPBEXexcBad8 5" xfId="167"/>
    <cellStyle name="SAPBEXexcBad8 5 2" xfId="533"/>
    <cellStyle name="SAPBEXexcBad9" xfId="80"/>
    <cellStyle name="SAPBEXexcBad9 2" xfId="123"/>
    <cellStyle name="SAPBEXexcBad9 2 2" xfId="237"/>
    <cellStyle name="SAPBEXexcBad9 2 2 2" xfId="602"/>
    <cellStyle name="SAPBEXexcBad9 2 3" xfId="310"/>
    <cellStyle name="SAPBEXexcBad9 2 3 2" xfId="675"/>
    <cellStyle name="SAPBEXexcBad9 2 4" xfId="378"/>
    <cellStyle name="SAPBEXexcBad9 2 4 2" xfId="743"/>
    <cellStyle name="SAPBEXexcBad9 2 5" xfId="368"/>
    <cellStyle name="SAPBEXexcBad9 2 5 2" xfId="733"/>
    <cellStyle name="SAPBEXexcBad9 2 6" xfId="418"/>
    <cellStyle name="SAPBEXexcBad9 2 6 2" xfId="783"/>
    <cellStyle name="SAPBEXexcBad9 2 7" xfId="453"/>
    <cellStyle name="SAPBEXexcBad9 2 7 2" xfId="818"/>
    <cellStyle name="SAPBEXexcBad9 2 8" xfId="490"/>
    <cellStyle name="SAPBEXexcBad9 3" xfId="199"/>
    <cellStyle name="SAPBEXexcBad9 3 2" xfId="565"/>
    <cellStyle name="SAPBEXexcBad9 4" xfId="269"/>
    <cellStyle name="SAPBEXexcBad9 4 2" xfId="634"/>
    <cellStyle name="SAPBEXexcBad9 5" xfId="168"/>
    <cellStyle name="SAPBEXexcBad9 5 2" xfId="534"/>
    <cellStyle name="SAPBEXexcCritical4" xfId="81"/>
    <cellStyle name="SAPBEXexcCritical4 2" xfId="124"/>
    <cellStyle name="SAPBEXexcCritical4 2 2" xfId="238"/>
    <cellStyle name="SAPBEXexcCritical4 2 2 2" xfId="603"/>
    <cellStyle name="SAPBEXexcCritical4 2 3" xfId="311"/>
    <cellStyle name="SAPBEXexcCritical4 2 3 2" xfId="676"/>
    <cellStyle name="SAPBEXexcCritical4 2 4" xfId="379"/>
    <cellStyle name="SAPBEXexcCritical4 2 4 2" xfId="744"/>
    <cellStyle name="SAPBEXexcCritical4 2 5" xfId="154"/>
    <cellStyle name="SAPBEXexcCritical4 2 5 2" xfId="520"/>
    <cellStyle name="SAPBEXexcCritical4 2 6" xfId="419"/>
    <cellStyle name="SAPBEXexcCritical4 2 6 2" xfId="784"/>
    <cellStyle name="SAPBEXexcCritical4 2 7" xfId="454"/>
    <cellStyle name="SAPBEXexcCritical4 2 7 2" xfId="819"/>
    <cellStyle name="SAPBEXexcCritical4 2 8" xfId="491"/>
    <cellStyle name="SAPBEXexcCritical4 3" xfId="200"/>
    <cellStyle name="SAPBEXexcCritical4 3 2" xfId="566"/>
    <cellStyle name="SAPBEXexcCritical4 4" xfId="270"/>
    <cellStyle name="SAPBEXexcCritical4 4 2" xfId="635"/>
    <cellStyle name="SAPBEXexcCritical4 5" xfId="169"/>
    <cellStyle name="SAPBEXexcCritical4 5 2" xfId="535"/>
    <cellStyle name="SAPBEXexcCritical5" xfId="82"/>
    <cellStyle name="SAPBEXexcCritical5 2" xfId="125"/>
    <cellStyle name="SAPBEXexcCritical5 2 2" xfId="239"/>
    <cellStyle name="SAPBEXexcCritical5 2 2 2" xfId="604"/>
    <cellStyle name="SAPBEXexcCritical5 2 3" xfId="312"/>
    <cellStyle name="SAPBEXexcCritical5 2 3 2" xfId="677"/>
    <cellStyle name="SAPBEXexcCritical5 2 4" xfId="380"/>
    <cellStyle name="SAPBEXexcCritical5 2 4 2" xfId="745"/>
    <cellStyle name="SAPBEXexcCritical5 2 5" xfId="364"/>
    <cellStyle name="SAPBEXexcCritical5 2 5 2" xfId="729"/>
    <cellStyle name="SAPBEXexcCritical5 2 6" xfId="420"/>
    <cellStyle name="SAPBEXexcCritical5 2 6 2" xfId="785"/>
    <cellStyle name="SAPBEXexcCritical5 2 7" xfId="455"/>
    <cellStyle name="SAPBEXexcCritical5 2 7 2" xfId="820"/>
    <cellStyle name="SAPBEXexcCritical5 2 8" xfId="492"/>
    <cellStyle name="SAPBEXexcCritical5 3" xfId="201"/>
    <cellStyle name="SAPBEXexcCritical5 3 2" xfId="567"/>
    <cellStyle name="SAPBEXexcCritical5 4" xfId="271"/>
    <cellStyle name="SAPBEXexcCritical5 4 2" xfId="636"/>
    <cellStyle name="SAPBEXexcCritical5 5" xfId="170"/>
    <cellStyle name="SAPBEXexcCritical5 5 2" xfId="536"/>
    <cellStyle name="SAPBEXexcCritical6" xfId="83"/>
    <cellStyle name="SAPBEXexcCritical6 2" xfId="126"/>
    <cellStyle name="SAPBEXexcCritical6 2 2" xfId="240"/>
    <cellStyle name="SAPBEXexcCritical6 2 2 2" xfId="605"/>
    <cellStyle name="SAPBEXexcCritical6 2 3" xfId="313"/>
    <cellStyle name="SAPBEXexcCritical6 2 3 2" xfId="678"/>
    <cellStyle name="SAPBEXexcCritical6 2 4" xfId="381"/>
    <cellStyle name="SAPBEXexcCritical6 2 4 2" xfId="746"/>
    <cellStyle name="SAPBEXexcCritical6 2 5" xfId="366"/>
    <cellStyle name="SAPBEXexcCritical6 2 5 2" xfId="731"/>
    <cellStyle name="SAPBEXexcCritical6 2 6" xfId="421"/>
    <cellStyle name="SAPBEXexcCritical6 2 6 2" xfId="786"/>
    <cellStyle name="SAPBEXexcCritical6 2 7" xfId="456"/>
    <cellStyle name="SAPBEXexcCritical6 2 7 2" xfId="821"/>
    <cellStyle name="SAPBEXexcCritical6 2 8" xfId="493"/>
    <cellStyle name="SAPBEXexcCritical6 3" xfId="202"/>
    <cellStyle name="SAPBEXexcCritical6 3 2" xfId="568"/>
    <cellStyle name="SAPBEXexcCritical6 4" xfId="272"/>
    <cellStyle name="SAPBEXexcCritical6 4 2" xfId="637"/>
    <cellStyle name="SAPBEXexcCritical6 5" xfId="171"/>
    <cellStyle name="SAPBEXexcCritical6 5 2" xfId="537"/>
    <cellStyle name="SAPBEXexcGood1" xfId="84"/>
    <cellStyle name="SAPBEXexcGood1 2" xfId="127"/>
    <cellStyle name="SAPBEXexcGood1 2 2" xfId="241"/>
    <cellStyle name="SAPBEXexcGood1 2 2 2" xfId="606"/>
    <cellStyle name="SAPBEXexcGood1 2 3" xfId="314"/>
    <cellStyle name="SAPBEXexcGood1 2 3 2" xfId="679"/>
    <cellStyle name="SAPBEXexcGood1 2 4" xfId="382"/>
    <cellStyle name="SAPBEXexcGood1 2 4 2" xfId="747"/>
    <cellStyle name="SAPBEXexcGood1 2 5" xfId="158"/>
    <cellStyle name="SAPBEXexcGood1 2 5 2" xfId="524"/>
    <cellStyle name="SAPBEXexcGood1 2 6" xfId="422"/>
    <cellStyle name="SAPBEXexcGood1 2 6 2" xfId="787"/>
    <cellStyle name="SAPBEXexcGood1 2 7" xfId="457"/>
    <cellStyle name="SAPBEXexcGood1 2 7 2" xfId="822"/>
    <cellStyle name="SAPBEXexcGood1 2 8" xfId="494"/>
    <cellStyle name="SAPBEXexcGood1 3" xfId="203"/>
    <cellStyle name="SAPBEXexcGood1 3 2" xfId="569"/>
    <cellStyle name="SAPBEXexcGood1 4" xfId="273"/>
    <cellStyle name="SAPBEXexcGood1 4 2" xfId="638"/>
    <cellStyle name="SAPBEXexcGood1 5" xfId="172"/>
    <cellStyle name="SAPBEXexcGood1 5 2" xfId="538"/>
    <cellStyle name="SAPBEXexcGood2" xfId="85"/>
    <cellStyle name="SAPBEXexcGood2 2" xfId="128"/>
    <cellStyle name="SAPBEXexcGood2 2 2" xfId="242"/>
    <cellStyle name="SAPBEXexcGood2 2 2 2" xfId="607"/>
    <cellStyle name="SAPBEXexcGood2 2 3" xfId="315"/>
    <cellStyle name="SAPBEXexcGood2 2 3 2" xfId="680"/>
    <cellStyle name="SAPBEXexcGood2 2 4" xfId="383"/>
    <cellStyle name="SAPBEXexcGood2 2 4 2" xfId="748"/>
    <cellStyle name="SAPBEXexcGood2 2 5" xfId="367"/>
    <cellStyle name="SAPBEXexcGood2 2 5 2" xfId="732"/>
    <cellStyle name="SAPBEXexcGood2 2 6" xfId="423"/>
    <cellStyle name="SAPBEXexcGood2 2 6 2" xfId="788"/>
    <cellStyle name="SAPBEXexcGood2 2 7" xfId="458"/>
    <cellStyle name="SAPBEXexcGood2 2 7 2" xfId="823"/>
    <cellStyle name="SAPBEXexcGood2 2 8" xfId="495"/>
    <cellStyle name="SAPBEXexcGood2 3" xfId="204"/>
    <cellStyle name="SAPBEXexcGood2 3 2" xfId="570"/>
    <cellStyle name="SAPBEXexcGood2 4" xfId="274"/>
    <cellStyle name="SAPBEXexcGood2 4 2" xfId="639"/>
    <cellStyle name="SAPBEXexcGood2 5" xfId="173"/>
    <cellStyle name="SAPBEXexcGood2 5 2" xfId="539"/>
    <cellStyle name="SAPBEXexcGood3" xfId="86"/>
    <cellStyle name="SAPBEXexcGood3 2" xfId="129"/>
    <cellStyle name="SAPBEXexcGood3 2 2" xfId="243"/>
    <cellStyle name="SAPBEXexcGood3 2 2 2" xfId="608"/>
    <cellStyle name="SAPBEXexcGood3 2 3" xfId="316"/>
    <cellStyle name="SAPBEXexcGood3 2 3 2" xfId="681"/>
    <cellStyle name="SAPBEXexcGood3 2 4" xfId="384"/>
    <cellStyle name="SAPBEXexcGood3 2 4 2" xfId="749"/>
    <cellStyle name="SAPBEXexcGood3 2 5" xfId="409"/>
    <cellStyle name="SAPBEXexcGood3 2 5 2" xfId="774"/>
    <cellStyle name="SAPBEXexcGood3 2 6" xfId="424"/>
    <cellStyle name="SAPBEXexcGood3 2 6 2" xfId="789"/>
    <cellStyle name="SAPBEXexcGood3 2 7" xfId="459"/>
    <cellStyle name="SAPBEXexcGood3 2 7 2" xfId="824"/>
    <cellStyle name="SAPBEXexcGood3 2 8" xfId="496"/>
    <cellStyle name="SAPBEXexcGood3 3" xfId="205"/>
    <cellStyle name="SAPBEXexcGood3 3 2" xfId="571"/>
    <cellStyle name="SAPBEXexcGood3 4" xfId="275"/>
    <cellStyle name="SAPBEXexcGood3 4 2" xfId="640"/>
    <cellStyle name="SAPBEXexcGood3 5" xfId="174"/>
    <cellStyle name="SAPBEXexcGood3 5 2" xfId="540"/>
    <cellStyle name="SAPBEXfilterDrill" xfId="87"/>
    <cellStyle name="SAPBEXfilterDrill 2" xfId="130"/>
    <cellStyle name="SAPBEXfilterDrill 2 2" xfId="244"/>
    <cellStyle name="SAPBEXfilterDrill 2 2 2" xfId="609"/>
    <cellStyle name="SAPBEXfilterDrill 2 3" xfId="317"/>
    <cellStyle name="SAPBEXfilterDrill 2 3 2" xfId="682"/>
    <cellStyle name="SAPBEXfilterDrill 2 4" xfId="385"/>
    <cellStyle name="SAPBEXfilterDrill 2 4 2" xfId="750"/>
    <cellStyle name="SAPBEXfilterDrill 2 5" xfId="159"/>
    <cellStyle name="SAPBEXfilterDrill 2 5 2" xfId="525"/>
    <cellStyle name="SAPBEXfilterDrill 2 6" xfId="425"/>
    <cellStyle name="SAPBEXfilterDrill 2 6 2" xfId="790"/>
    <cellStyle name="SAPBEXfilterDrill 2 7" xfId="460"/>
    <cellStyle name="SAPBEXfilterDrill 2 7 2" xfId="825"/>
    <cellStyle name="SAPBEXfilterDrill 2 8" xfId="497"/>
    <cellStyle name="SAPBEXfilterDrill 3" xfId="206"/>
    <cellStyle name="SAPBEXfilterDrill 3 2" xfId="572"/>
    <cellStyle name="SAPBEXfilterDrill 4" xfId="276"/>
    <cellStyle name="SAPBEXfilterDrill 4 2" xfId="641"/>
    <cellStyle name="SAPBEXfilterDrill 5" xfId="175"/>
    <cellStyle name="SAPBEXfilterDrill 5 2" xfId="541"/>
    <cellStyle name="SAPBEXfilterItem" xfId="88"/>
    <cellStyle name="SAPBEXfilterItem 2" xfId="131"/>
    <cellStyle name="SAPBEXfilterItem 2 2" xfId="245"/>
    <cellStyle name="SAPBEXfilterItem 2 2 2" xfId="610"/>
    <cellStyle name="SAPBEXfilterItem 2 3" xfId="318"/>
    <cellStyle name="SAPBEXfilterItem 2 3 2" xfId="683"/>
    <cellStyle name="SAPBEXfilterItem 2 4" xfId="386"/>
    <cellStyle name="SAPBEXfilterItem 2 4 2" xfId="751"/>
    <cellStyle name="SAPBEXfilterItem 2 5" xfId="408"/>
    <cellStyle name="SAPBEXfilterItem 2 5 2" xfId="773"/>
    <cellStyle name="SAPBEXfilterItem 2 6" xfId="348"/>
    <cellStyle name="SAPBEXfilterItem 2 6 2" xfId="713"/>
    <cellStyle name="SAPBEXfilterItem 2 7" xfId="426"/>
    <cellStyle name="SAPBEXfilterItem 2 7 2" xfId="791"/>
    <cellStyle name="SAPBEXfilterItem 2 8" xfId="461"/>
    <cellStyle name="SAPBEXfilterItem 2 8 2" xfId="826"/>
    <cellStyle name="SAPBEXfilterItem 2 9" xfId="498"/>
    <cellStyle name="SAPBEXfilterItem 3" xfId="207"/>
    <cellStyle name="SAPBEXfilterItem 3 2" xfId="573"/>
    <cellStyle name="SAPBEXfilterItem 4" xfId="277"/>
    <cellStyle name="SAPBEXfilterItem 4 2" xfId="642"/>
    <cellStyle name="SAPBEXfilterItem 5" xfId="347"/>
    <cellStyle name="SAPBEXfilterItem 5 2" xfId="712"/>
    <cellStyle name="SAPBEXfilterItem 6" xfId="278"/>
    <cellStyle name="SAPBEXfilterItem 6 2" xfId="643"/>
    <cellStyle name="SAPBEXfilterItem 7" xfId="407"/>
    <cellStyle name="SAPBEXfilterItem 7 2" xfId="772"/>
    <cellStyle name="SAPBEXfilterText" xfId="89"/>
    <cellStyle name="SAPBEXformats" xfId="90"/>
    <cellStyle name="SAPBEXformats 2" xfId="132"/>
    <cellStyle name="SAPBEXformats 2 2" xfId="246"/>
    <cellStyle name="SAPBEXformats 2 2 2" xfId="611"/>
    <cellStyle name="SAPBEXformats 2 3" xfId="319"/>
    <cellStyle name="SAPBEXformats 2 3 2" xfId="684"/>
    <cellStyle name="SAPBEXformats 2 4" xfId="387"/>
    <cellStyle name="SAPBEXformats 2 4 2" xfId="752"/>
    <cellStyle name="SAPBEXformats 2 5" xfId="349"/>
    <cellStyle name="SAPBEXformats 2 5 2" xfId="714"/>
    <cellStyle name="SAPBEXformats 2 6" xfId="427"/>
    <cellStyle name="SAPBEXformats 2 6 2" xfId="792"/>
    <cellStyle name="SAPBEXformats 2 7" xfId="462"/>
    <cellStyle name="SAPBEXformats 2 7 2" xfId="827"/>
    <cellStyle name="SAPBEXformats 2 8" xfId="499"/>
    <cellStyle name="SAPBEXformats 3" xfId="208"/>
    <cellStyle name="SAPBEXformats 3 2" xfId="574"/>
    <cellStyle name="SAPBEXformats 4" xfId="279"/>
    <cellStyle name="SAPBEXformats 4 2" xfId="644"/>
    <cellStyle name="SAPBEXformats 5" xfId="188"/>
    <cellStyle name="SAPBEXformats 5 2" xfId="554"/>
    <cellStyle name="SAPBEXheaderItem" xfId="91"/>
    <cellStyle name="SAPBEXheaderItem 2" xfId="133"/>
    <cellStyle name="SAPBEXheaderItem 2 2" xfId="247"/>
    <cellStyle name="SAPBEXheaderItem 2 2 2" xfId="612"/>
    <cellStyle name="SAPBEXheaderItem 2 3" xfId="320"/>
    <cellStyle name="SAPBEXheaderItem 2 3 2" xfId="685"/>
    <cellStyle name="SAPBEXheaderItem 2 4" xfId="388"/>
    <cellStyle name="SAPBEXheaderItem 2 4 2" xfId="753"/>
    <cellStyle name="SAPBEXheaderItem 2 5" xfId="350"/>
    <cellStyle name="SAPBEXheaderItem 2 5 2" xfId="715"/>
    <cellStyle name="SAPBEXheaderItem 2 6" xfId="428"/>
    <cellStyle name="SAPBEXheaderItem 2 6 2" xfId="793"/>
    <cellStyle name="SAPBEXheaderItem 2 7" xfId="463"/>
    <cellStyle name="SAPBEXheaderItem 2 7 2" xfId="828"/>
    <cellStyle name="SAPBEXheaderItem 2 8" xfId="500"/>
    <cellStyle name="SAPBEXheaderItem 3" xfId="209"/>
    <cellStyle name="SAPBEXheaderItem 3 2" xfId="575"/>
    <cellStyle name="SAPBEXheaderItem 4" xfId="280"/>
    <cellStyle name="SAPBEXheaderItem 4 2" xfId="645"/>
    <cellStyle name="SAPBEXheaderItem 5" xfId="190"/>
    <cellStyle name="SAPBEXheaderItem 5 2" xfId="556"/>
    <cellStyle name="SAPBEXheaderText" xfId="92"/>
    <cellStyle name="SAPBEXheaderText 2" xfId="134"/>
    <cellStyle name="SAPBEXheaderText 2 2" xfId="248"/>
    <cellStyle name="SAPBEXheaderText 2 2 2" xfId="613"/>
    <cellStyle name="SAPBEXheaderText 2 3" xfId="321"/>
    <cellStyle name="SAPBEXheaderText 2 3 2" xfId="686"/>
    <cellStyle name="SAPBEXheaderText 2 4" xfId="389"/>
    <cellStyle name="SAPBEXheaderText 2 4 2" xfId="754"/>
    <cellStyle name="SAPBEXheaderText 2 5" xfId="298"/>
    <cellStyle name="SAPBEXheaderText 2 5 2" xfId="663"/>
    <cellStyle name="SAPBEXheaderText 2 6" xfId="429"/>
    <cellStyle name="SAPBEXheaderText 2 6 2" xfId="794"/>
    <cellStyle name="SAPBEXheaderText 2 7" xfId="464"/>
    <cellStyle name="SAPBEXheaderText 2 7 2" xfId="829"/>
    <cellStyle name="SAPBEXheaderText 2 8" xfId="501"/>
    <cellStyle name="SAPBEXheaderText 3" xfId="210"/>
    <cellStyle name="SAPBEXheaderText 3 2" xfId="576"/>
    <cellStyle name="SAPBEXheaderText 4" xfId="281"/>
    <cellStyle name="SAPBEXheaderText 4 2" xfId="646"/>
    <cellStyle name="SAPBEXheaderText 5" xfId="301"/>
    <cellStyle name="SAPBEXheaderText 5 2" xfId="666"/>
    <cellStyle name="SAPBEXHLevel0" xfId="93"/>
    <cellStyle name="SAPBEXHLevel0 2" xfId="135"/>
    <cellStyle name="SAPBEXHLevel0 2 2" xfId="249"/>
    <cellStyle name="SAPBEXHLevel0 2 2 2" xfId="614"/>
    <cellStyle name="SAPBEXHLevel0 2 3" xfId="322"/>
    <cellStyle name="SAPBEXHLevel0 2 3 2" xfId="687"/>
    <cellStyle name="SAPBEXHLevel0 2 4" xfId="390"/>
    <cellStyle name="SAPBEXHLevel0 2 4 2" xfId="755"/>
    <cellStyle name="SAPBEXHLevel0 2 5" xfId="351"/>
    <cellStyle name="SAPBEXHLevel0 2 5 2" xfId="716"/>
    <cellStyle name="SAPBEXHLevel0 2 6" xfId="430"/>
    <cellStyle name="SAPBEXHLevel0 2 6 2" xfId="795"/>
    <cellStyle name="SAPBEXHLevel0 2 7" xfId="465"/>
    <cellStyle name="SAPBEXHLevel0 2 7 2" xfId="830"/>
    <cellStyle name="SAPBEXHLevel0 2 8" xfId="502"/>
    <cellStyle name="SAPBEXHLevel0 3" xfId="211"/>
    <cellStyle name="SAPBEXHLevel0 3 2" xfId="577"/>
    <cellStyle name="SAPBEXHLevel0 4" xfId="282"/>
    <cellStyle name="SAPBEXHLevel0 4 2" xfId="647"/>
    <cellStyle name="SAPBEXHLevel0 5" xfId="191"/>
    <cellStyle name="SAPBEXHLevel0 5 2" xfId="557"/>
    <cellStyle name="SAPBEXHLevel0X" xfId="94"/>
    <cellStyle name="SAPBEXHLevel0X 2" xfId="136"/>
    <cellStyle name="SAPBEXHLevel0X 2 2" xfId="250"/>
    <cellStyle name="SAPBEXHLevel0X 2 2 2" xfId="615"/>
    <cellStyle name="SAPBEXHLevel0X 2 3" xfId="323"/>
    <cellStyle name="SAPBEXHLevel0X 2 3 2" xfId="688"/>
    <cellStyle name="SAPBEXHLevel0X 2 4" xfId="391"/>
    <cellStyle name="SAPBEXHLevel0X 2 4 2" xfId="756"/>
    <cellStyle name="SAPBEXHLevel0X 2 5" xfId="352"/>
    <cellStyle name="SAPBEXHLevel0X 2 5 2" xfId="717"/>
    <cellStyle name="SAPBEXHLevel0X 2 6" xfId="431"/>
    <cellStyle name="SAPBEXHLevel0X 2 6 2" xfId="796"/>
    <cellStyle name="SAPBEXHLevel0X 2 7" xfId="466"/>
    <cellStyle name="SAPBEXHLevel0X 2 7 2" xfId="831"/>
    <cellStyle name="SAPBEXHLevel0X 2 8" xfId="503"/>
    <cellStyle name="SAPBEXHLevel0X 3" xfId="212"/>
    <cellStyle name="SAPBEXHLevel0X 3 2" xfId="578"/>
    <cellStyle name="SAPBEXHLevel0X 4" xfId="283"/>
    <cellStyle name="SAPBEXHLevel0X 4 2" xfId="648"/>
    <cellStyle name="SAPBEXHLevel0X 5" xfId="339"/>
    <cellStyle name="SAPBEXHLevel0X 5 2" xfId="704"/>
    <cellStyle name="SAPBEXHLevel1" xfId="95"/>
    <cellStyle name="SAPBEXHLevel1 2" xfId="137"/>
    <cellStyle name="SAPBEXHLevel1 2 2" xfId="251"/>
    <cellStyle name="SAPBEXHLevel1 2 2 2" xfId="616"/>
    <cellStyle name="SAPBEXHLevel1 2 3" xfId="324"/>
    <cellStyle name="SAPBEXHLevel1 2 3 2" xfId="689"/>
    <cellStyle name="SAPBEXHLevel1 2 4" xfId="392"/>
    <cellStyle name="SAPBEXHLevel1 2 4 2" xfId="757"/>
    <cellStyle name="SAPBEXHLevel1 2 5" xfId="353"/>
    <cellStyle name="SAPBEXHLevel1 2 5 2" xfId="718"/>
    <cellStyle name="SAPBEXHLevel1 2 6" xfId="432"/>
    <cellStyle name="SAPBEXHLevel1 2 6 2" xfId="797"/>
    <cellStyle name="SAPBEXHLevel1 2 7" xfId="467"/>
    <cellStyle name="SAPBEXHLevel1 2 7 2" xfId="832"/>
    <cellStyle name="SAPBEXHLevel1 2 8" xfId="504"/>
    <cellStyle name="SAPBEXHLevel1 3" xfId="213"/>
    <cellStyle name="SAPBEXHLevel1 3 2" xfId="579"/>
    <cellStyle name="SAPBEXHLevel1 4" xfId="284"/>
    <cellStyle name="SAPBEXHLevel1 4 2" xfId="649"/>
    <cellStyle name="SAPBEXHLevel1 5" xfId="300"/>
    <cellStyle name="SAPBEXHLevel1 5 2" xfId="665"/>
    <cellStyle name="SAPBEXHLevel1X" xfId="96"/>
    <cellStyle name="SAPBEXHLevel1X 2" xfId="138"/>
    <cellStyle name="SAPBEXHLevel1X 2 2" xfId="252"/>
    <cellStyle name="SAPBEXHLevel1X 2 2 2" xfId="617"/>
    <cellStyle name="SAPBEXHLevel1X 2 3" xfId="325"/>
    <cellStyle name="SAPBEXHLevel1X 2 3 2" xfId="690"/>
    <cellStyle name="SAPBEXHLevel1X 2 4" xfId="393"/>
    <cellStyle name="SAPBEXHLevel1X 2 4 2" xfId="758"/>
    <cellStyle name="SAPBEXHLevel1X 2 5" xfId="354"/>
    <cellStyle name="SAPBEXHLevel1X 2 5 2" xfId="719"/>
    <cellStyle name="SAPBEXHLevel1X 2 6" xfId="433"/>
    <cellStyle name="SAPBEXHLevel1X 2 6 2" xfId="798"/>
    <cellStyle name="SAPBEXHLevel1X 2 7" xfId="468"/>
    <cellStyle name="SAPBEXHLevel1X 2 7 2" xfId="833"/>
    <cellStyle name="SAPBEXHLevel1X 2 8" xfId="505"/>
    <cellStyle name="SAPBEXHLevel1X 3" xfId="214"/>
    <cellStyle name="SAPBEXHLevel1X 3 2" xfId="580"/>
    <cellStyle name="SAPBEXHLevel1X 4" xfId="285"/>
    <cellStyle name="SAPBEXHLevel1X 4 2" xfId="650"/>
    <cellStyle name="SAPBEXHLevel1X 5" xfId="176"/>
    <cellStyle name="SAPBEXHLevel1X 5 2" xfId="542"/>
    <cellStyle name="SAPBEXHLevel2" xfId="97"/>
    <cellStyle name="SAPBEXHLevel2 2" xfId="139"/>
    <cellStyle name="SAPBEXHLevel2 2 2" xfId="253"/>
    <cellStyle name="SAPBEXHLevel2 2 2 2" xfId="618"/>
    <cellStyle name="SAPBEXHLevel2 2 3" xfId="326"/>
    <cellStyle name="SAPBEXHLevel2 2 3 2" xfId="691"/>
    <cellStyle name="SAPBEXHLevel2 2 4" xfId="394"/>
    <cellStyle name="SAPBEXHLevel2 2 4 2" xfId="759"/>
    <cellStyle name="SAPBEXHLevel2 2 5" xfId="355"/>
    <cellStyle name="SAPBEXHLevel2 2 5 2" xfId="720"/>
    <cellStyle name="SAPBEXHLevel2 2 6" xfId="434"/>
    <cellStyle name="SAPBEXHLevel2 2 6 2" xfId="799"/>
    <cellStyle name="SAPBEXHLevel2 2 7" xfId="469"/>
    <cellStyle name="SAPBEXHLevel2 2 7 2" xfId="834"/>
    <cellStyle name="SAPBEXHLevel2 2 8" xfId="506"/>
    <cellStyle name="SAPBEXHLevel2 3" xfId="215"/>
    <cellStyle name="SAPBEXHLevel2 3 2" xfId="581"/>
    <cellStyle name="SAPBEXHLevel2 4" xfId="286"/>
    <cellStyle name="SAPBEXHLevel2 4 2" xfId="651"/>
    <cellStyle name="SAPBEXHLevel2 5" xfId="177"/>
    <cellStyle name="SAPBEXHLevel2 5 2" xfId="543"/>
    <cellStyle name="SAPBEXHLevel2X" xfId="98"/>
    <cellStyle name="SAPBEXHLevel2X 2" xfId="140"/>
    <cellStyle name="SAPBEXHLevel2X 2 2" xfId="254"/>
    <cellStyle name="SAPBEXHLevel2X 2 2 2" xfId="619"/>
    <cellStyle name="SAPBEXHLevel2X 2 3" xfId="327"/>
    <cellStyle name="SAPBEXHLevel2X 2 3 2" xfId="692"/>
    <cellStyle name="SAPBEXHLevel2X 2 4" xfId="395"/>
    <cellStyle name="SAPBEXHLevel2X 2 4 2" xfId="760"/>
    <cellStyle name="SAPBEXHLevel2X 2 5" xfId="356"/>
    <cellStyle name="SAPBEXHLevel2X 2 5 2" xfId="721"/>
    <cellStyle name="SAPBEXHLevel2X 2 6" xfId="435"/>
    <cellStyle name="SAPBEXHLevel2X 2 6 2" xfId="800"/>
    <cellStyle name="SAPBEXHLevel2X 2 7" xfId="470"/>
    <cellStyle name="SAPBEXHLevel2X 2 7 2" xfId="835"/>
    <cellStyle name="SAPBEXHLevel2X 2 8" xfId="507"/>
    <cellStyle name="SAPBEXHLevel2X 3" xfId="216"/>
    <cellStyle name="SAPBEXHLevel2X 3 2" xfId="582"/>
    <cellStyle name="SAPBEXHLevel2X 4" xfId="287"/>
    <cellStyle name="SAPBEXHLevel2X 4 2" xfId="652"/>
    <cellStyle name="SAPBEXHLevel2X 5" xfId="178"/>
    <cellStyle name="SAPBEXHLevel2X 5 2" xfId="544"/>
    <cellStyle name="SAPBEXHLevel3" xfId="99"/>
    <cellStyle name="SAPBEXHLevel3 2" xfId="141"/>
    <cellStyle name="SAPBEXHLevel3 2 2" xfId="255"/>
    <cellStyle name="SAPBEXHLevel3 2 2 2" xfId="620"/>
    <cellStyle name="SAPBEXHLevel3 2 3" xfId="328"/>
    <cellStyle name="SAPBEXHLevel3 2 3 2" xfId="693"/>
    <cellStyle name="SAPBEXHLevel3 2 4" xfId="396"/>
    <cellStyle name="SAPBEXHLevel3 2 4 2" xfId="761"/>
    <cellStyle name="SAPBEXHLevel3 2 5" xfId="357"/>
    <cellStyle name="SAPBEXHLevel3 2 5 2" xfId="722"/>
    <cellStyle name="SAPBEXHLevel3 2 6" xfId="436"/>
    <cellStyle name="SAPBEXHLevel3 2 6 2" xfId="801"/>
    <cellStyle name="SAPBEXHLevel3 2 7" xfId="471"/>
    <cellStyle name="SAPBEXHLevel3 2 7 2" xfId="836"/>
    <cellStyle name="SAPBEXHLevel3 2 8" xfId="508"/>
    <cellStyle name="SAPBEXHLevel3 3" xfId="217"/>
    <cellStyle name="SAPBEXHLevel3 3 2" xfId="583"/>
    <cellStyle name="SAPBEXHLevel3 4" xfId="288"/>
    <cellStyle name="SAPBEXHLevel3 4 2" xfId="653"/>
    <cellStyle name="SAPBEXHLevel3 5" xfId="302"/>
    <cellStyle name="SAPBEXHLevel3 5 2" xfId="667"/>
    <cellStyle name="SAPBEXHLevel3X" xfId="100"/>
    <cellStyle name="SAPBEXHLevel3X 2" xfId="142"/>
    <cellStyle name="SAPBEXHLevel3X 2 2" xfId="256"/>
    <cellStyle name="SAPBEXHLevel3X 2 2 2" xfId="621"/>
    <cellStyle name="SAPBEXHLevel3X 2 3" xfId="329"/>
    <cellStyle name="SAPBEXHLevel3X 2 3 2" xfId="694"/>
    <cellStyle name="SAPBEXHLevel3X 2 4" xfId="397"/>
    <cellStyle name="SAPBEXHLevel3X 2 4 2" xfId="762"/>
    <cellStyle name="SAPBEXHLevel3X 2 5" xfId="365"/>
    <cellStyle name="SAPBEXHLevel3X 2 5 2" xfId="730"/>
    <cellStyle name="SAPBEXHLevel3X 2 6" xfId="437"/>
    <cellStyle name="SAPBEXHLevel3X 2 6 2" xfId="802"/>
    <cellStyle name="SAPBEXHLevel3X 2 7" xfId="472"/>
    <cellStyle name="SAPBEXHLevel3X 2 7 2" xfId="837"/>
    <cellStyle name="SAPBEXHLevel3X 2 8" xfId="509"/>
    <cellStyle name="SAPBEXHLevel3X 3" xfId="218"/>
    <cellStyle name="SAPBEXHLevel3X 3 2" xfId="584"/>
    <cellStyle name="SAPBEXHLevel3X 4" xfId="289"/>
    <cellStyle name="SAPBEXHLevel3X 4 2" xfId="654"/>
    <cellStyle name="SAPBEXHLevel3X 5" xfId="179"/>
    <cellStyle name="SAPBEXHLevel3X 5 2" xfId="545"/>
    <cellStyle name="SAPBEXresData" xfId="101"/>
    <cellStyle name="SAPBEXresData 2" xfId="143"/>
    <cellStyle name="SAPBEXresData 2 2" xfId="257"/>
    <cellStyle name="SAPBEXresData 2 2 2" xfId="622"/>
    <cellStyle name="SAPBEXresData 2 3" xfId="330"/>
    <cellStyle name="SAPBEXresData 2 3 2" xfId="695"/>
    <cellStyle name="SAPBEXresData 2 4" xfId="398"/>
    <cellStyle name="SAPBEXresData 2 4 2" xfId="763"/>
    <cellStyle name="SAPBEXresData 2 5" xfId="370"/>
    <cellStyle name="SAPBEXresData 2 5 2" xfId="735"/>
    <cellStyle name="SAPBEXresData 2 6" xfId="438"/>
    <cellStyle name="SAPBEXresData 2 6 2" xfId="803"/>
    <cellStyle name="SAPBEXresData 2 7" xfId="473"/>
    <cellStyle name="SAPBEXresData 2 7 2" xfId="838"/>
    <cellStyle name="SAPBEXresData 2 8" xfId="510"/>
    <cellStyle name="SAPBEXresData 3" xfId="219"/>
    <cellStyle name="SAPBEXresData 3 2" xfId="585"/>
    <cellStyle name="SAPBEXresData 4" xfId="290"/>
    <cellStyle name="SAPBEXresData 4 2" xfId="655"/>
    <cellStyle name="SAPBEXresData 5" xfId="180"/>
    <cellStyle name="SAPBEXresData 5 2" xfId="546"/>
    <cellStyle name="SAPBEXresDataEmph" xfId="102"/>
    <cellStyle name="SAPBEXresDataEmph 2" xfId="144"/>
    <cellStyle name="SAPBEXresDataEmph 2 2" xfId="258"/>
    <cellStyle name="SAPBEXresDataEmph 2 2 2" xfId="623"/>
    <cellStyle name="SAPBEXresDataEmph 2 3" xfId="331"/>
    <cellStyle name="SAPBEXresDataEmph 2 3 2" xfId="696"/>
    <cellStyle name="SAPBEXresDataEmph 2 4" xfId="399"/>
    <cellStyle name="SAPBEXresDataEmph 2 4 2" xfId="764"/>
    <cellStyle name="SAPBEXresDataEmph 2 5" xfId="358"/>
    <cellStyle name="SAPBEXresDataEmph 2 5 2" xfId="723"/>
    <cellStyle name="SAPBEXresDataEmph 2 6" xfId="439"/>
    <cellStyle name="SAPBEXresDataEmph 2 6 2" xfId="804"/>
    <cellStyle name="SAPBEXresDataEmph 2 7" xfId="474"/>
    <cellStyle name="SAPBEXresDataEmph 2 7 2" xfId="839"/>
    <cellStyle name="SAPBEXresDataEmph 2 8" xfId="511"/>
    <cellStyle name="SAPBEXresDataEmph 3" xfId="220"/>
    <cellStyle name="SAPBEXresDataEmph 3 2" xfId="586"/>
    <cellStyle name="SAPBEXresDataEmph 4" xfId="291"/>
    <cellStyle name="SAPBEXresDataEmph 4 2" xfId="656"/>
    <cellStyle name="SAPBEXresDataEmph 5" xfId="181"/>
    <cellStyle name="SAPBEXresDataEmph 5 2" xfId="547"/>
    <cellStyle name="SAPBEXresItem" xfId="103"/>
    <cellStyle name="SAPBEXresItem 2" xfId="145"/>
    <cellStyle name="SAPBEXresItem 2 2" xfId="259"/>
    <cellStyle name="SAPBEXresItem 2 2 2" xfId="624"/>
    <cellStyle name="SAPBEXresItem 2 3" xfId="332"/>
    <cellStyle name="SAPBEXresItem 2 3 2" xfId="697"/>
    <cellStyle name="SAPBEXresItem 2 4" xfId="400"/>
    <cellStyle name="SAPBEXresItem 2 4 2" xfId="765"/>
    <cellStyle name="SAPBEXresItem 2 5" xfId="359"/>
    <cellStyle name="SAPBEXresItem 2 5 2" xfId="724"/>
    <cellStyle name="SAPBEXresItem 2 6" xfId="440"/>
    <cellStyle name="SAPBEXresItem 2 6 2" xfId="805"/>
    <cellStyle name="SAPBEXresItem 2 7" xfId="475"/>
    <cellStyle name="SAPBEXresItem 2 7 2" xfId="840"/>
    <cellStyle name="SAPBEXresItem 2 8" xfId="512"/>
    <cellStyle name="SAPBEXresItem 3" xfId="221"/>
    <cellStyle name="SAPBEXresItem 3 2" xfId="587"/>
    <cellStyle name="SAPBEXresItem 4" xfId="292"/>
    <cellStyle name="SAPBEXresItem 4 2" xfId="657"/>
    <cellStyle name="SAPBEXresItem 5" xfId="182"/>
    <cellStyle name="SAPBEXresItem 5 2" xfId="548"/>
    <cellStyle name="SAPBEXresItemX" xfId="104"/>
    <cellStyle name="SAPBEXresItemX 2" xfId="146"/>
    <cellStyle name="SAPBEXresItemX 2 2" xfId="260"/>
    <cellStyle name="SAPBEXresItemX 2 2 2" xfId="625"/>
    <cellStyle name="SAPBEXresItemX 2 3" xfId="333"/>
    <cellStyle name="SAPBEXresItemX 2 3 2" xfId="698"/>
    <cellStyle name="SAPBEXresItemX 2 4" xfId="401"/>
    <cellStyle name="SAPBEXresItemX 2 4 2" xfId="766"/>
    <cellStyle name="SAPBEXresItemX 2 5" xfId="360"/>
    <cellStyle name="SAPBEXresItemX 2 5 2" xfId="725"/>
    <cellStyle name="SAPBEXresItemX 2 6" xfId="441"/>
    <cellStyle name="SAPBEXresItemX 2 6 2" xfId="806"/>
    <cellStyle name="SAPBEXresItemX 2 7" xfId="476"/>
    <cellStyle name="SAPBEXresItemX 2 7 2" xfId="841"/>
    <cellStyle name="SAPBEXresItemX 2 8" xfId="513"/>
    <cellStyle name="SAPBEXresItemX 3" xfId="222"/>
    <cellStyle name="SAPBEXresItemX 3 2" xfId="588"/>
    <cellStyle name="SAPBEXresItemX 4" xfId="293"/>
    <cellStyle name="SAPBEXresItemX 4 2" xfId="658"/>
    <cellStyle name="SAPBEXresItemX 5" xfId="183"/>
    <cellStyle name="SAPBEXresItemX 5 2" xfId="549"/>
    <cellStyle name="SAPBEXstdData" xfId="105"/>
    <cellStyle name="SAPBEXstdData 2" xfId="147"/>
    <cellStyle name="SAPBEXstdData 2 2" xfId="261"/>
    <cellStyle name="SAPBEXstdData 2 2 2" xfId="626"/>
    <cellStyle name="SAPBEXstdData 2 3" xfId="334"/>
    <cellStyle name="SAPBEXstdData 2 3 2" xfId="699"/>
    <cellStyle name="SAPBEXstdData 2 4" xfId="402"/>
    <cellStyle name="SAPBEXstdData 2 4 2" xfId="767"/>
    <cellStyle name="SAPBEXstdData 2 5" xfId="361"/>
    <cellStyle name="SAPBEXstdData 2 5 2" xfId="726"/>
    <cellStyle name="SAPBEXstdData 2 6" xfId="442"/>
    <cellStyle name="SAPBEXstdData 2 6 2" xfId="807"/>
    <cellStyle name="SAPBEXstdData 2 7" xfId="477"/>
    <cellStyle name="SAPBEXstdData 2 7 2" xfId="842"/>
    <cellStyle name="SAPBEXstdData 2 8" xfId="514"/>
    <cellStyle name="SAPBEXstdData 3" xfId="223"/>
    <cellStyle name="SAPBEXstdData 3 2" xfId="589"/>
    <cellStyle name="SAPBEXstdData 4" xfId="294"/>
    <cellStyle name="SAPBEXstdData 4 2" xfId="659"/>
    <cellStyle name="SAPBEXstdData 5" xfId="184"/>
    <cellStyle name="SAPBEXstdData 5 2" xfId="550"/>
    <cellStyle name="SAPBEXstdDataEmph" xfId="106"/>
    <cellStyle name="SAPBEXstdDataEmph 2" xfId="148"/>
    <cellStyle name="SAPBEXstdDataEmph 2 2" xfId="262"/>
    <cellStyle name="SAPBEXstdDataEmph 2 2 2" xfId="627"/>
    <cellStyle name="SAPBEXstdDataEmph 2 3" xfId="335"/>
    <cellStyle name="SAPBEXstdDataEmph 2 3 2" xfId="700"/>
    <cellStyle name="SAPBEXstdDataEmph 2 4" xfId="403"/>
    <cellStyle name="SAPBEXstdDataEmph 2 4 2" xfId="768"/>
    <cellStyle name="SAPBEXstdDataEmph 2 5" xfId="362"/>
    <cellStyle name="SAPBEXstdDataEmph 2 5 2" xfId="727"/>
    <cellStyle name="SAPBEXstdDataEmph 2 6" xfId="443"/>
    <cellStyle name="SAPBEXstdDataEmph 2 6 2" xfId="808"/>
    <cellStyle name="SAPBEXstdDataEmph 2 7" xfId="478"/>
    <cellStyle name="SAPBEXstdDataEmph 2 7 2" xfId="843"/>
    <cellStyle name="SAPBEXstdDataEmph 2 8" xfId="515"/>
    <cellStyle name="SAPBEXstdDataEmph 3" xfId="224"/>
    <cellStyle name="SAPBEXstdDataEmph 3 2" xfId="590"/>
    <cellStyle name="SAPBEXstdDataEmph 4" xfId="295"/>
    <cellStyle name="SAPBEXstdDataEmph 4 2" xfId="660"/>
    <cellStyle name="SAPBEXstdDataEmph 5" xfId="185"/>
    <cellStyle name="SAPBEXstdDataEmph 5 2" xfId="551"/>
    <cellStyle name="SAPBEXstdItem" xfId="107"/>
    <cellStyle name="SAPBEXstdItem 2" xfId="149"/>
    <cellStyle name="SAPBEXstdItem 2 2" xfId="263"/>
    <cellStyle name="SAPBEXstdItem 2 2 2" xfId="628"/>
    <cellStyle name="SAPBEXstdItem 2 3" xfId="336"/>
    <cellStyle name="SAPBEXstdItem 2 3 2" xfId="701"/>
    <cellStyle name="SAPBEXstdItem 2 4" xfId="404"/>
    <cellStyle name="SAPBEXstdItem 2 4 2" xfId="769"/>
    <cellStyle name="SAPBEXstdItem 2 5" xfId="363"/>
    <cellStyle name="SAPBEXstdItem 2 5 2" xfId="728"/>
    <cellStyle name="SAPBEXstdItem 2 6" xfId="444"/>
    <cellStyle name="SAPBEXstdItem 2 6 2" xfId="809"/>
    <cellStyle name="SAPBEXstdItem 2 7" xfId="479"/>
    <cellStyle name="SAPBEXstdItem 2 7 2" xfId="844"/>
    <cellStyle name="SAPBEXstdItem 2 8" xfId="516"/>
    <cellStyle name="SAPBEXstdItem 3" xfId="225"/>
    <cellStyle name="SAPBEXstdItem 3 2" xfId="591"/>
    <cellStyle name="SAPBEXstdItem 4" xfId="296"/>
    <cellStyle name="SAPBEXstdItem 4 2" xfId="661"/>
    <cellStyle name="SAPBEXstdItem 5" xfId="189"/>
    <cellStyle name="SAPBEXstdItem 5 2" xfId="555"/>
    <cellStyle name="SAPBEXstdItemX" xfId="108"/>
    <cellStyle name="SAPBEXstdItemX 2" xfId="150"/>
    <cellStyle name="SAPBEXstdItemX 2 2" xfId="264"/>
    <cellStyle name="SAPBEXstdItemX 2 2 2" xfId="629"/>
    <cellStyle name="SAPBEXstdItemX 2 3" xfId="337"/>
    <cellStyle name="SAPBEXstdItemX 2 3 2" xfId="702"/>
    <cellStyle name="SAPBEXstdItemX 2 4" xfId="405"/>
    <cellStyle name="SAPBEXstdItemX 2 4 2" xfId="770"/>
    <cellStyle name="SAPBEXstdItemX 2 5" xfId="369"/>
    <cellStyle name="SAPBEXstdItemX 2 5 2" xfId="734"/>
    <cellStyle name="SAPBEXstdItemX 2 6" xfId="445"/>
    <cellStyle name="SAPBEXstdItemX 2 6 2" xfId="810"/>
    <cellStyle name="SAPBEXstdItemX 2 7" xfId="480"/>
    <cellStyle name="SAPBEXstdItemX 2 7 2" xfId="845"/>
    <cellStyle name="SAPBEXstdItemX 2 8" xfId="517"/>
    <cellStyle name="SAPBEXstdItemX 3" xfId="226"/>
    <cellStyle name="SAPBEXstdItemX 3 2" xfId="592"/>
    <cellStyle name="SAPBEXstdItemX 4" xfId="297"/>
    <cellStyle name="SAPBEXstdItemX 4 2" xfId="662"/>
    <cellStyle name="SAPBEXstdItemX 5" xfId="228"/>
    <cellStyle name="SAPBEXstdItemX 5 2" xfId="594"/>
    <cellStyle name="SAPBEXtitle" xfId="109"/>
    <cellStyle name="SAPBEXundefined" xfId="110"/>
    <cellStyle name="SAPBEXundefined 2" xfId="151"/>
    <cellStyle name="SAPBEXundefined 2 2" xfId="265"/>
    <cellStyle name="SAPBEXundefined 2 2 2" xfId="630"/>
    <cellStyle name="SAPBEXundefined 2 3" xfId="338"/>
    <cellStyle name="SAPBEXundefined 2 3 2" xfId="703"/>
    <cellStyle name="SAPBEXundefined 2 4" xfId="406"/>
    <cellStyle name="SAPBEXundefined 2 4 2" xfId="771"/>
    <cellStyle name="SAPBEXundefined 2 5" xfId="410"/>
    <cellStyle name="SAPBEXundefined 2 5 2" xfId="775"/>
    <cellStyle name="SAPBEXundefined 2 6" xfId="446"/>
    <cellStyle name="SAPBEXundefined 2 6 2" xfId="811"/>
    <cellStyle name="SAPBEXundefined 2 7" xfId="481"/>
    <cellStyle name="SAPBEXundefined 2 7 2" xfId="846"/>
    <cellStyle name="SAPBEXundefined 2 8" xfId="518"/>
    <cellStyle name="SAPBEXundefined 3" xfId="227"/>
    <cellStyle name="SAPBEXundefined 3 2" xfId="593"/>
    <cellStyle name="SAPBEXundefined 4" xfId="299"/>
    <cellStyle name="SAPBEXundefined 4 2" xfId="664"/>
    <cellStyle name="SAPBEXundefined 5" xfId="187"/>
    <cellStyle name="SAPBEXundefined 5 2" xfId="553"/>
    <cellStyle name="Walutowy 2" xfId="111"/>
  </cellStyles>
  <dxfs count="0"/>
  <tableStyles count="0" defaultTableStyle="TableStyleMedium2" defaultPivotStyle="PivotStyleLight16"/>
  <colors>
    <mruColors>
      <color rgb="FF0000FF"/>
      <color rgb="FFFFFF00"/>
      <color rgb="FF66FF66"/>
      <color rgb="FF00FF00"/>
      <color rgb="FFFF99FF"/>
      <color rgb="FFFFFF99"/>
      <color rgb="FF800000"/>
      <color rgb="FFFF66FF"/>
      <color rgb="FFCCFF33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59</xdr:row>
      <xdr:rowOff>0</xdr:rowOff>
    </xdr:from>
    <xdr:to>
      <xdr:col>18</xdr:col>
      <xdr:colOff>0</xdr:colOff>
      <xdr:row>59</xdr:row>
      <xdr:rowOff>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 rot="4832260">
          <a:off x="16478250" y="9829800"/>
          <a:ext cx="0" cy="0"/>
        </a:xfrm>
        <a:prstGeom prst="curvedUpArrow">
          <a:avLst>
            <a:gd name="adj1" fmla="val -2147483648"/>
            <a:gd name="adj2" fmla="val -2147483648"/>
            <a:gd name="adj3" fmla="val -2147483648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Luty/Luty_WPF_Tabele%206_przedsi&#281;wziec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wrzesie&#324;/wrzesie&#324;_WPF_Tabele%206_przedsi&#281;wzieci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7/uchwa&#322;y/Sejmiku%20WZ/pa&#378;dziernik/pa&#378;dziernik_WPF_Tabele%206_przedsi&#281;wziec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budzet/Bud&#380;et%202018/Uchwa&#322;y/Sejmik/Czerwiec/czerwiec_26_WPF_Tabele%206_przedsi&#281;wzieci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/>
      <sheetData sheetId="1">
        <row r="88">
          <cell r="L88">
            <v>1768543947</v>
          </cell>
        </row>
      </sheetData>
      <sheetData sheetId="2">
        <row r="25">
          <cell r="G25">
            <v>5076165</v>
          </cell>
        </row>
      </sheetData>
      <sheetData sheetId="3">
        <row r="37">
          <cell r="G37">
            <v>237792</v>
          </cell>
        </row>
        <row r="54">
          <cell r="G54">
            <v>586163</v>
          </cell>
        </row>
        <row r="67">
          <cell r="G67">
            <v>1553157</v>
          </cell>
        </row>
        <row r="91">
          <cell r="G91">
            <v>8810682</v>
          </cell>
        </row>
        <row r="122">
          <cell r="G122">
            <v>7819700</v>
          </cell>
        </row>
        <row r="130">
          <cell r="G130">
            <v>8335700</v>
          </cell>
        </row>
      </sheetData>
      <sheetData sheetId="4"/>
      <sheetData sheetId="5"/>
      <sheetData sheetId="6">
        <row r="35">
          <cell r="G35">
            <v>473192</v>
          </cell>
        </row>
        <row r="54">
          <cell r="G54">
            <v>632415</v>
          </cell>
        </row>
        <row r="66">
          <cell r="G66">
            <v>11970</v>
          </cell>
        </row>
        <row r="77">
          <cell r="G77">
            <v>2200000</v>
          </cell>
        </row>
        <row r="88">
          <cell r="G88">
            <v>0</v>
          </cell>
        </row>
        <row r="115">
          <cell r="G115">
            <v>26461975</v>
          </cell>
        </row>
        <row r="134">
          <cell r="G134">
            <v>369922</v>
          </cell>
        </row>
        <row r="147">
          <cell r="G147">
            <v>9512149</v>
          </cell>
        </row>
        <row r="220">
          <cell r="G220">
            <v>3783593</v>
          </cell>
        </row>
      </sheetData>
      <sheetData sheetId="7"/>
      <sheetData sheetId="8"/>
      <sheetData sheetId="9">
        <row r="21">
          <cell r="G21">
            <v>0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</sheetNames>
    <sheetDataSet>
      <sheetData sheetId="0"/>
      <sheetData sheetId="1"/>
      <sheetData sheetId="2"/>
      <sheetData sheetId="3">
        <row r="162">
          <cell r="M162">
            <v>378288</v>
          </cell>
          <cell r="P162">
            <v>1089145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K7">
            <v>174832844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>
        <row r="5">
          <cell r="C5">
            <v>12466748</v>
          </cell>
        </row>
      </sheetData>
      <sheetData sheetId="1">
        <row r="88">
          <cell r="C88">
            <v>545283095</v>
          </cell>
        </row>
      </sheetData>
      <sheetData sheetId="2">
        <row r="8">
          <cell r="D8">
            <v>812925188</v>
          </cell>
        </row>
      </sheetData>
      <sheetData sheetId="3">
        <row r="7">
          <cell r="D7">
            <v>102016554</v>
          </cell>
        </row>
        <row r="258">
          <cell r="D258">
            <v>12836659</v>
          </cell>
        </row>
      </sheetData>
      <sheetData sheetId="4">
        <row r="10">
          <cell r="D10">
            <v>125334394</v>
          </cell>
        </row>
      </sheetData>
      <sheetData sheetId="5">
        <row r="10">
          <cell r="D10">
            <v>783000</v>
          </cell>
        </row>
      </sheetData>
      <sheetData sheetId="6">
        <row r="9">
          <cell r="D9">
            <v>336435005</v>
          </cell>
        </row>
      </sheetData>
      <sheetData sheetId="7">
        <row r="7">
          <cell r="D7">
            <v>29987978</v>
          </cell>
        </row>
      </sheetData>
      <sheetData sheetId="8">
        <row r="8">
          <cell r="D8">
            <v>44879279</v>
          </cell>
        </row>
      </sheetData>
      <sheetData sheetId="9">
        <row r="7">
          <cell r="D7">
            <v>105743053</v>
          </cell>
        </row>
      </sheetData>
      <sheetData sheetId="10">
        <row r="8">
          <cell r="D8">
            <v>2254391</v>
          </cell>
        </row>
      </sheetData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ROJEKTY WYŁ i NOWE"/>
      <sheetName val="Tabela nr 6"/>
      <sheetName val="Tab. 6A -Drogi"/>
      <sheetName val="Tab. 6B Polit społ i rozwój prz"/>
      <sheetName val="Tab. 6C - Ochrona zdrowia"/>
      <sheetName val="Tab. 6D - Oświata"/>
      <sheetName val="Tab. 6E - Administracja"/>
      <sheetName val="Tab. 6F - Kultura"/>
      <sheetName val="Tab. 6G - Roln i ochrona środ."/>
      <sheetName val="Tab. 6H - Kultura fiz. i turyst"/>
      <sheetName val="Tab.6I - Planow. przestrz."/>
      <sheetName val="projekty UE"/>
      <sheetName val="Dane do WPF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4">
          <cell r="G34">
            <v>1146458</v>
          </cell>
        </row>
        <row r="46">
          <cell r="G46">
            <v>535390</v>
          </cell>
        </row>
        <row r="58">
          <cell r="G58">
            <v>403710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Q1043"/>
  <sheetViews>
    <sheetView showGridLines="0" view="pageBreakPreview" zoomScaleNormal="110" zoomScaleSheetLayoutView="100" workbookViewId="0"/>
  </sheetViews>
  <sheetFormatPr defaultColWidth="9.140625" defaultRowHeight="12.75" outlineLevelCol="1"/>
  <cols>
    <col min="1" max="1" width="49.140625" style="922" customWidth="1"/>
    <col min="2" max="2" width="16" style="923" customWidth="1"/>
    <col min="3" max="3" width="13.85546875" style="923" customWidth="1"/>
    <col min="4" max="4" width="17.85546875" style="923" customWidth="1"/>
    <col min="5" max="5" width="14.7109375" style="923" bestFit="1" customWidth="1"/>
    <col min="6" max="6" width="12.85546875" style="923" customWidth="1"/>
    <col min="7" max="8" width="13.140625" style="923" customWidth="1"/>
    <col min="9" max="9" width="14.42578125" style="923" customWidth="1"/>
    <col min="10" max="10" width="16.140625" style="922" customWidth="1"/>
    <col min="11" max="11" width="14.5703125" style="925" hidden="1" customWidth="1" outlineLevel="1"/>
    <col min="12" max="12" width="14.5703125" style="925" customWidth="1" outlineLevel="1"/>
    <col min="13" max="13" width="17.28515625" style="925" hidden="1" customWidth="1" outlineLevel="1"/>
    <col min="14" max="14" width="14.7109375" style="922" hidden="1" customWidth="1"/>
    <col min="15" max="15" width="14.28515625" style="922" hidden="1" customWidth="1"/>
    <col min="16" max="16" width="0" style="922" hidden="1" customWidth="1"/>
    <col min="17" max="17" width="9.7109375" style="922" hidden="1" customWidth="1"/>
    <col min="18" max="16384" width="9.140625" style="922"/>
  </cols>
  <sheetData>
    <row r="1" spans="1:15" ht="23.25" customHeight="1">
      <c r="A1" s="921"/>
      <c r="E1" s="924"/>
      <c r="G1" s="924"/>
      <c r="H1" s="924"/>
      <c r="I1" s="924"/>
    </row>
    <row r="2" spans="1:15" ht="15">
      <c r="C2" s="927"/>
      <c r="D2" s="927"/>
      <c r="E2" s="927"/>
      <c r="G2" s="927"/>
      <c r="H2" s="927"/>
      <c r="I2" s="924" t="s">
        <v>315</v>
      </c>
      <c r="J2" s="926"/>
    </row>
    <row r="3" spans="1:15">
      <c r="B3" s="930"/>
      <c r="C3" s="927"/>
      <c r="D3" s="927"/>
      <c r="E3" s="927"/>
      <c r="F3" s="927"/>
      <c r="G3" s="927"/>
      <c r="H3" s="927"/>
      <c r="I3" s="927"/>
      <c r="J3" s="926"/>
      <c r="K3" s="3513"/>
      <c r="L3" s="3513"/>
      <c r="M3" s="3513"/>
    </row>
    <row r="4" spans="1:15" ht="12.75" customHeight="1">
      <c r="C4" s="926"/>
      <c r="D4" s="926"/>
      <c r="E4" s="926"/>
      <c r="F4" s="926"/>
      <c r="G4" s="926"/>
      <c r="H4" s="926"/>
      <c r="I4" s="926"/>
      <c r="J4" s="1390"/>
      <c r="K4" s="3513"/>
      <c r="L4" s="3513"/>
      <c r="M4" s="3513"/>
    </row>
    <row r="5" spans="1:15" ht="72" customHeight="1">
      <c r="A5" s="3590" t="s">
        <v>0</v>
      </c>
      <c r="B5" s="3590"/>
      <c r="C5" s="3590"/>
      <c r="D5" s="3590"/>
      <c r="E5" s="3590"/>
      <c r="F5" s="3590"/>
      <c r="G5" s="3590"/>
      <c r="H5" s="3590"/>
      <c r="I5" s="3590"/>
      <c r="J5" s="3590"/>
      <c r="K5" s="3040"/>
      <c r="L5" s="3040"/>
      <c r="M5" s="3513"/>
    </row>
    <row r="6" spans="1:15" ht="12" customHeight="1">
      <c r="A6" s="928"/>
      <c r="B6" s="928"/>
      <c r="C6" s="928"/>
      <c r="D6" s="2596"/>
      <c r="E6" s="928"/>
      <c r="F6" s="928"/>
      <c r="G6" s="928"/>
      <c r="H6" s="928"/>
      <c r="I6" s="928"/>
      <c r="J6" s="928"/>
      <c r="K6" s="3513"/>
      <c r="L6" s="3513"/>
      <c r="M6" s="3513"/>
    </row>
    <row r="7" spans="1:15" ht="48.75" customHeight="1" thickBot="1">
      <c r="A7" s="3591" t="s">
        <v>1</v>
      </c>
      <c r="B7" s="3591"/>
      <c r="C7" s="3591"/>
      <c r="D7" s="3591"/>
      <c r="E7" s="3591"/>
      <c r="F7" s="3591"/>
      <c r="G7" s="3591"/>
      <c r="H7" s="3591"/>
      <c r="I7" s="3591"/>
      <c r="J7" s="3591"/>
      <c r="K7" s="1238"/>
      <c r="L7" s="1238"/>
      <c r="M7" s="3513"/>
    </row>
    <row r="8" spans="1:15" s="923" customFormat="1" ht="24.75" customHeight="1">
      <c r="A8" s="929"/>
      <c r="B8" s="3595" t="s">
        <v>229</v>
      </c>
      <c r="C8" s="3602" t="s">
        <v>437</v>
      </c>
      <c r="D8" s="3598" t="s">
        <v>390</v>
      </c>
      <c r="E8" s="3598"/>
      <c r="F8" s="3598"/>
      <c r="G8" s="3598"/>
      <c r="H8" s="3598"/>
      <c r="I8" s="3599"/>
      <c r="J8" s="3592" t="s">
        <v>3</v>
      </c>
      <c r="K8" s="3605" t="s">
        <v>407</v>
      </c>
      <c r="L8" s="3610" t="s">
        <v>391</v>
      </c>
      <c r="M8" s="930"/>
    </row>
    <row r="9" spans="1:15" ht="27" customHeight="1">
      <c r="A9" s="931" t="s">
        <v>4</v>
      </c>
      <c r="B9" s="3596"/>
      <c r="C9" s="3603"/>
      <c r="D9" s="3600"/>
      <c r="E9" s="3600"/>
      <c r="F9" s="3600"/>
      <c r="G9" s="3600"/>
      <c r="H9" s="3600"/>
      <c r="I9" s="3601"/>
      <c r="J9" s="3593"/>
      <c r="K9" s="3606"/>
      <c r="L9" s="3611"/>
      <c r="M9" s="930" t="s">
        <v>2</v>
      </c>
    </row>
    <row r="10" spans="1:15" ht="19.5" customHeight="1" thickBot="1">
      <c r="A10" s="931"/>
      <c r="B10" s="932" t="s">
        <v>381</v>
      </c>
      <c r="C10" s="3604"/>
      <c r="D10" s="933" t="s">
        <v>6</v>
      </c>
      <c r="E10" s="933" t="s">
        <v>179</v>
      </c>
      <c r="F10" s="933" t="s">
        <v>181</v>
      </c>
      <c r="G10" s="933" t="s">
        <v>220</v>
      </c>
      <c r="H10" s="933" t="s">
        <v>221</v>
      </c>
      <c r="I10" s="934" t="s">
        <v>219</v>
      </c>
      <c r="J10" s="3594"/>
      <c r="K10" s="3606"/>
      <c r="L10" s="3611"/>
      <c r="M10" s="3514"/>
      <c r="N10" s="935"/>
    </row>
    <row r="11" spans="1:15" ht="13.5" customHeight="1" thickBot="1">
      <c r="A11" s="936">
        <v>1</v>
      </c>
      <c r="B11" s="937">
        <v>2</v>
      </c>
      <c r="C11" s="938">
        <v>3</v>
      </c>
      <c r="D11" s="937">
        <v>4</v>
      </c>
      <c r="E11" s="939">
        <v>5</v>
      </c>
      <c r="F11" s="940">
        <v>6</v>
      </c>
      <c r="G11" s="941">
        <v>7</v>
      </c>
      <c r="H11" s="937">
        <v>8</v>
      </c>
      <c r="I11" s="941">
        <v>9</v>
      </c>
      <c r="J11" s="1737">
        <v>10</v>
      </c>
      <c r="K11" s="1856">
        <v>11</v>
      </c>
      <c r="L11" s="942">
        <v>11</v>
      </c>
      <c r="M11" s="3513"/>
      <c r="N11" s="3615" t="s">
        <v>42</v>
      </c>
      <c r="O11" s="3616"/>
    </row>
    <row r="12" spans="1:15" s="947" customFormat="1" ht="18.75" customHeight="1">
      <c r="A12" s="943" t="s">
        <v>7</v>
      </c>
      <c r="B12" s="944">
        <f>+B13+B14</f>
        <v>93026756</v>
      </c>
      <c r="C12" s="944">
        <f t="shared" ref="C12:D12" si="0">+C13+C14</f>
        <v>270044617</v>
      </c>
      <c r="D12" s="944">
        <f t="shared" si="0"/>
        <v>482086651</v>
      </c>
      <c r="E12" s="944">
        <f t="shared" ref="E12:L12" si="1">+E13+E14</f>
        <v>344763295</v>
      </c>
      <c r="F12" s="944">
        <f t="shared" si="1"/>
        <v>271051074</v>
      </c>
      <c r="G12" s="944">
        <f t="shared" si="1"/>
        <v>82402857</v>
      </c>
      <c r="H12" s="944">
        <f t="shared" si="1"/>
        <v>38876530</v>
      </c>
      <c r="I12" s="944">
        <f t="shared" si="1"/>
        <v>36217179</v>
      </c>
      <c r="J12" s="1738">
        <f>+J13+J14</f>
        <v>1618468959</v>
      </c>
      <c r="K12" s="1857">
        <f>+K13+K14</f>
        <v>1525442203</v>
      </c>
      <c r="L12" s="945">
        <f t="shared" si="1"/>
        <v>1255397586</v>
      </c>
      <c r="M12" s="3515"/>
      <c r="N12" s="437">
        <f t="shared" ref="N12:N31" si="2">+C12+D12+E12+F12+G12+H12+I12+B12</f>
        <v>1618468959</v>
      </c>
      <c r="O12" s="946">
        <f>J12-N12</f>
        <v>0</v>
      </c>
    </row>
    <row r="13" spans="1:15" s="947" customFormat="1" ht="17.25" customHeight="1">
      <c r="A13" s="948" t="s">
        <v>8</v>
      </c>
      <c r="B13" s="949">
        <f>+'Tab. 6B Polit społ i rozwój prz'!E8+'Tab. 6D - Oświata'!E11+'Tab. 6A -Drogi'!E9+'Tab. 6E - Administracja'!E10+'Tab. 6G - Roln i ochrona środ.'!E9+'Tab. 6H - Kultura fiz. i turyst'!E8+'Tab.6I - Planow. przestrz.'!E9</f>
        <v>45879756</v>
      </c>
      <c r="C13" s="949">
        <f>+'Tab. 6B Polit społ i rozwój prz'!F8+'Tab. 6D - Oświata'!F11+'Tab. 6A -Drogi'!F9+'Tab. 6E - Administracja'!F10+'Tab. 6G - Roln i ochrona środ.'!F9+'Tab. 6H - Kultura fiz. i turyst'!F8+'Tab.6I - Planow. przestrz.'!F9</f>
        <v>46456256</v>
      </c>
      <c r="D13" s="949">
        <f>+'Tab. 6B Polit społ i rozwój prz'!G8+'Tab. 6D - Oświata'!G11+'Tab. 6A -Drogi'!G9+'Tab. 6E - Administracja'!G10+'Tab. 6G - Roln i ochrona środ.'!G9+'Tab. 6H - Kultura fiz. i turyst'!G8+'Tab.6I - Planow. przestrz.'!G9+'Tab. 6C - Ochrona zdrowia'!G7</f>
        <v>77751492</v>
      </c>
      <c r="E13" s="949">
        <f>+'Tab. 6B Polit społ i rozwój prz'!H8+'Tab. 6D - Oświata'!H11+'Tab. 6A -Drogi'!H9+'Tab. 6E - Administracja'!H10+'Tab. 6G - Roln i ochrona środ.'!H9+'Tab. 6H - Kultura fiz. i turyst'!H8+'Tab.6I - Planow. przestrz.'!H9+'Tab. 6C - Ochrona zdrowia'!H7</f>
        <v>74636646</v>
      </c>
      <c r="F13" s="949">
        <f>+'Tab. 6B Polit społ i rozwój prz'!I8+'Tab. 6D - Oświata'!I11+'Tab. 6A -Drogi'!I9+'Tab. 6E - Administracja'!I10+'Tab. 6G - Roln i ochrona środ.'!I9+'Tab. 6H - Kultura fiz. i turyst'!I8+'Tab.6I - Planow. przestrz.'!I9+'Tab. 6C - Ochrona zdrowia'!I7</f>
        <v>62195262</v>
      </c>
      <c r="G13" s="949">
        <f>+'Tab. 6B Polit społ i rozwój prz'!J8+'Tab. 6D - Oświata'!J11+'Tab. 6A -Drogi'!J9+'Tab. 6E - Administracja'!J10+'Tab. 6G - Roln i ochrona środ.'!J9+'Tab. 6H - Kultura fiz. i turyst'!J8+'Tab.6I - Planow. przestrz.'!J9+'Tab. 6C - Ochrona zdrowia'!J7</f>
        <v>43469276</v>
      </c>
      <c r="H13" s="949">
        <f>+'Tab. 6B Polit społ i rozwój prz'!K8+'Tab. 6D - Oświata'!K11+'Tab. 6A -Drogi'!K9+'Tab. 6E - Administracja'!K10+'Tab. 6G - Roln i ochrona środ.'!K9+'Tab. 6H - Kultura fiz. i turyst'!K8+'Tab.6I - Planow. przestrz.'!K9+'Tab. 6C - Ochrona zdrowia'!K7</f>
        <v>38732030</v>
      </c>
      <c r="I13" s="949">
        <f>+'Tab. 6B Polit społ i rozwój prz'!L8+'Tab. 6D - Oświata'!L11+'Tab. 6A -Drogi'!L9+'Tab. 6E - Administracja'!L10+'Tab. 6G - Roln i ochrona środ.'!L9+'Tab. 6H - Kultura fiz. i turyst'!L8+'Tab.6I - Planow. przestrz.'!L9+'Tab. 6C - Ochrona zdrowia'!L7</f>
        <v>36072679</v>
      </c>
      <c r="J13" s="1739">
        <f>'Tab. 6A -Drogi'!D9+'Tab. 6B Polit społ i rozwój prz'!D8+'Tab. 6D - Oświata'!D11+'Tab. 6E - Administracja'!D10+'Tab. 6G - Roln i ochrona środ.'!D9+'Tab. 6H - Kultura fiz. i turyst'!D8+'Tab.6I - Planow. przestrz.'!D9+'Tab. 6C - Ochrona zdrowia'!D7</f>
        <v>425193397</v>
      </c>
      <c r="K13" s="1858">
        <f>SUM(C13:I13)</f>
        <v>379313641</v>
      </c>
      <c r="L13" s="1175">
        <f>SUM(D13:I13)</f>
        <v>332857385</v>
      </c>
      <c r="M13" s="2707">
        <f>K13-C13-D13-E13-F13-G13-H13-I13</f>
        <v>0</v>
      </c>
      <c r="N13" s="437">
        <f t="shared" si="2"/>
        <v>425193397</v>
      </c>
      <c r="O13" s="438">
        <f>J13-N13</f>
        <v>0</v>
      </c>
    </row>
    <row r="14" spans="1:15" s="947" customFormat="1" ht="17.25" customHeight="1" thickBot="1">
      <c r="A14" s="951" t="s">
        <v>9</v>
      </c>
      <c r="B14" s="952">
        <f>+'Tab. 6D - Oświata'!E12+'Tab. 6A -Drogi'!E10+'Tab. 6E - Administracja'!E11+'Tab. 6G - Roln i ochrona środ.'!E10+'Tab. 6H - Kultura fiz. i turyst'!E9+'Tab. 6B Polit społ i rozwój prz'!E9+'Tab.6I - Planow. przestrz.'!E10</f>
        <v>47147000</v>
      </c>
      <c r="C14" s="952">
        <f>+'Tab. 6D - Oświata'!F12+'Tab. 6A -Drogi'!F10+'Tab. 6E - Administracja'!F11+'Tab. 6G - Roln i ochrona środ.'!F10+'Tab. 6H - Kultura fiz. i turyst'!F9+'Tab. 6B Polit społ i rozwój prz'!F9+'Tab.6I - Planow. przestrz.'!F10</f>
        <v>223588361</v>
      </c>
      <c r="D14" s="952">
        <f>+'Tab. 6D - Oświata'!G12+'Tab. 6A -Drogi'!G10+'Tab. 6E - Administracja'!G11+'Tab. 6G - Roln i ochrona środ.'!G10+'Tab. 6H - Kultura fiz. i turyst'!G9+'Tab. 6B Polit społ i rozwój prz'!G9+'Tab.6I - Planow. przestrz.'!G10+'Tab. 6C - Ochrona zdrowia'!G8</f>
        <v>404335159</v>
      </c>
      <c r="E14" s="952">
        <f>+'Tab. 6D - Oświata'!H12+'Tab. 6A -Drogi'!H10+'Tab. 6E - Administracja'!H11+'Tab. 6G - Roln i ochrona środ.'!H10+'Tab. 6H - Kultura fiz. i turyst'!H9+'Tab. 6B Polit społ i rozwój prz'!H9+'Tab.6I - Planow. przestrz.'!H10+'Tab. 6C - Ochrona zdrowia'!H8</f>
        <v>270126649</v>
      </c>
      <c r="F14" s="952">
        <f>+'Tab. 6D - Oświata'!I12+'Tab. 6A -Drogi'!I10+'Tab. 6E - Administracja'!I11+'Tab. 6G - Roln i ochrona środ.'!I10+'Tab. 6H - Kultura fiz. i turyst'!I9+'Tab. 6B Polit społ i rozwój prz'!I9+'Tab.6I - Planow. przestrz.'!I10+'Tab. 6C - Ochrona zdrowia'!I8</f>
        <v>208855812</v>
      </c>
      <c r="G14" s="952">
        <f>+'Tab. 6D - Oświata'!J12+'Tab. 6A -Drogi'!J10+'Tab. 6E - Administracja'!J11+'Tab. 6G - Roln i ochrona środ.'!J10+'Tab. 6H - Kultura fiz. i turyst'!J9+'Tab. 6B Polit społ i rozwój prz'!J9+'Tab.6I - Planow. przestrz.'!J10+'Tab. 6C - Ochrona zdrowia'!J8</f>
        <v>38933581</v>
      </c>
      <c r="H14" s="952">
        <f>+'Tab. 6D - Oświata'!K12+'Tab. 6A -Drogi'!K10+'Tab. 6E - Administracja'!K11+'Tab. 6G - Roln i ochrona środ.'!K10+'Tab. 6H - Kultura fiz. i turyst'!K9+'Tab. 6B Polit społ i rozwój prz'!K9+'Tab.6I - Planow. przestrz.'!K10+'Tab. 6C - Ochrona zdrowia'!K8</f>
        <v>144500</v>
      </c>
      <c r="I14" s="952">
        <f>+'Tab. 6D - Oświata'!L12+'Tab. 6A -Drogi'!L10+'Tab. 6E - Administracja'!L11+'Tab. 6G - Roln i ochrona środ.'!L10+'Tab. 6H - Kultura fiz. i turyst'!L9+'Tab. 6B Polit społ i rozwój prz'!L9+'Tab.6I - Planow. przestrz.'!L10+'Tab. 6C - Ochrona zdrowia'!L8</f>
        <v>144500</v>
      </c>
      <c r="J14" s="1740">
        <f>'Tab. 6A -Drogi'!D10+'Tab. 6B Polit społ i rozwój prz'!D9+'Tab. 6D - Oświata'!D12+'Tab. 6E - Administracja'!D11+'Tab. 6G - Roln i ochrona środ.'!D10+'Tab. 6H - Kultura fiz. i turyst'!D9+'Tab.6I - Planow. przestrz.'!D10+'Tab. 6C - Ochrona zdrowia'!D8</f>
        <v>1193275562</v>
      </c>
      <c r="K14" s="1859">
        <f>SUM(C14:I14)</f>
        <v>1146128562</v>
      </c>
      <c r="L14" s="1176">
        <f>SUM(D14:I14)</f>
        <v>922540201</v>
      </c>
      <c r="M14" s="2707">
        <f>K14-C14-D14-E14-F14-G14-H14-I14</f>
        <v>0</v>
      </c>
      <c r="N14" s="437">
        <f t="shared" si="2"/>
        <v>1193275562</v>
      </c>
      <c r="O14" s="438">
        <f>J14-N14</f>
        <v>0</v>
      </c>
    </row>
    <row r="15" spans="1:15" s="439" customFormat="1">
      <c r="A15" s="953"/>
      <c r="B15" s="954"/>
      <c r="C15" s="954"/>
      <c r="D15" s="954"/>
      <c r="E15" s="954"/>
      <c r="F15" s="954"/>
      <c r="G15" s="954"/>
      <c r="H15" s="954"/>
      <c r="I15" s="954"/>
      <c r="J15" s="954"/>
      <c r="K15" s="1860"/>
      <c r="L15" s="1750"/>
      <c r="M15" s="436"/>
      <c r="N15" s="437">
        <f t="shared" si="2"/>
        <v>0</v>
      </c>
      <c r="O15" s="438">
        <f t="shared" ref="O15:O31" si="3">J15-N15</f>
        <v>0</v>
      </c>
    </row>
    <row r="16" spans="1:15" s="957" customFormat="1" ht="18" customHeight="1">
      <c r="A16" s="955" t="s">
        <v>10</v>
      </c>
      <c r="B16" s="956">
        <f t="shared" ref="B16:L16" si="4">+B17+B26</f>
        <v>93417872.299999997</v>
      </c>
      <c r="C16" s="956">
        <f t="shared" si="4"/>
        <v>270434496</v>
      </c>
      <c r="D16" s="956">
        <f t="shared" si="4"/>
        <v>482905183</v>
      </c>
      <c r="E16" s="956">
        <f t="shared" si="4"/>
        <v>345878291</v>
      </c>
      <c r="F16" s="956">
        <f t="shared" si="4"/>
        <v>271386548</v>
      </c>
      <c r="G16" s="956">
        <f t="shared" si="4"/>
        <v>82466876</v>
      </c>
      <c r="H16" s="956">
        <f t="shared" si="4"/>
        <v>38940548</v>
      </c>
      <c r="I16" s="956">
        <f t="shared" si="4"/>
        <v>36281197</v>
      </c>
      <c r="J16" s="1741">
        <f>+J17+J26</f>
        <v>1621711011.3</v>
      </c>
      <c r="K16" s="1861">
        <f t="shared" ref="K16" si="5">+K17+K26</f>
        <v>1525442203</v>
      </c>
      <c r="L16" s="1751">
        <f t="shared" si="4"/>
        <v>1255397586</v>
      </c>
      <c r="M16" s="2707"/>
      <c r="N16" s="437">
        <f t="shared" si="2"/>
        <v>1621711011.3</v>
      </c>
      <c r="O16" s="438">
        <f>J16-N16</f>
        <v>0</v>
      </c>
    </row>
    <row r="17" spans="1:17" s="961" customFormat="1" ht="17.25" customHeight="1">
      <c r="A17" s="958" t="s">
        <v>11</v>
      </c>
      <c r="B17" s="959">
        <f t="shared" ref="B17:I17" si="6">SUM(B18:B25)</f>
        <v>23928510.300000001</v>
      </c>
      <c r="C17" s="959">
        <f t="shared" si="6"/>
        <v>43031891</v>
      </c>
      <c r="D17" s="959">
        <f t="shared" si="6"/>
        <v>87859372</v>
      </c>
      <c r="E17" s="959">
        <f>SUM(E18:E25)</f>
        <v>72163801</v>
      </c>
      <c r="F17" s="959">
        <f t="shared" si="6"/>
        <v>52027604</v>
      </c>
      <c r="G17" s="959">
        <f>SUM(G18:G25)</f>
        <v>13233736</v>
      </c>
      <c r="H17" s="959">
        <f>SUM(H18:H25)</f>
        <v>5331665</v>
      </c>
      <c r="I17" s="959">
        <f t="shared" si="6"/>
        <v>5067444</v>
      </c>
      <c r="J17" s="1742">
        <f>SUM(J18:J25)</f>
        <v>302644023.30000001</v>
      </c>
      <c r="K17" s="1862">
        <f>SUM(K18:K25)</f>
        <v>275864577</v>
      </c>
      <c r="L17" s="960">
        <f>SUM(L18:L25)</f>
        <v>233222565</v>
      </c>
      <c r="M17" s="2707"/>
      <c r="N17" s="437">
        <f t="shared" si="2"/>
        <v>302644023.30000001</v>
      </c>
      <c r="O17" s="438">
        <f t="shared" si="3"/>
        <v>0</v>
      </c>
    </row>
    <row r="18" spans="1:17" s="2716" customFormat="1" ht="14.25" customHeight="1">
      <c r="A18" s="962" t="s">
        <v>12</v>
      </c>
      <c r="B18" s="963">
        <f>+'Tab. 6B Polit społ i rozwój prz'!E12+'Tab. 6D - Oświata'!E15+'Tab. 6A -Drogi'!E13+'Tab. 6E - Administracja'!E14+'Tab. 6G - Roln i ochrona środ.'!E13+'Tab. 6H - Kultura fiz. i turyst'!E12+'Tab.6I - Planow. przestrz.'!E13+0.3</f>
        <v>11074889.300000001</v>
      </c>
      <c r="C18" s="963">
        <f>+'Tab. 6B Polit społ i rozwój prz'!F12+'Tab. 6D - Oświata'!F15+'Tab. 6A -Drogi'!F13+'Tab. 6E - Administracja'!F14+'Tab. 6G - Roln i ochrona środ.'!F13+'Tab. 6H - Kultura fiz. i turyst'!F12+'Tab.6I - Planow. przestrz.'!F13</f>
        <v>38455205</v>
      </c>
      <c r="D18" s="963">
        <f>+'Tab. 6B Polit społ i rozwój prz'!G12+'Tab. 6D - Oświata'!G15+'Tab. 6A -Drogi'!G13+'Tab. 6E - Administracja'!G14+'Tab. 6G - Roln i ochrona środ.'!G13+'Tab. 6H - Kultura fiz. i turyst'!G12+'Tab.6I - Planow. przestrz.'!G13+'Tab. 6C - Ochrona zdrowia'!G11</f>
        <v>62980167</v>
      </c>
      <c r="E18" s="963">
        <f>+'Tab. 6B Polit społ i rozwój prz'!H12+'Tab. 6D - Oświata'!H15+'Tab. 6A -Drogi'!H13+'Tab. 6E - Administracja'!H14+'Tab. 6G - Roln i ochrona środ.'!H13+'Tab. 6H - Kultura fiz. i turyst'!H12+'Tab.6I - Planow. przestrz.'!H13+'Tab. 6C - Ochrona zdrowia'!H11</f>
        <v>60851987</v>
      </c>
      <c r="F18" s="963">
        <f>+'Tab. 6B Polit społ i rozwój prz'!I12+'Tab. 6D - Oświata'!I15+'Tab. 6A -Drogi'!I13+'Tab. 6E - Administracja'!I14+'Tab. 6G - Roln i ochrona środ.'!I13+'Tab. 6H - Kultura fiz. i turyst'!I12+'Tab.6I - Planow. przestrz.'!I13+'Tab. 6C - Ochrona zdrowia'!I11</f>
        <v>43326871</v>
      </c>
      <c r="G18" s="963">
        <f>+'Tab. 6B Polit społ i rozwój prz'!J12+'Tab. 6D - Oświata'!J15+'Tab. 6A -Drogi'!J13+'Tab. 6E - Administracja'!J14+'Tab. 6G - Roln i ochrona środ.'!J13+'Tab. 6H - Kultura fiz. i turyst'!J12+'Tab.6I - Planow. przestrz.'!J13+'Tab. 6C - Ochrona zdrowia'!J11</f>
        <v>11208244</v>
      </c>
      <c r="H18" s="963">
        <f>+'Tab. 6B Polit społ i rozwój prz'!K12+'Tab. 6D - Oświata'!K15+'Tab. 6A -Drogi'!K13+'Tab. 6E - Administracja'!K14+'Tab. 6G - Roln i ochrona środ.'!K13+'Tab. 6H - Kultura fiz. i turyst'!K12+'Tab.6I - Planow. przestrz.'!K13+'Tab. 6C - Ochrona zdrowia'!K11</f>
        <v>4601335</v>
      </c>
      <c r="I18" s="963">
        <f>+'Tab. 6B Polit społ i rozwój prz'!L12+'Tab. 6D - Oświata'!L15+'Tab. 6A -Drogi'!L13+'Tab. 6E - Administracja'!L14+'Tab. 6G - Roln i ochrona środ.'!L13+'Tab. 6H - Kultura fiz. i turyst'!L12+'Tab.6I - Planow. przestrz.'!L13+'Tab. 6C - Ochrona zdrowia'!L11</f>
        <v>4435580</v>
      </c>
      <c r="J18" s="1743">
        <f t="shared" ref="J18:J25" si="7">B18+C18+D18+E18+F18+G18+H18+I18</f>
        <v>236934278.30000001</v>
      </c>
      <c r="K18" s="1863">
        <f>SUM(C18:I18)</f>
        <v>225859389</v>
      </c>
      <c r="L18" s="950">
        <f>SUM(D18:I18)</f>
        <v>187404184</v>
      </c>
      <c r="M18" s="2707"/>
      <c r="N18" s="437">
        <f t="shared" si="2"/>
        <v>236934278.30000001</v>
      </c>
      <c r="O18" s="438">
        <f t="shared" si="3"/>
        <v>0</v>
      </c>
      <c r="P18" s="439"/>
      <c r="Q18" s="439"/>
    </row>
    <row r="19" spans="1:17" s="439" customFormat="1" ht="15.75" customHeight="1">
      <c r="A19" s="440" t="s">
        <v>13</v>
      </c>
      <c r="B19" s="963">
        <f>+'Tab. 6B Polit społ i rozwój prz'!E13+'Tab. 6A -Drogi'!E14+'Tab. 6E - Administracja'!E15+'Tab. 6G - Roln i ochrona środ.'!E14+'Tab.6I - Planow. przestrz.'!E14</f>
        <v>2982180</v>
      </c>
      <c r="C19" s="963">
        <f>+'Tab. 6B Polit społ i rozwój prz'!F13+'Tab. 6A -Drogi'!F14+'Tab. 6E - Administracja'!F15+'Tab. 6G - Roln i ochrona środ.'!F14+'Tab.6I - Planow. przestrz.'!F14</f>
        <v>2053240</v>
      </c>
      <c r="D19" s="963">
        <f>+'Tab. 6B Polit społ i rozwój prz'!G13+'Tab. 6A -Drogi'!G14+'Tab. 6E - Administracja'!G15+'Tab. 6G - Roln i ochrona środ.'!G14+'Tab.6I - Planow. przestrz.'!G14+'Tab. 6D - Oświata'!G16</f>
        <v>3918331</v>
      </c>
      <c r="E19" s="963">
        <f>+'Tab. 6B Polit społ i rozwój prz'!H13+'Tab. 6A -Drogi'!H14+'Tab. 6E - Administracja'!H15+'Tab. 6G - Roln i ochrona środ.'!H14+'Tab.6I - Planow. przestrz.'!H14+'Tab. 6D - Oświata'!H16</f>
        <v>4580779</v>
      </c>
      <c r="F19" s="963">
        <f>+'Tab. 6B Polit społ i rozwój prz'!I13+'Tab. 6A -Drogi'!I14+'Tab. 6E - Administracja'!I15+'Tab. 6G - Roln i ochrona środ.'!I14+'Tab.6I - Planow. przestrz.'!I14</f>
        <v>3783610</v>
      </c>
      <c r="G19" s="963">
        <f>+'Tab. 6B Polit społ i rozwój prz'!J13+'Tab. 6A -Drogi'!J14+'Tab. 6E - Administracja'!J15+'Tab. 6G - Roln i ochrona środ.'!J14+'Tab.6I - Planow. przestrz.'!J14</f>
        <v>1075392</v>
      </c>
      <c r="H19" s="963">
        <f>+'Tab. 6B Polit społ i rozwój prz'!K13+'Tab. 6A -Drogi'!K14+'Tab. 6E - Administracja'!K15+'Tab. 6G - Roln i ochrona środ.'!K14+'Tab.6I - Planow. przestrz.'!K14</f>
        <v>666312</v>
      </c>
      <c r="I19" s="963">
        <f>+'Tab. 6B Polit społ i rozwój prz'!L13+'Tab. 6A -Drogi'!L14+'Tab. 6E - Administracja'!L15+'Tab. 6G - Roln i ochrona środ.'!L14+'Tab.6I - Planow. przestrz.'!L14</f>
        <v>567846</v>
      </c>
      <c r="J19" s="1743">
        <f t="shared" si="7"/>
        <v>19627690</v>
      </c>
      <c r="K19" s="1863">
        <f t="shared" ref="K19:K22" si="8">SUM(C19:I19)</f>
        <v>16645510</v>
      </c>
      <c r="L19" s="950">
        <f>SUM(D19:I19)</f>
        <v>14592270</v>
      </c>
      <c r="M19" s="2707"/>
      <c r="N19" s="437">
        <f t="shared" si="2"/>
        <v>19627690</v>
      </c>
      <c r="O19" s="438">
        <f t="shared" si="3"/>
        <v>0</v>
      </c>
    </row>
    <row r="20" spans="1:17" s="439" customFormat="1" ht="13.5" hidden="1" customHeight="1">
      <c r="A20" s="440" t="s">
        <v>14</v>
      </c>
      <c r="B20" s="963"/>
      <c r="C20" s="964"/>
      <c r="D20" s="964"/>
      <c r="E20" s="964"/>
      <c r="F20" s="964"/>
      <c r="G20" s="964"/>
      <c r="H20" s="964"/>
      <c r="I20" s="964"/>
      <c r="J20" s="1743">
        <f t="shared" si="7"/>
        <v>0</v>
      </c>
      <c r="K20" s="1863">
        <f t="shared" si="8"/>
        <v>0</v>
      </c>
      <c r="L20" s="950">
        <f t="shared" ref="K20:L24" si="9">SUM(D20:I20)</f>
        <v>0</v>
      </c>
      <c r="M20" s="2707"/>
      <c r="N20" s="437">
        <f t="shared" si="2"/>
        <v>0</v>
      </c>
      <c r="O20" s="438">
        <f t="shared" si="3"/>
        <v>0</v>
      </c>
    </row>
    <row r="21" spans="1:17" s="439" customFormat="1" ht="15.75" customHeight="1">
      <c r="A21" s="440" t="s">
        <v>15</v>
      </c>
      <c r="B21" s="241">
        <f>+'Tab. 6A -Drogi'!E15+'Tab. 6H - Kultura fiz. i turyst'!E14</f>
        <v>9480325</v>
      </c>
      <c r="C21" s="963">
        <f>+'Tab. 6A -Drogi'!F15+'Tab. 6H - Kultura fiz. i turyst'!F14</f>
        <v>2133567</v>
      </c>
      <c r="D21" s="963">
        <f>+'Tab. 6A -Drogi'!G15+'Tab. 6H - Kultura fiz. i turyst'!G14</f>
        <v>8336584</v>
      </c>
      <c r="E21" s="963">
        <f>+'Tab. 6A -Drogi'!H15+'Tab. 6H - Kultura fiz. i turyst'!H14</f>
        <v>2426653</v>
      </c>
      <c r="F21" s="1526">
        <f>+'Tab. 6A -Drogi'!I15+'Tab. 6H - Kultura fiz. i turyst'!I14</f>
        <v>0</v>
      </c>
      <c r="G21" s="1526">
        <f>+'Tab. 6A -Drogi'!J15+'Tab. 6H - Kultura fiz. i turyst'!J14</f>
        <v>0</v>
      </c>
      <c r="H21" s="1526">
        <f>+'Tab. 6A -Drogi'!K15+'Tab. 6H - Kultura fiz. i turyst'!K14</f>
        <v>0</v>
      </c>
      <c r="I21" s="1526">
        <f>+'Tab. 6A -Drogi'!L15+'Tab. 6H - Kultura fiz. i turyst'!L14</f>
        <v>0</v>
      </c>
      <c r="J21" s="1743">
        <f t="shared" si="7"/>
        <v>22377129</v>
      </c>
      <c r="K21" s="1863">
        <f t="shared" si="8"/>
        <v>12896804</v>
      </c>
      <c r="L21" s="950">
        <f>SUM(D21:I21)</f>
        <v>10763237</v>
      </c>
      <c r="M21" s="2707"/>
      <c r="N21" s="437">
        <f t="shared" si="2"/>
        <v>22377129</v>
      </c>
      <c r="O21" s="438">
        <f t="shared" si="3"/>
        <v>0</v>
      </c>
    </row>
    <row r="22" spans="1:17" s="439" customFormat="1" ht="15.75" customHeight="1">
      <c r="A22" s="440" t="s">
        <v>16</v>
      </c>
      <c r="B22" s="1526">
        <f>+'Tab. 6A -Drogi'!E16+'Tab. 6G - Roln i ochrona środ.'!E15+'Tab. 6E - Administracja'!E16+'Tab. 6H - Kultura fiz. i turyst'!E13</f>
        <v>0</v>
      </c>
      <c r="C22" s="965">
        <f>+'Tab. 6A -Drogi'!F16+'Tab. 6G - Roln i ochrona środ.'!F15+'Tab. 6E - Administracja'!F16+'Tab. 6H - Kultura fiz. i turyst'!F13</f>
        <v>0</v>
      </c>
      <c r="D22" s="965">
        <f>+'Tab. 6A -Drogi'!G16+'Tab. 6G - Roln i ochrona środ.'!G15+'Tab. 6E - Administracja'!G16+'Tab. 6H - Kultura fiz. i turyst'!G13</f>
        <v>320000</v>
      </c>
      <c r="E22" s="1526">
        <f>+'Tab. 6A -Drogi'!H16+'Tab. 6G - Roln i ochrona środ.'!H15+'Tab. 6E - Administracja'!H16+'Tab. 6H - Kultura fiz. i turyst'!H13</f>
        <v>0</v>
      </c>
      <c r="F22" s="1526">
        <f>+'Tab. 6A -Drogi'!I16+'Tab. 6G - Roln i ochrona środ.'!I15+'Tab. 6E - Administracja'!I16+'Tab. 6H - Kultura fiz. i turyst'!I13</f>
        <v>0</v>
      </c>
      <c r="G22" s="1526">
        <f>+'Tab. 6A -Drogi'!J16+'Tab. 6G - Roln i ochrona środ.'!J15+'Tab. 6E - Administracja'!J16+'Tab. 6H - Kultura fiz. i turyst'!J13</f>
        <v>0</v>
      </c>
      <c r="H22" s="1526">
        <f>+'Tab. 6A -Drogi'!K16+'Tab. 6G - Roln i ochrona środ.'!K15+'Tab. 6E - Administracja'!K16+'Tab. 6H - Kultura fiz. i turyst'!K13</f>
        <v>0</v>
      </c>
      <c r="I22" s="1526">
        <f>+'Tab. 6A -Drogi'!L16+'Tab. 6G - Roln i ochrona środ.'!L15+'Tab. 6E - Administracja'!L16+'Tab. 6H - Kultura fiz. i turyst'!L13</f>
        <v>0</v>
      </c>
      <c r="J22" s="1743">
        <f t="shared" si="7"/>
        <v>320000</v>
      </c>
      <c r="K22" s="1863">
        <f t="shared" si="8"/>
        <v>320000</v>
      </c>
      <c r="L22" s="950">
        <f>SUM(D22:I22)</f>
        <v>320000</v>
      </c>
      <c r="M22" s="2707"/>
      <c r="N22" s="437">
        <f t="shared" si="2"/>
        <v>320000</v>
      </c>
      <c r="O22" s="438">
        <f t="shared" si="3"/>
        <v>0</v>
      </c>
    </row>
    <row r="23" spans="1:17" s="439" customFormat="1" ht="15.75" hidden="1" customHeight="1">
      <c r="A23" s="440" t="s">
        <v>25</v>
      </c>
      <c r="B23" s="2515"/>
      <c r="C23" s="968">
        <v>0</v>
      </c>
      <c r="D23" s="968">
        <v>0</v>
      </c>
      <c r="E23" s="968">
        <v>0</v>
      </c>
      <c r="F23" s="968">
        <v>0</v>
      </c>
      <c r="G23" s="968">
        <f>+'Tab.6I - Planow. przestrz.'!J14</f>
        <v>0</v>
      </c>
      <c r="H23" s="968"/>
      <c r="I23" s="968"/>
      <c r="J23" s="1743">
        <f t="shared" si="7"/>
        <v>0</v>
      </c>
      <c r="K23" s="1863">
        <f t="shared" si="9"/>
        <v>0</v>
      </c>
      <c r="L23" s="950">
        <f t="shared" si="9"/>
        <v>0</v>
      </c>
      <c r="M23" s="2707"/>
      <c r="N23" s="437">
        <f t="shared" si="2"/>
        <v>0</v>
      </c>
      <c r="O23" s="438"/>
    </row>
    <row r="24" spans="1:17" s="2716" customFormat="1" ht="15.75" customHeight="1">
      <c r="A24" s="440" t="s">
        <v>17</v>
      </c>
      <c r="B24" s="1526">
        <f>+'Tab. 6A -Drogi'!E17</f>
        <v>0</v>
      </c>
      <c r="C24" s="3198">
        <f>+'Tab. 6A -Drogi'!F17</f>
        <v>0</v>
      </c>
      <c r="D24" s="965">
        <f>+'Tab. 6A -Drogi'!G17+'Tab. 6C - Ochrona zdrowia'!G13+'Tab.6I - Planow. przestrz.'!G15</f>
        <v>11485758</v>
      </c>
      <c r="E24" s="965">
        <f>+'Tab. 6A -Drogi'!H17+'Tab. 6C - Ochrona zdrowia'!H13+'Tab.6I - Planow. przestrz.'!H15</f>
        <v>3189386</v>
      </c>
      <c r="F24" s="965">
        <f>+'Tab. 6A -Drogi'!I17+'Tab. 6C - Ochrona zdrowia'!I13+'Tab.6I - Planow. przestrz.'!I15</f>
        <v>4581649</v>
      </c>
      <c r="G24" s="965">
        <f>+'Tab. 6A -Drogi'!J17+'Tab. 6C - Ochrona zdrowia'!J13+'Tab.6I - Planow. przestrz.'!J15</f>
        <v>886081</v>
      </c>
      <c r="H24" s="965">
        <f>+'Tab. 6A -Drogi'!K17+'Tab. 6C - Ochrona zdrowia'!K13+'Tab.6I - Planow. przestrz.'!K15</f>
        <v>0</v>
      </c>
      <c r="I24" s="965">
        <f>+'Tab. 6A -Drogi'!L17+'Tab. 6C - Ochrona zdrowia'!L13+'Tab.6I - Planow. przestrz.'!L15</f>
        <v>0</v>
      </c>
      <c r="J24" s="1743">
        <f t="shared" si="7"/>
        <v>20142874</v>
      </c>
      <c r="K24" s="3199">
        <f t="shared" si="9"/>
        <v>20142874</v>
      </c>
      <c r="L24" s="3200">
        <f t="shared" si="9"/>
        <v>20142874</v>
      </c>
      <c r="M24" s="2707"/>
      <c r="N24" s="437">
        <f t="shared" si="2"/>
        <v>20142874</v>
      </c>
      <c r="O24" s="438">
        <f t="shared" si="3"/>
        <v>0</v>
      </c>
      <c r="P24" s="439"/>
      <c r="Q24" s="439"/>
    </row>
    <row r="25" spans="1:17" s="439" customFormat="1" ht="15.75" customHeight="1">
      <c r="A25" s="440" t="s">
        <v>32</v>
      </c>
      <c r="B25" s="967">
        <f>'Tab. 6E - Administracja'!E17+'Tab. 6B Polit społ i rozwój prz'!E14</f>
        <v>391116</v>
      </c>
      <c r="C25" s="967">
        <f>'Tab. 6E - Administracja'!F17+'Tab. 6B Polit społ i rozwój prz'!F14</f>
        <v>389879</v>
      </c>
      <c r="D25" s="967">
        <f>'Tab. 6E - Administracja'!G17+'Tab. 6B Polit społ i rozwój prz'!G14+'Tab. 6C - Ochrona zdrowia'!G12</f>
        <v>818532</v>
      </c>
      <c r="E25" s="967">
        <f>'Tab. 6E - Administracja'!H17+'Tab. 6B Polit społ i rozwój prz'!H14+'Tab. 6C - Ochrona zdrowia'!H12</f>
        <v>1114996</v>
      </c>
      <c r="F25" s="967">
        <f>'Tab. 6E - Administracja'!I17+'Tab. 6B Polit społ i rozwój prz'!I14+'Tab. 6C - Ochrona zdrowia'!I12</f>
        <v>335474</v>
      </c>
      <c r="G25" s="967">
        <f>'Tab. 6E - Administracja'!J17+'Tab. 6B Polit społ i rozwój prz'!J14+'Tab. 6C - Ochrona zdrowia'!J12</f>
        <v>64019</v>
      </c>
      <c r="H25" s="967">
        <f>'Tab. 6E - Administracja'!K17+'Tab. 6B Polit społ i rozwój prz'!K14+'Tab. 6C - Ochrona zdrowia'!K12</f>
        <v>64018</v>
      </c>
      <c r="I25" s="967">
        <f>'Tab. 6E - Administracja'!L17+'Tab. 6B Polit społ i rozwój prz'!L14+'Tab. 6C - Ochrona zdrowia'!L12</f>
        <v>64018</v>
      </c>
      <c r="J25" s="1743">
        <f t="shared" si="7"/>
        <v>3242052</v>
      </c>
      <c r="K25" s="1864" t="s">
        <v>61</v>
      </c>
      <c r="L25" s="1520" t="s">
        <v>61</v>
      </c>
      <c r="M25" s="2707"/>
      <c r="N25" s="437">
        <f t="shared" si="2"/>
        <v>3242052</v>
      </c>
      <c r="O25" s="438">
        <f t="shared" si="3"/>
        <v>0</v>
      </c>
    </row>
    <row r="26" spans="1:17" s="439" customFormat="1" ht="17.25" customHeight="1">
      <c r="A26" s="433" t="s">
        <v>18</v>
      </c>
      <c r="B26" s="434">
        <f t="shared" ref="B26:C26" si="10">SUM(B27:B31)</f>
        <v>69489362</v>
      </c>
      <c r="C26" s="434">
        <f t="shared" si="10"/>
        <v>227402605</v>
      </c>
      <c r="D26" s="434">
        <f t="shared" ref="D26:J26" si="11">SUM(D27:D31)</f>
        <v>395045811</v>
      </c>
      <c r="E26" s="434">
        <f t="shared" si="11"/>
        <v>273714490</v>
      </c>
      <c r="F26" s="434">
        <f t="shared" si="11"/>
        <v>219358944</v>
      </c>
      <c r="G26" s="434">
        <f t="shared" si="11"/>
        <v>69233140</v>
      </c>
      <c r="H26" s="434">
        <f t="shared" si="11"/>
        <v>33608883</v>
      </c>
      <c r="I26" s="434">
        <f t="shared" si="11"/>
        <v>31213753</v>
      </c>
      <c r="J26" s="1744">
        <f t="shared" si="11"/>
        <v>1319066988</v>
      </c>
      <c r="K26" s="1865">
        <f>SUM(K29:K31)</f>
        <v>1249577626</v>
      </c>
      <c r="L26" s="1752">
        <f>SUM(L29:L31)</f>
        <v>1022175021</v>
      </c>
      <c r="M26" s="2707"/>
      <c r="N26" s="437">
        <f t="shared" si="2"/>
        <v>1319066988</v>
      </c>
      <c r="O26" s="438">
        <f t="shared" si="3"/>
        <v>0</v>
      </c>
    </row>
    <row r="27" spans="1:17" s="439" customFormat="1" ht="15.75" hidden="1" customHeight="1">
      <c r="A27" s="962" t="s">
        <v>12</v>
      </c>
      <c r="B27" s="963">
        <f>+'Tab. 6G - Roln i ochrona środ.'!E17</f>
        <v>0</v>
      </c>
      <c r="C27" s="963">
        <f>+'Tab. 6G - Roln i ochrona środ.'!F17</f>
        <v>0</v>
      </c>
      <c r="D27" s="963">
        <f>+'Tab. 6G - Roln i ochrona środ.'!G17</f>
        <v>0</v>
      </c>
      <c r="E27" s="963">
        <f>+'Tab. 6G - Roln i ochrona środ.'!H17</f>
        <v>0</v>
      </c>
      <c r="F27" s="963">
        <f>+'Tab. 6G - Roln i ochrona środ.'!I17</f>
        <v>0</v>
      </c>
      <c r="G27" s="963">
        <f>+'Tab. 6G - Roln i ochrona środ.'!J17</f>
        <v>0</v>
      </c>
      <c r="H27" s="963">
        <f>+'Tab. 6G - Roln i ochrona środ.'!K17</f>
        <v>0</v>
      </c>
      <c r="I27" s="963">
        <f>+'Tab. 6G - Roln i ochrona środ.'!L17</f>
        <v>0</v>
      </c>
      <c r="J27" s="1743">
        <f>B27+C27+D27+E27+F27+G27+H27+I27</f>
        <v>0</v>
      </c>
      <c r="K27" s="1863">
        <f>SUM(B27:H27)</f>
        <v>0</v>
      </c>
      <c r="L27" s="950">
        <f>SUM(C27:I27)</f>
        <v>0</v>
      </c>
      <c r="M27" s="2707"/>
      <c r="N27" s="437">
        <f t="shared" si="2"/>
        <v>0</v>
      </c>
      <c r="O27" s="438">
        <f t="shared" si="3"/>
        <v>0</v>
      </c>
    </row>
    <row r="28" spans="1:17" s="439" customFormat="1" ht="13.5" hidden="1" customHeight="1">
      <c r="A28" s="962" t="s">
        <v>19</v>
      </c>
      <c r="B28" s="963">
        <f>+'Tab. 6A -Drogi'!E21</f>
        <v>0</v>
      </c>
      <c r="C28" s="963">
        <f>+'Tab. 6A -Drogi'!F21</f>
        <v>0</v>
      </c>
      <c r="D28" s="963">
        <f>+'Tab. 6A -Drogi'!G21</f>
        <v>0</v>
      </c>
      <c r="E28" s="963">
        <f>+'Tab. 6A -Drogi'!H21</f>
        <v>0</v>
      </c>
      <c r="F28" s="963">
        <f>+'Tab. 6A -Drogi'!I21</f>
        <v>0</v>
      </c>
      <c r="G28" s="963">
        <f>+'Tab. 6A -Drogi'!J21</f>
        <v>0</v>
      </c>
      <c r="H28" s="963">
        <f>+'Tab. 6A -Drogi'!K21</f>
        <v>0</v>
      </c>
      <c r="I28" s="963">
        <f>+'Tab. 6A -Drogi'!L21</f>
        <v>0</v>
      </c>
      <c r="J28" s="1743">
        <f>B28+C28+D28+E28+F28+G28+H28+I28</f>
        <v>0</v>
      </c>
      <c r="K28" s="1863">
        <f>SUM(B28:H28)</f>
        <v>0</v>
      </c>
      <c r="L28" s="950">
        <f>SUM(C28:I28)</f>
        <v>0</v>
      </c>
      <c r="M28" s="2707"/>
      <c r="N28" s="437">
        <f t="shared" si="2"/>
        <v>0</v>
      </c>
      <c r="O28" s="438">
        <f t="shared" si="3"/>
        <v>0</v>
      </c>
    </row>
    <row r="29" spans="1:17" s="439" customFormat="1" ht="14.25" customHeight="1">
      <c r="A29" s="440" t="s">
        <v>20</v>
      </c>
      <c r="B29" s="963">
        <f>+'Tab. 6D - Oświata'!E19+'Tab. 6A -Drogi'!E19+'Tab. 6G - Roln i ochrona środ.'!E20+'Tab.6I - Planow. przestrz.'!E18+'Tab. 6B Polit społ i rozwój prz'!E16</f>
        <v>770242</v>
      </c>
      <c r="C29" s="963">
        <f>+'Tab. 6D - Oświata'!F19+'Tab. 6A -Drogi'!F19+'Tab. 6G - Roln i ochrona środ.'!F20+'Tab.6I - Planow. przestrz.'!F18+'Tab. 6B Polit społ i rozwój prz'!F16</f>
        <v>1000275</v>
      </c>
      <c r="D29" s="963">
        <f>+'Tab. 6D - Oświata'!G19+'Tab. 6A -Drogi'!G19+'Tab. 6G - Roln i ochrona środ.'!G20+'Tab.6I - Planow. przestrz.'!G18+'Tab. 6B Polit społ i rozwój prz'!G16</f>
        <v>1361378</v>
      </c>
      <c r="E29" s="963">
        <f>+'Tab. 6D - Oświata'!H19+'Tab. 6A -Drogi'!H19+'Tab. 6G - Roln i ochrona środ.'!H20+'Tab.6I - Planow. przestrz.'!H18+'Tab. 6B Polit społ i rozwój prz'!H16</f>
        <v>13721857</v>
      </c>
      <c r="F29" s="963">
        <f>+'Tab. 6D - Oświata'!I19+'Tab. 6A -Drogi'!I19+'Tab. 6G - Roln i ochrona środ.'!I20+'Tab.6I - Planow. przestrz.'!I18+'Tab. 6B Polit społ i rozwój prz'!I16</f>
        <v>26053854</v>
      </c>
      <c r="G29" s="963">
        <f>+'Tab. 6D - Oświata'!J19+'Tab. 6A -Drogi'!J19+'Tab. 6G - Roln i ochrona środ.'!J20+'Tab.6I - Planow. przestrz.'!J18+'Tab. 6B Polit społ i rozwój prz'!J16</f>
        <v>5606076</v>
      </c>
      <c r="H29" s="963">
        <f>+'Tab. 6D - Oświata'!K19+'Tab. 6A -Drogi'!K19+'Tab. 6G - Roln i ochrona środ.'!K20+'Tab.6I - Planow. przestrz.'!K18+'Tab. 6B Polit społ i rozwój prz'!K16</f>
        <v>0</v>
      </c>
      <c r="I29" s="963">
        <f>+'Tab. 6D - Oświata'!L19+'Tab. 6A -Drogi'!L19+'Tab. 6G - Roln i ochrona środ.'!L20+'Tab.6I - Planow. przestrz.'!L18+'Tab. 6B Polit społ i rozwój prz'!L16</f>
        <v>0</v>
      </c>
      <c r="J29" s="1743">
        <f>B29+C29+D29+E29+F29+G29+H29+I29</f>
        <v>48513682</v>
      </c>
      <c r="K29" s="1863">
        <f t="shared" ref="K29:K31" si="12">SUM(C29:I29)</f>
        <v>47743440</v>
      </c>
      <c r="L29" s="950">
        <f>SUM(D29:I29)</f>
        <v>46743165</v>
      </c>
      <c r="M29" s="2707"/>
      <c r="N29" s="437">
        <f t="shared" si="2"/>
        <v>48513682</v>
      </c>
      <c r="O29" s="438">
        <f t="shared" si="3"/>
        <v>0</v>
      </c>
    </row>
    <row r="30" spans="1:17" s="439" customFormat="1" ht="14.25" hidden="1" customHeight="1">
      <c r="A30" s="440" t="s">
        <v>14</v>
      </c>
      <c r="B30" s="241">
        <f>+'Tab. 6G - Roln i ochrona środ.'!E19</f>
        <v>0</v>
      </c>
      <c r="C30" s="241">
        <f>+'Tab. 6G - Roln i ochrona środ.'!F19</f>
        <v>0</v>
      </c>
      <c r="D30" s="241">
        <f>+'Tab. 6G - Roln i ochrona środ.'!G19</f>
        <v>0</v>
      </c>
      <c r="E30" s="241">
        <f>+'Tab. 6G - Roln i ochrona środ.'!H19</f>
        <v>0</v>
      </c>
      <c r="F30" s="241">
        <f>+'Tab. 6G - Roln i ochrona środ.'!I19</f>
        <v>0</v>
      </c>
      <c r="G30" s="241">
        <f>+'Tab. 6G - Roln i ochrona środ.'!J19</f>
        <v>0</v>
      </c>
      <c r="H30" s="241">
        <f>+'Tab. 6G - Roln i ochrona środ.'!K19</f>
        <v>0</v>
      </c>
      <c r="I30" s="241">
        <f>+'Tab. 6G - Roln i ochrona środ.'!L19</f>
        <v>0</v>
      </c>
      <c r="J30" s="1743">
        <f>B30+C30+D30+E30+F30+G30+H30+I30</f>
        <v>0</v>
      </c>
      <c r="K30" s="1863">
        <f t="shared" si="12"/>
        <v>0</v>
      </c>
      <c r="L30" s="950">
        <f t="shared" ref="L30" si="13">SUM(D30:I30)</f>
        <v>0</v>
      </c>
      <c r="M30" s="2707"/>
      <c r="N30" s="437">
        <f t="shared" si="2"/>
        <v>0</v>
      </c>
      <c r="O30" s="438">
        <f t="shared" si="3"/>
        <v>0</v>
      </c>
    </row>
    <row r="31" spans="1:17" s="439" customFormat="1" ht="14.25" customHeight="1">
      <c r="A31" s="440" t="s">
        <v>21</v>
      </c>
      <c r="B31" s="241">
        <f>+'Tab. 6B Polit społ i rozwój prz'!E17+'Tab. 6A -Drogi'!E20+'Tab. 6E - Administracja'!E19+'Tab. 6G - Roln i ochrona środ.'!E18+'Tab. 6H - Kultura fiz. i turyst'!E16+'Tab.6I - Planow. przestrz.'!E17</f>
        <v>68719120</v>
      </c>
      <c r="C31" s="241">
        <f>+'Tab. 6B Polit społ i rozwój prz'!F17+'Tab. 6A -Drogi'!F20+'Tab. 6E - Administracja'!F19+'Tab. 6G - Roln i ochrona środ.'!F18+'Tab. 6H - Kultura fiz. i turyst'!F16+'Tab.6I - Planow. przestrz.'!F17</f>
        <v>226402330</v>
      </c>
      <c r="D31" s="241">
        <f>+'Tab. 6B Polit społ i rozwój prz'!G17+'Tab. 6A -Drogi'!G20+'Tab. 6E - Administracja'!G19+'Tab. 6G - Roln i ochrona środ.'!G18+'Tab. 6H - Kultura fiz. i turyst'!G16+'Tab.6I - Planow. przestrz.'!G17+'Tab. 6D - Oświata'!G18+'Tab. 6C - Ochrona zdrowia'!G15</f>
        <v>393684433</v>
      </c>
      <c r="E31" s="241">
        <f>+'Tab. 6B Polit społ i rozwój prz'!H17+'Tab. 6A -Drogi'!H20+'Tab. 6E - Administracja'!H19+'Tab. 6G - Roln i ochrona środ.'!H18+'Tab. 6H - Kultura fiz. i turyst'!H16+'Tab.6I - Planow. przestrz.'!H17+'Tab. 6D - Oświata'!H18+'Tab. 6C - Ochrona zdrowia'!H15</f>
        <v>259992633</v>
      </c>
      <c r="F31" s="241">
        <f>+'Tab. 6B Polit społ i rozwój prz'!I17+'Tab. 6A -Drogi'!I20+'Tab. 6E - Administracja'!I19+'Tab. 6G - Roln i ochrona środ.'!I18+'Tab. 6H - Kultura fiz. i turyst'!I16+'Tab.6I - Planow. przestrz.'!I17+'Tab. 6D - Oświata'!I18+'Tab. 6C - Ochrona zdrowia'!I15</f>
        <v>193305090</v>
      </c>
      <c r="G31" s="241">
        <f>+'Tab. 6B Polit społ i rozwój prz'!J17+'Tab. 6A -Drogi'!J20+'Tab. 6E - Administracja'!J19+'Tab. 6G - Roln i ochrona środ.'!J18+'Tab. 6H - Kultura fiz. i turyst'!J16+'Tab.6I - Planow. przestrz.'!J17+'Tab. 6D - Oświata'!J18+'Tab. 6C - Ochrona zdrowia'!J15</f>
        <v>63627064</v>
      </c>
      <c r="H31" s="241">
        <f>+'Tab. 6B Polit społ i rozwój prz'!K17+'Tab. 6A -Drogi'!K20+'Tab. 6E - Administracja'!K19+'Tab. 6G - Roln i ochrona środ.'!K18+'Tab. 6H - Kultura fiz. i turyst'!K16+'Tab.6I - Planow. przestrz.'!K17+'Tab. 6D - Oświata'!K18+'Tab. 6C - Ochrona zdrowia'!K15</f>
        <v>33608883</v>
      </c>
      <c r="I31" s="241">
        <f>+'Tab. 6B Polit społ i rozwój prz'!L17+'Tab. 6A -Drogi'!L20+'Tab. 6E - Administracja'!L19+'Tab. 6G - Roln i ochrona środ.'!L18+'Tab. 6H - Kultura fiz. i turyst'!L16+'Tab.6I - Planow. przestrz.'!L17+'Tab. 6D - Oświata'!L18+'Tab. 6C - Ochrona zdrowia'!L15</f>
        <v>31213753</v>
      </c>
      <c r="J31" s="1743">
        <f>B31+C31+D31+E31+F31+G31+H31+I31</f>
        <v>1270553306</v>
      </c>
      <c r="K31" s="1863">
        <f t="shared" si="12"/>
        <v>1201834186</v>
      </c>
      <c r="L31" s="950">
        <f>SUM(D31:I31)</f>
        <v>975431856</v>
      </c>
      <c r="M31" s="2707"/>
      <c r="N31" s="437">
        <f t="shared" si="2"/>
        <v>1270553306</v>
      </c>
      <c r="O31" s="946">
        <f t="shared" si="3"/>
        <v>0</v>
      </c>
    </row>
    <row r="32" spans="1:17" s="969" customFormat="1" ht="15.75" customHeight="1">
      <c r="A32" s="1391" t="s">
        <v>22</v>
      </c>
      <c r="B32" s="1392">
        <f>+B33+B41</f>
        <v>69281470</v>
      </c>
      <c r="C32" s="1392">
        <f t="shared" ref="C32:D32" si="14">+C33+C41</f>
        <v>220965960</v>
      </c>
      <c r="D32" s="1392">
        <f t="shared" si="14"/>
        <v>408129715</v>
      </c>
      <c r="E32" s="1392">
        <f t="shared" ref="E32:I32" si="15">+E33+E41</f>
        <v>301948680</v>
      </c>
      <c r="F32" s="1392">
        <f t="shared" si="15"/>
        <v>227111317</v>
      </c>
      <c r="G32" s="1392">
        <f t="shared" si="15"/>
        <v>76682318</v>
      </c>
      <c r="H32" s="1392">
        <f t="shared" si="15"/>
        <v>34126130</v>
      </c>
      <c r="I32" s="1392">
        <f t="shared" si="15"/>
        <v>32142634</v>
      </c>
      <c r="J32" s="1745">
        <f>+J33+J41</f>
        <v>1381534681</v>
      </c>
      <c r="K32" s="3607" t="s">
        <v>23</v>
      </c>
      <c r="L32" s="3612" t="s">
        <v>23</v>
      </c>
      <c r="M32" s="2707"/>
    </row>
    <row r="33" spans="1:15" s="439" customFormat="1" ht="17.25" customHeight="1">
      <c r="A33" s="433" t="s">
        <v>24</v>
      </c>
      <c r="B33" s="1393">
        <f>SUM(B34:B40)</f>
        <v>12426672</v>
      </c>
      <c r="C33" s="1393">
        <f>SUM(C34:C40)</f>
        <v>3775316</v>
      </c>
      <c r="D33" s="1393">
        <f>SUM(D34:D40)</f>
        <v>24465663</v>
      </c>
      <c r="E33" s="1393">
        <f t="shared" ref="E33:I33" si="16">SUM(E34:E40)</f>
        <v>10211787</v>
      </c>
      <c r="F33" s="1393">
        <f t="shared" si="16"/>
        <v>8365259</v>
      </c>
      <c r="G33" s="1393">
        <f t="shared" si="16"/>
        <v>1988838</v>
      </c>
      <c r="H33" s="1393">
        <f t="shared" si="16"/>
        <v>666312</v>
      </c>
      <c r="I33" s="1393">
        <f t="shared" si="16"/>
        <v>567846</v>
      </c>
      <c r="J33" s="1746">
        <f>SUM(J34:J40)</f>
        <v>62467693</v>
      </c>
      <c r="K33" s="3608"/>
      <c r="L33" s="3613"/>
      <c r="M33" s="436" t="s">
        <v>206</v>
      </c>
    </row>
    <row r="34" spans="1:15" s="439" customFormat="1" ht="14.25" customHeight="1">
      <c r="A34" s="1282" t="s">
        <v>13</v>
      </c>
      <c r="B34" s="827">
        <f>+'Tab. 6B Polit społ i rozwój prz'!E20+'Tab. 6A -Drogi'!E24+'Tab. 6E - Administracja'!E22+'Tab. 6G - Roln i ochrona środ.'!E23</f>
        <v>2951841</v>
      </c>
      <c r="C34" s="827">
        <f>+'Tab. 6B Polit społ i rozwój prz'!F20+'Tab. 6A -Drogi'!F24+'Tab. 6E - Administracja'!F22+'Tab. 6G - Roln i ochrona środ.'!F23+'Tab.6I - Planow. przestrz.'!F21</f>
        <v>2035549</v>
      </c>
      <c r="D34" s="827">
        <f>+'Tab. 6B Polit społ i rozwój prz'!G20+'Tab. 6A -Drogi'!G24+'Tab. 6E - Administracja'!G22+'Tab. 6G - Roln i ochrona środ.'!G23+'Tab.6I - Planow. przestrz.'!G21+'Tab. 6D - Oświata'!G22</f>
        <v>3924027</v>
      </c>
      <c r="E34" s="827">
        <f>+'Tab. 6B Polit społ i rozwój prz'!H20+'Tab. 6A -Drogi'!H24+'Tab. 6E - Administracja'!H22+'Tab. 6G - Roln i ochrona środ.'!H23+'Tab.6I - Planow. przestrz.'!H21+'Tab. 6D - Oświata'!H22</f>
        <v>4595748</v>
      </c>
      <c r="F34" s="827">
        <f>+'Tab. 6B Polit społ i rozwój prz'!I20+'Tab. 6A -Drogi'!I24+'Tab. 6E - Administracja'!I22+'Tab. 6G - Roln i ochrona środ.'!I23+'Tab.6I - Planow. przestrz.'!I21</f>
        <v>3783610</v>
      </c>
      <c r="G34" s="827">
        <f>+'Tab. 6B Polit społ i rozwój prz'!J20+'Tab. 6A -Drogi'!J24+'Tab. 6E - Administracja'!J22+'Tab. 6G - Roln i ochrona środ.'!J23+'Tab.6I - Planow. przestrz.'!J21</f>
        <v>1102757</v>
      </c>
      <c r="H34" s="827">
        <f>+'Tab. 6B Polit społ i rozwój prz'!K20+'Tab. 6A -Drogi'!K24+'Tab. 6E - Administracja'!K22+'Tab. 6G - Roln i ochrona środ.'!K23+'Tab.6I - Planow. przestrz.'!K21</f>
        <v>666312</v>
      </c>
      <c r="I34" s="827">
        <f>+'Tab. 6B Polit społ i rozwój prz'!L20+'Tab. 6A -Drogi'!L24+'Tab. 6E - Administracja'!L22+'Tab. 6G - Roln i ochrona środ.'!L23+'Tab.6I - Planow. przestrz.'!L21</f>
        <v>567846</v>
      </c>
      <c r="J34" s="1743">
        <f t="shared" ref="J34:J40" si="17">B34+C34+D34+E34+F34+G34+H34+I34</f>
        <v>19627690</v>
      </c>
      <c r="K34" s="3608"/>
      <c r="L34" s="3613"/>
      <c r="M34" s="436">
        <f>J19-J34</f>
        <v>0</v>
      </c>
    </row>
    <row r="35" spans="1:15" s="439" customFormat="1" hidden="1">
      <c r="A35" s="1282" t="s">
        <v>25</v>
      </c>
      <c r="B35" s="827"/>
      <c r="C35" s="827">
        <v>0</v>
      </c>
      <c r="D35" s="827">
        <v>0</v>
      </c>
      <c r="E35" s="827">
        <v>0</v>
      </c>
      <c r="F35" s="827">
        <v>0</v>
      </c>
      <c r="G35" s="827">
        <v>0</v>
      </c>
      <c r="H35" s="970">
        <f>+'Tab. 6G - Roln i ochrona środ.'!K26</f>
        <v>0</v>
      </c>
      <c r="I35" s="970">
        <f>+'Tab. 6G - Roln i ochrona środ.'!L26</f>
        <v>0</v>
      </c>
      <c r="J35" s="1743">
        <f t="shared" si="17"/>
        <v>0</v>
      </c>
      <c r="K35" s="3608"/>
      <c r="L35" s="3613"/>
      <c r="M35" s="436"/>
    </row>
    <row r="36" spans="1:15" s="439" customFormat="1" ht="14.25" hidden="1" customHeight="1">
      <c r="A36" s="1282" t="s">
        <v>14</v>
      </c>
      <c r="B36" s="827">
        <f>+'Tab. 6G - Roln i ochrona środ.'!E24</f>
        <v>0</v>
      </c>
      <c r="C36" s="827">
        <f>+'Tab. 6G - Roln i ochrona środ.'!F24</f>
        <v>0</v>
      </c>
      <c r="D36" s="827">
        <f>+'Tab. 6G - Roln i ochrona środ.'!G24</f>
        <v>0</v>
      </c>
      <c r="E36" s="827">
        <f>+'Tab. 6G - Roln i ochrona środ.'!H24</f>
        <v>0</v>
      </c>
      <c r="F36" s="827">
        <f>+'Tab. 6G - Roln i ochrona środ.'!I24</f>
        <v>0</v>
      </c>
      <c r="G36" s="827">
        <f>+'Tab. 6G - Roln i ochrona środ.'!J24</f>
        <v>0</v>
      </c>
      <c r="H36" s="827">
        <f>+'Tab. 6G - Roln i ochrona środ.'!K24</f>
        <v>0</v>
      </c>
      <c r="I36" s="827">
        <f>+'Tab. 6G - Roln i ochrona środ.'!L24</f>
        <v>0</v>
      </c>
      <c r="J36" s="1743">
        <f t="shared" si="17"/>
        <v>0</v>
      </c>
      <c r="K36" s="3608"/>
      <c r="L36" s="3613"/>
      <c r="M36" s="436">
        <f>J36-J20</f>
        <v>0</v>
      </c>
    </row>
    <row r="37" spans="1:15" s="439" customFormat="1" ht="14.25" customHeight="1">
      <c r="A37" s="1282" t="s">
        <v>15</v>
      </c>
      <c r="B37" s="963">
        <f>+'Tab. 6A -Drogi'!E25+'Tab. 6H - Kultura fiz. i turyst'!E21</f>
        <v>9474831</v>
      </c>
      <c r="C37" s="963">
        <f>+'Tab. 6A -Drogi'!F25+'Tab. 6H - Kultura fiz. i turyst'!F21</f>
        <v>1739767</v>
      </c>
      <c r="D37" s="963">
        <f>+'Tab. 6A -Drogi'!G25+'Tab. 6H - Kultura fiz. i turyst'!G21</f>
        <v>8735878</v>
      </c>
      <c r="E37" s="963">
        <f>+'Tab. 6A -Drogi'!H25+'Tab. 6H - Kultura fiz. i turyst'!H21</f>
        <v>2426653</v>
      </c>
      <c r="F37" s="1527">
        <f>+'Tab. 6A -Drogi'!I25+'Tab. 6H - Kultura fiz. i turyst'!I21</f>
        <v>0</v>
      </c>
      <c r="G37" s="1527">
        <f>+'Tab. 6A -Drogi'!J25+'Tab. 6H - Kultura fiz. i turyst'!J21</f>
        <v>0</v>
      </c>
      <c r="H37" s="1527">
        <f>+'Tab. 6A -Drogi'!K25+'Tab. 6H - Kultura fiz. i turyst'!K21</f>
        <v>0</v>
      </c>
      <c r="I37" s="1527">
        <f>+'Tab. 6A -Drogi'!L25+'Tab. 6G - Roln i ochrona środ.'!L24+'Tab. 6E - Administracja'!L22+'Tab. 6H - Kultura fiz. i turyst'!L19</f>
        <v>0</v>
      </c>
      <c r="J37" s="1743">
        <f t="shared" si="17"/>
        <v>22377129</v>
      </c>
      <c r="K37" s="3608"/>
      <c r="L37" s="3613"/>
      <c r="M37" s="436">
        <f>J37-J21</f>
        <v>0</v>
      </c>
      <c r="N37" s="971"/>
    </row>
    <row r="38" spans="1:15" s="439" customFormat="1">
      <c r="A38" s="1282" t="s">
        <v>16</v>
      </c>
      <c r="B38" s="1527">
        <f>+'Tab. 6A -Drogi'!E26+'Tab. 6G - Roln i ochrona środ.'!E25+'Tab. 6E - Administracja'!E23+'Tab. 6H - Kultura fiz. i turyst'!E20</f>
        <v>0</v>
      </c>
      <c r="C38" s="1394">
        <f>+'Tab. 6A -Drogi'!F26+'Tab. 6G - Roln i ochrona środ.'!F25+'Tab. 6E - Administracja'!F23+'Tab. 6H - Kultura fiz. i turyst'!F20</f>
        <v>0</v>
      </c>
      <c r="D38" s="1394">
        <f>+'Tab. 6A -Drogi'!G26+'Tab. 6G - Roln i ochrona środ.'!G25+'Tab. 6E - Administracja'!G23+'Tab. 6H - Kultura fiz. i turyst'!G20</f>
        <v>320000</v>
      </c>
      <c r="E38" s="1527">
        <f>+'Tab. 6A -Drogi'!H26+'Tab. 6G - Roln i ochrona środ.'!H25+'Tab. 6E - Administracja'!H23+'Tab. 6H - Kultura fiz. i turyst'!H20</f>
        <v>0</v>
      </c>
      <c r="F38" s="1527">
        <f>+'Tab. 6A -Drogi'!I26+'Tab. 6G - Roln i ochrona środ.'!I25+'Tab. 6E - Administracja'!I23+'Tab. 6H - Kultura fiz. i turyst'!I20</f>
        <v>0</v>
      </c>
      <c r="G38" s="1527">
        <f>+'Tab. 6A -Drogi'!J26+'Tab. 6G - Roln i ochrona środ.'!J25+'Tab. 6E - Administracja'!J23+'Tab. 6H - Kultura fiz. i turyst'!J20</f>
        <v>0</v>
      </c>
      <c r="H38" s="1527">
        <f>+'Tab. 6A -Drogi'!K26+'Tab. 6G - Roln i ochrona środ.'!K25+'Tab. 6E - Administracja'!K23+'Tab. 6H - Kultura fiz. i turyst'!K20</f>
        <v>0</v>
      </c>
      <c r="I38" s="1527">
        <f>+'Tab. 6A -Drogi'!L26+'Tab. 6G - Roln i ochrona środ.'!L25+'Tab. 6E - Administracja'!L23+'Tab. 6H - Kultura fiz. i turyst'!L20</f>
        <v>0</v>
      </c>
      <c r="J38" s="1743">
        <f t="shared" si="17"/>
        <v>320000</v>
      </c>
      <c r="K38" s="3608"/>
      <c r="L38" s="3613"/>
      <c r="M38" s="436">
        <f>J38-J22</f>
        <v>0</v>
      </c>
    </row>
    <row r="39" spans="1:15" s="439" customFormat="1" ht="15" customHeight="1">
      <c r="A39" s="1282" t="s">
        <v>17</v>
      </c>
      <c r="B39" s="964">
        <f>+'Tab. 6A -Drogi'!E27</f>
        <v>0</v>
      </c>
      <c r="C39" s="964">
        <f>+'Tab. 6A -Drogi'!F27</f>
        <v>0</v>
      </c>
      <c r="D39" s="965">
        <f>+'Tab. 6A -Drogi'!G27+'Tab. 6C - Ochrona zdrowia'!G18+'Tab.6I - Planow. przestrz.'!G22</f>
        <v>11485758</v>
      </c>
      <c r="E39" s="965">
        <f>+'Tab. 6A -Drogi'!H27+'Tab. 6C - Ochrona zdrowia'!H18+'Tab.6I - Planow. przestrz.'!H22</f>
        <v>3189386</v>
      </c>
      <c r="F39" s="965">
        <f>+'Tab. 6A -Drogi'!I27+'Tab. 6C - Ochrona zdrowia'!I18+'Tab.6I - Planow. przestrz.'!I22</f>
        <v>4581649</v>
      </c>
      <c r="G39" s="965">
        <f>+'Tab. 6A -Drogi'!J27+'Tab. 6C - Ochrona zdrowia'!J18+'Tab.6I - Planow. przestrz.'!J22</f>
        <v>886081</v>
      </c>
      <c r="H39" s="965">
        <f>+'Tab. 6A -Drogi'!K27+'Tab. 6C - Ochrona zdrowia'!K18+'Tab.6I - Planow. przestrz.'!K22</f>
        <v>0</v>
      </c>
      <c r="I39" s="965">
        <f>+'Tab. 6A -Drogi'!L27+'Tab. 6C - Ochrona zdrowia'!L18+'Tab.6I - Planow. przestrz.'!L22</f>
        <v>0</v>
      </c>
      <c r="J39" s="1743">
        <f t="shared" si="17"/>
        <v>20142874</v>
      </c>
      <c r="K39" s="3608"/>
      <c r="L39" s="3613"/>
      <c r="M39" s="436">
        <f>J39-J24</f>
        <v>0</v>
      </c>
    </row>
    <row r="40" spans="1:15" s="439" customFormat="1" ht="25.5" hidden="1" customHeight="1">
      <c r="A40" s="962" t="s">
        <v>26</v>
      </c>
      <c r="B40" s="967">
        <f>+'Tab. 6A -Drogi'!E28</f>
        <v>0</v>
      </c>
      <c r="C40" s="966">
        <f>+'Tab. 6A -Drogi'!F28</f>
        <v>0</v>
      </c>
      <c r="D40" s="966">
        <f>+'Tab. 6A -Drogi'!G28</f>
        <v>0</v>
      </c>
      <c r="E40" s="966">
        <f>+'Tab. 6A -Drogi'!H28</f>
        <v>0</v>
      </c>
      <c r="F40" s="966">
        <f>+'Tab. 6A -Drogi'!I28</f>
        <v>0</v>
      </c>
      <c r="G40" s="966">
        <f>+'Tab. 6A -Drogi'!J28</f>
        <v>0</v>
      </c>
      <c r="H40" s="966">
        <f>+'Tab. 6A -Drogi'!K28</f>
        <v>0</v>
      </c>
      <c r="I40" s="966">
        <f>+'Tab. 6A -Drogi'!L28</f>
        <v>0</v>
      </c>
      <c r="J40" s="1743">
        <f t="shared" si="17"/>
        <v>0</v>
      </c>
      <c r="K40" s="3608"/>
      <c r="L40" s="3613"/>
      <c r="M40" s="436"/>
    </row>
    <row r="41" spans="1:15" s="439" customFormat="1" ht="16.5" customHeight="1">
      <c r="A41" s="433" t="s">
        <v>18</v>
      </c>
      <c r="B41" s="1395">
        <f t="shared" ref="B41:C41" si="18">SUM(B42:B46)</f>
        <v>56854798</v>
      </c>
      <c r="C41" s="1395">
        <f t="shared" si="18"/>
        <v>217190644</v>
      </c>
      <c r="D41" s="1395">
        <f t="shared" ref="D41:I41" si="19">SUM(D42:D46)</f>
        <v>383664052</v>
      </c>
      <c r="E41" s="1395">
        <f t="shared" si="19"/>
        <v>291736893</v>
      </c>
      <c r="F41" s="1395">
        <f t="shared" si="19"/>
        <v>218746058</v>
      </c>
      <c r="G41" s="1395">
        <f t="shared" si="19"/>
        <v>74693480</v>
      </c>
      <c r="H41" s="1395">
        <f t="shared" si="19"/>
        <v>33459818</v>
      </c>
      <c r="I41" s="1395">
        <f t="shared" si="19"/>
        <v>31574788</v>
      </c>
      <c r="J41" s="1746">
        <f>SUM(J42:J46)</f>
        <v>1319066988</v>
      </c>
      <c r="K41" s="3608"/>
      <c r="L41" s="3613"/>
      <c r="M41" s="436"/>
    </row>
    <row r="42" spans="1:15" s="439" customFormat="1" ht="15.75" hidden="1" customHeight="1">
      <c r="A42" s="1396" t="s">
        <v>17</v>
      </c>
      <c r="B42" s="972"/>
      <c r="C42" s="963"/>
      <c r="D42" s="963"/>
      <c r="E42" s="963"/>
      <c r="F42" s="963"/>
      <c r="G42" s="963"/>
      <c r="H42" s="963"/>
      <c r="I42" s="963"/>
      <c r="J42" s="1743">
        <f>B42+C42+D42+E42+F42+G42+H42+I42</f>
        <v>0</v>
      </c>
      <c r="K42" s="3608"/>
      <c r="L42" s="3613"/>
      <c r="M42" s="436"/>
    </row>
    <row r="43" spans="1:15" s="439" customFormat="1" ht="14.25" hidden="1" customHeight="1">
      <c r="A43" s="1282" t="s">
        <v>19</v>
      </c>
      <c r="B43" s="963">
        <f>+'Tab. 6A -Drogi'!E33</f>
        <v>0</v>
      </c>
      <c r="C43" s="963">
        <f>+'Tab. 6A -Drogi'!F33</f>
        <v>0</v>
      </c>
      <c r="D43" s="963">
        <f>+'Tab. 6A -Drogi'!G33</f>
        <v>0</v>
      </c>
      <c r="E43" s="963">
        <f>+'Tab. 6A -Drogi'!H33</f>
        <v>0</v>
      </c>
      <c r="F43" s="963">
        <f>+'Tab. 6A -Drogi'!I33</f>
        <v>0</v>
      </c>
      <c r="G43" s="963">
        <f>+'Tab. 6A -Drogi'!J33</f>
        <v>0</v>
      </c>
      <c r="H43" s="963">
        <f>+'Tab. 6A -Drogi'!K33</f>
        <v>0</v>
      </c>
      <c r="I43" s="963">
        <f>+'Tab. 6A -Drogi'!L33</f>
        <v>0</v>
      </c>
      <c r="J43" s="1743">
        <f>B43+C43+D43+E43+F43+G43+H43+I43</f>
        <v>0</v>
      </c>
      <c r="K43" s="3608"/>
      <c r="L43" s="3613"/>
      <c r="M43" s="436">
        <f>J43-J28</f>
        <v>0</v>
      </c>
    </row>
    <row r="44" spans="1:15" s="439" customFormat="1" ht="15.75" hidden="1" customHeight="1">
      <c r="A44" s="1282" t="s">
        <v>14</v>
      </c>
      <c r="B44" s="963">
        <f>+'Tab. 6G - Roln i ochrona środ.'!E30</f>
        <v>0</v>
      </c>
      <c r="C44" s="963">
        <f>+'Tab. 6G - Roln i ochrona środ.'!F30</f>
        <v>0</v>
      </c>
      <c r="D44" s="963">
        <f>+'Tab. 6G - Roln i ochrona środ.'!G30</f>
        <v>0</v>
      </c>
      <c r="E44" s="963">
        <f>+'Tab. 6G - Roln i ochrona środ.'!H30</f>
        <v>0</v>
      </c>
      <c r="F44" s="963">
        <f>+'Tab. 6G - Roln i ochrona środ.'!I30</f>
        <v>0</v>
      </c>
      <c r="G44" s="963">
        <f>+'Tab. 6G - Roln i ochrona środ.'!J30</f>
        <v>0</v>
      </c>
      <c r="H44" s="963">
        <f>+'Tab. 6G - Roln i ochrona środ.'!K30</f>
        <v>0</v>
      </c>
      <c r="I44" s="963">
        <f>+'Tab. 6G - Roln i ochrona środ.'!L30</f>
        <v>0</v>
      </c>
      <c r="J44" s="1743">
        <f>B44+C44+D44+E44+F44+G44+H44+I44</f>
        <v>0</v>
      </c>
      <c r="K44" s="3608"/>
      <c r="L44" s="3613"/>
      <c r="M44" s="436">
        <f>J44-J30</f>
        <v>0</v>
      </c>
    </row>
    <row r="45" spans="1:15" s="439" customFormat="1" ht="14.25" customHeight="1">
      <c r="A45" s="1282" t="s">
        <v>20</v>
      </c>
      <c r="B45" s="1397">
        <f>+'Tab. 6A -Drogi'!E31+'Tab. 6G - Roln i ochrona środ.'!E31+'Tab. 6D - Oświata'!E25+'Tab.6I - Planow. przestrz.'!E25+'Tab. 6B Polit społ i rozwój prz'!E22</f>
        <v>292115</v>
      </c>
      <c r="C45" s="1397">
        <f>+'Tab. 6A -Drogi'!F31+'Tab. 6G - Roln i ochrona środ.'!F31+'Tab. 6D - Oświata'!F25+'Tab.6I - Planow. przestrz.'!F25+'Tab. 6B Polit społ i rozwój prz'!F22</f>
        <v>696268</v>
      </c>
      <c r="D45" s="1397">
        <f>+'Tab. 6A -Drogi'!G31+'Tab. 6G - Roln i ochrona środ.'!G31+'Tab. 6D - Oświata'!G25+'Tab.6I - Planow. przestrz.'!G25+'Tab. 6B Polit społ i rozwój prz'!G22</f>
        <v>1239354</v>
      </c>
      <c r="E45" s="1397">
        <f>+'Tab. 6A -Drogi'!H31+'Tab. 6G - Roln i ochrona środ.'!H31+'Tab. 6D - Oświata'!H25+'Tab.6I - Planow. przestrz.'!H25+'Tab. 6B Polit społ i rozwój prz'!H22</f>
        <v>14467808</v>
      </c>
      <c r="F45" s="1397">
        <f>+'Tab. 6A -Drogi'!I31+'Tab. 6G - Roln i ochrona środ.'!I31+'Tab. 6D - Oświata'!I25+'Tab.6I - Planow. przestrz.'!I25+'Tab. 6B Polit społ i rozwój prz'!I22</f>
        <v>26130046</v>
      </c>
      <c r="G45" s="1397">
        <f>+'Tab. 6A -Drogi'!J31+'Tab. 6G - Roln i ochrona środ.'!J31+'Tab. 6D - Oświata'!J25+'Tab.6I - Planow. przestrz.'!J25+'Tab. 6B Polit społ i rozwój prz'!J22</f>
        <v>5688091</v>
      </c>
      <c r="H45" s="1397">
        <f>+'Tab. 6A -Drogi'!K31+'Tab. 6G - Roln i ochrona środ.'!K31+'Tab. 6D - Oświata'!K25+'Tab.6I - Planow. przestrz.'!K25+'Tab. 6B Polit społ i rozwój prz'!K22</f>
        <v>0</v>
      </c>
      <c r="I45" s="1397">
        <f>+'Tab. 6A -Drogi'!L31+'Tab. 6G - Roln i ochrona środ.'!L31+'Tab. 6D - Oświata'!L25+'Tab.6I - Planow. przestrz.'!L25+'Tab. 6B Polit społ i rozwój prz'!L22</f>
        <v>0</v>
      </c>
      <c r="J45" s="1743">
        <f>B45+C45+D45+E45+F45+G45+H45+I45</f>
        <v>48513682</v>
      </c>
      <c r="K45" s="3608"/>
      <c r="L45" s="3613"/>
      <c r="M45" s="436">
        <f>J45-J29-J27</f>
        <v>0</v>
      </c>
      <c r="N45" s="971" t="s">
        <v>358</v>
      </c>
    </row>
    <row r="46" spans="1:15" s="439" customFormat="1" ht="15.75" customHeight="1" thickBot="1">
      <c r="A46" s="993" t="s">
        <v>21</v>
      </c>
      <c r="B46" s="1398">
        <f>+'Tab. 6B Polit społ i rozwój prz'!E23+'Tab. 6A -Drogi'!E32+'Tab. 6E - Administracja'!E25+'Tab. 6G - Roln i ochrona środ.'!E29+'Tab. 6H - Kultura fiz. i turyst'!E23+'Tab.6I - Planow. przestrz.'!E24</f>
        <v>56562683</v>
      </c>
      <c r="C46" s="1399">
        <f>+'Tab. 6B Polit społ i rozwój prz'!F23+'Tab. 6A -Drogi'!F32+'Tab. 6E - Administracja'!F25+'Tab. 6G - Roln i ochrona środ.'!F29+'Tab. 6H - Kultura fiz. i turyst'!F23+'Tab.6I - Planow. przestrz.'!F24</f>
        <v>216494376</v>
      </c>
      <c r="D46" s="1399">
        <f>+'Tab. 6B Polit społ i rozwój prz'!G23+'Tab. 6A -Drogi'!G32+'Tab. 6E - Administracja'!G25+'Tab. 6G - Roln i ochrona środ.'!G29+'Tab. 6H - Kultura fiz. i turyst'!G23+'Tab.6I - Planow. przestrz.'!G24+'Tab. 6D - Oświata'!G24+'Tab. 6C - Ochrona zdrowia'!G20</f>
        <v>382424698</v>
      </c>
      <c r="E46" s="1399">
        <f>+'Tab. 6B Polit społ i rozwój prz'!H23+'Tab. 6A -Drogi'!H32+'Tab. 6E - Administracja'!H25+'Tab. 6G - Roln i ochrona środ.'!H29+'Tab. 6H - Kultura fiz. i turyst'!H23+'Tab.6I - Planow. przestrz.'!H24+'Tab. 6D - Oświata'!H24+'Tab. 6C - Ochrona zdrowia'!H20</f>
        <v>277269085</v>
      </c>
      <c r="F46" s="1399">
        <f>+'Tab. 6B Polit społ i rozwój prz'!I23+'Tab. 6A -Drogi'!I32+'Tab. 6E - Administracja'!I25+'Tab. 6G - Roln i ochrona środ.'!I29+'Tab. 6H - Kultura fiz. i turyst'!I23+'Tab.6I - Planow. przestrz.'!I24+'Tab. 6D - Oświata'!I24+'Tab. 6C - Ochrona zdrowia'!I20</f>
        <v>192616012</v>
      </c>
      <c r="G46" s="1399">
        <f>+'Tab. 6B Polit społ i rozwój prz'!J23+'Tab. 6A -Drogi'!J32+'Tab. 6E - Administracja'!J25+'Tab. 6G - Roln i ochrona środ.'!J29+'Tab. 6H - Kultura fiz. i turyst'!J23+'Tab.6I - Planow. przestrz.'!J24+'Tab. 6D - Oświata'!J24+'Tab. 6C - Ochrona zdrowia'!J20</f>
        <v>69005389</v>
      </c>
      <c r="H46" s="1399">
        <f>+'Tab. 6B Polit społ i rozwój prz'!K23+'Tab. 6A -Drogi'!K32+'Tab. 6E - Administracja'!K25+'Tab. 6G - Roln i ochrona środ.'!K29+'Tab. 6H - Kultura fiz. i turyst'!K23+'Tab.6I - Planow. przestrz.'!K24+'Tab. 6D - Oświata'!K24+'Tab. 6C - Ochrona zdrowia'!K20</f>
        <v>33459818</v>
      </c>
      <c r="I46" s="1399">
        <f>+'Tab. 6B Polit społ i rozwój prz'!L23+'Tab. 6A -Drogi'!L32+'Tab. 6E - Administracja'!L25+'Tab. 6G - Roln i ochrona środ.'!L29+'Tab. 6H - Kultura fiz. i turyst'!L23+'Tab.6I - Planow. przestrz.'!L24+'Tab. 6D - Oświata'!L24+'Tab. 6C - Ochrona zdrowia'!L20</f>
        <v>31574788</v>
      </c>
      <c r="J46" s="1747">
        <f>B46+C46+D46+E46+F46+G46+H46+I46+5028154+11590+2055406+299481+3812897-61071</f>
        <v>1270553306</v>
      </c>
      <c r="K46" s="3609"/>
      <c r="L46" s="3614"/>
      <c r="M46" s="436">
        <f>J46-J31</f>
        <v>0</v>
      </c>
      <c r="N46" s="971"/>
    </row>
    <row r="47" spans="1:15" s="439" customFormat="1" ht="21" customHeight="1" thickBot="1">
      <c r="A47" s="953"/>
      <c r="B47" s="954"/>
      <c r="C47" s="954"/>
      <c r="D47" s="954"/>
      <c r="E47" s="954"/>
      <c r="F47" s="954"/>
      <c r="G47" s="954"/>
      <c r="H47" s="954"/>
      <c r="I47" s="954"/>
      <c r="J47" s="954"/>
      <c r="K47" s="975"/>
      <c r="L47" s="975"/>
      <c r="M47" s="436"/>
    </row>
    <row r="48" spans="1:15" s="957" customFormat="1" ht="18.75" customHeight="1" thickBot="1">
      <c r="A48" s="976" t="s">
        <v>27</v>
      </c>
      <c r="B48" s="977">
        <f>+B16-B25</f>
        <v>93026756.299999997</v>
      </c>
      <c r="C48" s="977">
        <f t="shared" ref="C48:I48" si="20">+C16-C25</f>
        <v>270044617</v>
      </c>
      <c r="D48" s="977">
        <f t="shared" si="20"/>
        <v>482086651</v>
      </c>
      <c r="E48" s="977">
        <f t="shared" si="20"/>
        <v>344763295</v>
      </c>
      <c r="F48" s="977">
        <f t="shared" si="20"/>
        <v>271051074</v>
      </c>
      <c r="G48" s="977">
        <f t="shared" si="20"/>
        <v>82402857</v>
      </c>
      <c r="H48" s="977">
        <f t="shared" si="20"/>
        <v>38876530</v>
      </c>
      <c r="I48" s="977">
        <f t="shared" si="20"/>
        <v>36217179</v>
      </c>
      <c r="J48" s="1748">
        <f>+J16-J25</f>
        <v>1618468959.3</v>
      </c>
      <c r="K48" s="1753">
        <f>+C48+D48+E48+F48+G48+H48+I48</f>
        <v>1525442203</v>
      </c>
      <c r="L48" s="978">
        <f>+D48+E48+F48+G48+H48+I48</f>
        <v>1255397586</v>
      </c>
      <c r="M48" s="979">
        <f>B48+C48+D48+E48+F48+G48+H48+I48</f>
        <v>1618468959.3</v>
      </c>
      <c r="N48" s="980">
        <f>M48-J48</f>
        <v>0</v>
      </c>
      <c r="O48" s="980"/>
    </row>
    <row r="49" spans="1:15" s="957" customFormat="1" ht="16.5" customHeight="1" thickBot="1">
      <c r="A49" s="976" t="s">
        <v>28</v>
      </c>
      <c r="B49" s="981">
        <f>+B32</f>
        <v>69281470</v>
      </c>
      <c r="C49" s="981">
        <f>+C32</f>
        <v>220965960</v>
      </c>
      <c r="D49" s="981">
        <f>+D32</f>
        <v>408129715</v>
      </c>
      <c r="E49" s="981">
        <f t="shared" ref="E49:I49" si="21">+E32</f>
        <v>301948680</v>
      </c>
      <c r="F49" s="981">
        <f t="shared" si="21"/>
        <v>227111317</v>
      </c>
      <c r="G49" s="981">
        <f t="shared" si="21"/>
        <v>76682318</v>
      </c>
      <c r="H49" s="981">
        <f t="shared" si="21"/>
        <v>34126130</v>
      </c>
      <c r="I49" s="981">
        <f t="shared" si="21"/>
        <v>32142634</v>
      </c>
      <c r="J49" s="1749">
        <f>+J32</f>
        <v>1381534681</v>
      </c>
      <c r="K49" s="1754" t="s">
        <v>23</v>
      </c>
      <c r="L49" s="982" t="s">
        <v>23</v>
      </c>
      <c r="M49" s="979">
        <v>105067692</v>
      </c>
      <c r="N49" s="980" t="s">
        <v>218</v>
      </c>
    </row>
    <row r="50" spans="1:15" s="439" customFormat="1" ht="18.75" hidden="1" customHeight="1">
      <c r="A50" s="983"/>
      <c r="B50" s="954">
        <f>'Tab. 6A -Drogi'!E16+'Tab. 6E - Administracja'!E16+'Tab. 6G - Roln i ochrona środ.'!E15</f>
        <v>0</v>
      </c>
      <c r="C50" s="954"/>
      <c r="D50" s="954"/>
      <c r="E50" s="954"/>
      <c r="F50" s="954"/>
      <c r="G50" s="954"/>
      <c r="H50" s="954"/>
      <c r="I50" s="954"/>
      <c r="J50" s="975"/>
      <c r="K50" s="971"/>
      <c r="L50" s="971"/>
      <c r="M50" s="971">
        <f>M49+M48</f>
        <v>1723536651.3</v>
      </c>
      <c r="N50" s="971">
        <f>J48-M50</f>
        <v>-105067692</v>
      </c>
    </row>
    <row r="51" spans="1:15" s="439" customFormat="1" ht="12.75" hidden="1" customHeight="1">
      <c r="A51" s="954"/>
      <c r="B51" s="954">
        <f>'Tab. 6A -Drogi'!E32+'Tab. 6B Polit społ i rozwój prz'!E23+'Tab. 6E - Administracja'!E25+'Tab. 6H - Kultura fiz. i turyst'!E23+'Tab.6I - Planow. przestrz.'!E24+'Tab. 6G - Roln i ochrona środ.'!E29</f>
        <v>56562683</v>
      </c>
      <c r="C51" s="954">
        <f>'Tab. 6A -Drogi'!F32+'Tab. 6B Polit społ i rozwój prz'!F23+'Tab. 6E - Administracja'!F25+'Tab. 6H - Kultura fiz. i turyst'!F23+'Tab.6I - Planow. przestrz.'!F24+'Tab. 6G - Roln i ochrona środ.'!F29</f>
        <v>216494376</v>
      </c>
      <c r="D51" s="954">
        <f>'Tab. 6A -Drogi'!G32+'Tab. 6B Polit społ i rozwój prz'!G23+'Tab. 6E - Administracja'!G25+'Tab. 6H - Kultura fiz. i turyst'!G23+'Tab.6I - Planow. przestrz.'!G24+'Tab. 6G - Roln i ochrona środ.'!G29</f>
        <v>377145972</v>
      </c>
      <c r="E51" s="954">
        <f>'Tab. 6A -Drogi'!H32+'Tab. 6B Polit społ i rozwój prz'!H23+'Tab. 6E - Administracja'!H25+'Tab. 6H - Kultura fiz. i turyst'!H23+'Tab.6I - Planow. przestrz.'!H24+'Tab. 6G - Roln i ochrona środ.'!H29</f>
        <v>263446591</v>
      </c>
      <c r="F51" s="954">
        <f>'Tab. 6A -Drogi'!I32+'Tab. 6B Polit społ i rozwój prz'!I23+'Tab. 6E - Administracja'!I25+'Tab. 6H - Kultura fiz. i turyst'!I23+'Tab.6I - Planow. przestrz.'!I24+'Tab. 6G - Roln i ochrona środ.'!I29</f>
        <v>179438573</v>
      </c>
      <c r="G51" s="954">
        <f>'Tab. 6A -Drogi'!J32+'Tab. 6B Polit społ i rozwój prz'!J23+'Tab. 6E - Administracja'!J25+'Tab. 6H - Kultura fiz. i turyst'!J23+'Tab.6I - Planow. przestrz.'!J24+'Tab. 6G - Roln i ochrona środ.'!J29</f>
        <v>67079772</v>
      </c>
      <c r="H51" s="954">
        <f>'Tab. 6A -Drogi'!K32+'Tab. 6B Polit społ i rozwój prz'!K23+'Tab. 6E - Administracja'!K25+'Tab. 6H - Kultura fiz. i turyst'!K23+'Tab.6I - Planow. przestrz.'!K24+'Tab. 6G - Roln i ochrona środ.'!K29</f>
        <v>33459818</v>
      </c>
      <c r="I51" s="954">
        <f>'Tab. 6A -Drogi'!L32+'Tab. 6B Polit społ i rozwój prz'!L23+'Tab. 6E - Administracja'!L25+'Tab. 6H - Kultura fiz. i turyst'!L23+'Tab.6I - Planow. przestrz.'!L24+'Tab. 6G - Roln i ochrona środ.'!L29</f>
        <v>31574788</v>
      </c>
      <c r="J51" s="954" t="e">
        <f>B51+#REF!+#REF!+C51+D51+E51+F51+G51+H51+I51</f>
        <v>#REF!</v>
      </c>
      <c r="K51" s="436"/>
      <c r="L51" s="436"/>
      <c r="M51" s="436"/>
    </row>
    <row r="52" spans="1:15" s="439" customFormat="1" hidden="1">
      <c r="A52" s="984"/>
      <c r="B52" s="954">
        <f>B46-B51</f>
        <v>0</v>
      </c>
      <c r="C52" s="954">
        <f t="shared" ref="C52:I52" si="22">C46-C51</f>
        <v>0</v>
      </c>
      <c r="D52" s="954">
        <f t="shared" si="22"/>
        <v>5278726</v>
      </c>
      <c r="E52" s="954">
        <f t="shared" si="22"/>
        <v>13822494</v>
      </c>
      <c r="F52" s="954">
        <f t="shared" si="22"/>
        <v>13177439</v>
      </c>
      <c r="G52" s="954">
        <f t="shared" si="22"/>
        <v>1925617</v>
      </c>
      <c r="H52" s="954">
        <f t="shared" si="22"/>
        <v>0</v>
      </c>
      <c r="I52" s="954">
        <f t="shared" si="22"/>
        <v>0</v>
      </c>
      <c r="J52" s="954"/>
      <c r="K52" s="436"/>
      <c r="L52" s="436"/>
      <c r="M52" s="436"/>
    </row>
    <row r="53" spans="1:15" s="439" customFormat="1">
      <c r="A53" s="983"/>
      <c r="B53" s="954"/>
      <c r="C53" s="954"/>
      <c r="D53" s="954"/>
      <c r="E53" s="954"/>
      <c r="F53" s="954"/>
      <c r="G53" s="954"/>
      <c r="H53" s="954"/>
      <c r="I53" s="954"/>
      <c r="J53" s="975"/>
      <c r="K53" s="436"/>
      <c r="L53" s="436"/>
      <c r="M53" s="436"/>
    </row>
    <row r="54" spans="1:15" ht="31.5" customHeight="1" thickBot="1">
      <c r="A54" s="3597" t="s">
        <v>29</v>
      </c>
      <c r="B54" s="3597"/>
      <c r="C54" s="3597"/>
      <c r="D54" s="3597"/>
      <c r="E54" s="3597"/>
      <c r="F54" s="3597"/>
      <c r="G54" s="3597"/>
      <c r="H54" s="3597"/>
      <c r="I54" s="3597"/>
      <c r="J54" s="3597"/>
      <c r="K54" s="985"/>
      <c r="L54" s="985"/>
      <c r="M54" s="3513"/>
    </row>
    <row r="55" spans="1:15" s="923" customFormat="1" ht="34.5" customHeight="1">
      <c r="A55" s="929"/>
      <c r="B55" s="3595" t="s">
        <v>229</v>
      </c>
      <c r="C55" s="3602" t="s">
        <v>437</v>
      </c>
      <c r="D55" s="3598" t="s">
        <v>390</v>
      </c>
      <c r="E55" s="3598"/>
      <c r="F55" s="3598"/>
      <c r="G55" s="3598"/>
      <c r="H55" s="3598"/>
      <c r="I55" s="3599"/>
      <c r="J55" s="3592" t="s">
        <v>3</v>
      </c>
      <c r="K55" s="3610" t="s">
        <v>407</v>
      </c>
      <c r="L55" s="3610" t="s">
        <v>391</v>
      </c>
    </row>
    <row r="56" spans="1:15" ht="19.5" customHeight="1">
      <c r="A56" s="931" t="s">
        <v>4</v>
      </c>
      <c r="B56" s="3596"/>
      <c r="C56" s="3603"/>
      <c r="D56" s="3600"/>
      <c r="E56" s="3600"/>
      <c r="F56" s="3600"/>
      <c r="G56" s="3600"/>
      <c r="H56" s="3600"/>
      <c r="I56" s="3601"/>
      <c r="J56" s="3593"/>
      <c r="K56" s="3611"/>
      <c r="L56" s="3611"/>
      <c r="M56" s="3513"/>
    </row>
    <row r="57" spans="1:15" ht="24" customHeight="1" thickBot="1">
      <c r="A57" s="931"/>
      <c r="B57" s="932" t="s">
        <v>381</v>
      </c>
      <c r="C57" s="3604"/>
      <c r="D57" s="933" t="s">
        <v>6</v>
      </c>
      <c r="E57" s="933" t="s">
        <v>179</v>
      </c>
      <c r="F57" s="933" t="s">
        <v>181</v>
      </c>
      <c r="G57" s="933" t="s">
        <v>220</v>
      </c>
      <c r="H57" s="933" t="s">
        <v>221</v>
      </c>
      <c r="I57" s="934" t="s">
        <v>219</v>
      </c>
      <c r="J57" s="3594"/>
      <c r="K57" s="3611"/>
      <c r="L57" s="3611"/>
      <c r="M57" s="3513"/>
    </row>
    <row r="58" spans="1:15" ht="13.5" customHeight="1" thickBot="1">
      <c r="A58" s="936">
        <v>1</v>
      </c>
      <c r="B58" s="937">
        <v>2</v>
      </c>
      <c r="C58" s="938">
        <v>3</v>
      </c>
      <c r="D58" s="937">
        <v>4</v>
      </c>
      <c r="E58" s="939">
        <v>5</v>
      </c>
      <c r="F58" s="940">
        <v>6</v>
      </c>
      <c r="G58" s="941">
        <v>7</v>
      </c>
      <c r="H58" s="937">
        <v>8</v>
      </c>
      <c r="I58" s="941">
        <v>9</v>
      </c>
      <c r="J58" s="1737">
        <v>10</v>
      </c>
      <c r="K58" s="942">
        <v>12</v>
      </c>
      <c r="L58" s="942">
        <v>11</v>
      </c>
      <c r="M58" s="3513"/>
    </row>
    <row r="59" spans="1:15" ht="18.75" customHeight="1">
      <c r="A59" s="943" t="s">
        <v>7</v>
      </c>
      <c r="B59" s="944">
        <f>+B60+B61</f>
        <v>403555949</v>
      </c>
      <c r="C59" s="944">
        <f t="shared" ref="C59:L59" si="23">+C60+C61</f>
        <v>181271310</v>
      </c>
      <c r="D59" s="944">
        <f t="shared" si="23"/>
        <v>233926597</v>
      </c>
      <c r="E59" s="944">
        <f>+E60+E61</f>
        <v>270750891</v>
      </c>
      <c r="F59" s="944">
        <f>+F60+F61</f>
        <v>219859792</v>
      </c>
      <c r="G59" s="944">
        <f>+G60+G61</f>
        <v>30681387</v>
      </c>
      <c r="H59" s="944">
        <f>+H60+H61</f>
        <v>6705341</v>
      </c>
      <c r="I59" s="944">
        <f>+I60+I61</f>
        <v>4236912</v>
      </c>
      <c r="J59" s="1755">
        <f t="shared" si="23"/>
        <v>1384624504</v>
      </c>
      <c r="K59" s="945">
        <f t="shared" ref="K59" si="24">+K60+K61</f>
        <v>981068555</v>
      </c>
      <c r="L59" s="945">
        <f t="shared" si="23"/>
        <v>799797245</v>
      </c>
      <c r="M59" s="2707">
        <f>+L63-L59</f>
        <v>0</v>
      </c>
      <c r="N59" s="437">
        <f>+C59+D59+E59+F59+G59+H59+I59+B59+'Tab. 6C - Ochrona zdrowia'!P92+'Tab. 6C - Ochrona zdrowia'!P97</f>
        <v>1384624504</v>
      </c>
      <c r="O59" s="438">
        <f>J59-N59</f>
        <v>0</v>
      </c>
    </row>
    <row r="60" spans="1:15" s="947" customFormat="1" ht="15" customHeight="1">
      <c r="A60" s="948" t="s">
        <v>316</v>
      </c>
      <c r="B60" s="949">
        <f>'Tab. 6A -Drogi'!E512+'Tab. 6C - Ochrona zdrowia'!E52+'Tab. 6D - Oświata'!E101+'Tab. 6E - Administracja'!E239+'Tab. 6F - Kultura'!E8+'Tab. 6G - Roln i ochrona środ.'!E106+'Tab. 6H - Kultura fiz. i turyst'!E249+'Tab.6I - Planow. przestrz.'!E99+'Tab. 6D - Oświata'!E89</f>
        <v>362255011</v>
      </c>
      <c r="C60" s="949">
        <f>'Tab. 6A -Drogi'!F512+'Tab. 6C - Ochrona zdrowia'!F52+'Tab. 6D - Oświata'!F101+'Tab. 6E - Administracja'!F239+'Tab. 6F - Kultura'!F8+'Tab. 6G - Roln i ochrona środ.'!F106+'Tab. 6H - Kultura fiz. i turyst'!F249+'Tab.6I - Planow. przestrz.'!F99+'Tab. 6D - Oświata'!F89</f>
        <v>138684748</v>
      </c>
      <c r="D60" s="949">
        <f>'Tab. 6A -Drogi'!G512+'Tab. 6C - Ochrona zdrowia'!G52+'Tab. 6D - Oświata'!G101+'Tab. 6E - Administracja'!G239+'Tab. 6F - Kultura'!G8+'Tab. 6G - Roln i ochrona środ.'!G106+'Tab. 6H - Kultura fiz. i turyst'!G249+'Tab.6I - Planow. przestrz.'!G99+'Tab. 6D - Oświata'!G89</f>
        <v>170019217</v>
      </c>
      <c r="E60" s="949">
        <f>'Tab. 6A -Drogi'!H512+'Tab. 6C - Ochrona zdrowia'!H52+'Tab. 6D - Oświata'!H101+'Tab. 6E - Administracja'!H239+'Tab. 6F - Kultura'!H8+'Tab. 6G - Roln i ochrona środ.'!H106+'Tab. 6H - Kultura fiz. i turyst'!H249+'Tab.6I - Planow. przestrz.'!H99+'Tab. 6D - Oświata'!H89</f>
        <v>159731393</v>
      </c>
      <c r="F60" s="949">
        <f>'Tab. 6A -Drogi'!I512+'Tab. 6C - Ochrona zdrowia'!I52+'Tab. 6D - Oświata'!I101+'Tab. 6E - Administracja'!I239+'Tab. 6F - Kultura'!I8+'Tab. 6G - Roln i ochrona środ.'!I106+'Tab. 6H - Kultura fiz. i turyst'!I249+'Tab.6I - Planow. przestrz.'!I99+'Tab. 6D - Oświata'!I89</f>
        <v>150504226</v>
      </c>
      <c r="G60" s="949">
        <f>'Tab. 6A -Drogi'!J512+'Tab. 6C - Ochrona zdrowia'!J52+'Tab. 6D - Oświata'!J101+'Tab. 6E - Administracja'!J239+'Tab. 6F - Kultura'!J8+'Tab. 6G - Roln i ochrona środ.'!J106+'Tab. 6H - Kultura fiz. i turyst'!J249+'Tab.6I - Planow. przestrz.'!J99+'Tab. 6D - Oświata'!J89</f>
        <v>9325167</v>
      </c>
      <c r="H60" s="949">
        <f>'Tab. 6A -Drogi'!K512+'Tab. 6C - Ochrona zdrowia'!K52+'Tab. 6D - Oświata'!K101+'Tab. 6E - Administracja'!K239+'Tab. 6F - Kultura'!K8+'Tab. 6G - Roln i ochrona środ.'!K106+'Tab. 6H - Kultura fiz. i turyst'!K249+'Tab.6I - Planow. przestrz.'!K99+'Tab. 6D - Oświata'!K89</f>
        <v>5233096</v>
      </c>
      <c r="I60" s="949">
        <f>'Tab. 6A -Drogi'!L512+'Tab. 6C - Ochrona zdrowia'!L52+'Tab. 6D - Oświata'!L101+'Tab. 6E - Administracja'!L239+'Tab. 6F - Kultura'!L8+'Tab. 6G - Roln i ochrona środ.'!L106+'Tab. 6H - Kultura fiz. i turyst'!L249+'Tab.6I - Planow. przestrz.'!L99+'Tab. 6D - Oświata'!L89</f>
        <v>4236912</v>
      </c>
      <c r="J60" s="1756">
        <f>'Tab. 6A -Drogi'!D512+'Tab. 6C - Ochrona zdrowia'!D52+'Tab. 6D - Oświata'!D101+'Tab. 6E - Administracja'!D239+'Tab. 6F - Kultura'!D8+'Tab. 6G - Roln i ochrona środ.'!D106+'Tab. 6H - Kultura fiz. i turyst'!D249+'Tab.6I - Planow. przestrz.'!D99+'Tab. 6D - Oświata'!D89</f>
        <v>1033626095</v>
      </c>
      <c r="K60" s="1175">
        <f>SUM(C60:I60)+'Tab. 6C - Ochrona zdrowia'!P92+'Tab. 6C - Ochrona zdrowia'!P97</f>
        <v>671371084</v>
      </c>
      <c r="L60" s="1175">
        <f>SUM(D60:I60)+'Tab. 6C - Ochrona zdrowia'!P92+'Tab. 6C - Ochrona zdrowia'!P97</f>
        <v>532686336</v>
      </c>
      <c r="M60" s="3514"/>
      <c r="N60" s="437">
        <f>+C60+D60+E60+F60+G60+H60+I60+B60+'Tab. 6C - Ochrona zdrowia'!P92+'Tab. 6C - Ochrona zdrowia'!P97</f>
        <v>1033626095</v>
      </c>
      <c r="O60" s="438">
        <f t="shared" ref="O60:O74" si="25">J60-N60</f>
        <v>0</v>
      </c>
    </row>
    <row r="61" spans="1:15" ht="14.25" customHeight="1" thickBot="1">
      <c r="A61" s="986" t="s">
        <v>30</v>
      </c>
      <c r="B61" s="987">
        <f>'Tab. 6A -Drogi'!E513+'Tab. 6C - Ochrona zdrowia'!E53+'Tab. 6D - Oświata'!E102+'Tab. 6E - Administracja'!E240+'Tab. 6F - Kultura'!E9+'Tab. 6G - Roln i ochrona środ.'!E107</f>
        <v>41300938</v>
      </c>
      <c r="C61" s="987">
        <f>'Tab. 6A -Drogi'!F513+'Tab. 6C - Ochrona zdrowia'!F53+'Tab. 6D - Oświata'!F102+'Tab. 6E - Administracja'!F240+'Tab. 6F - Kultura'!F9+'Tab. 6G - Roln i ochrona środ.'!F107</f>
        <v>42586562</v>
      </c>
      <c r="D61" s="987">
        <f>'Tab. 6A -Drogi'!G513+'Tab. 6C - Ochrona zdrowia'!G53+'Tab. 6D - Oświata'!G102+'Tab. 6E - Administracja'!G240+'Tab. 6F - Kultura'!G9+'Tab. 6G - Roln i ochrona środ.'!G107</f>
        <v>63907380</v>
      </c>
      <c r="E61" s="987">
        <f>'Tab. 6A -Drogi'!H513+'Tab. 6C - Ochrona zdrowia'!H53+'Tab. 6D - Oświata'!H102+'Tab. 6E - Administracja'!H240+'Tab. 6F - Kultura'!H9+'Tab. 6G - Roln i ochrona środ.'!H107</f>
        <v>111019498</v>
      </c>
      <c r="F61" s="987">
        <f>'Tab. 6A -Drogi'!I513+'Tab. 6C - Ochrona zdrowia'!I53+'Tab. 6D - Oświata'!I102+'Tab. 6E - Administracja'!I240+'Tab. 6F - Kultura'!I9+'Tab. 6G - Roln i ochrona środ.'!I107</f>
        <v>69355566</v>
      </c>
      <c r="G61" s="987">
        <f>'Tab. 6A -Drogi'!J513+'Tab. 6C - Ochrona zdrowia'!J53+'Tab. 6D - Oświata'!J102+'Tab. 6E - Administracja'!J240+'Tab. 6F - Kultura'!J9+'Tab. 6G - Roln i ochrona środ.'!J107</f>
        <v>21356220</v>
      </c>
      <c r="H61" s="987">
        <f>'Tab. 6A -Drogi'!K513+'Tab. 6C - Ochrona zdrowia'!K53+'Tab. 6D - Oświata'!K102+'Tab. 6E - Administracja'!K240+'Tab. 6F - Kultura'!K9+'Tab. 6G - Roln i ochrona środ.'!K107</f>
        <v>1472245</v>
      </c>
      <c r="I61" s="987">
        <f>'Tab. 6A -Drogi'!L513+'Tab. 6C - Ochrona zdrowia'!L53+'Tab. 6D - Oświata'!L102+'Tab. 6E - Administracja'!L240+'Tab. 6F - Kultura'!L9+'Tab. 6G - Roln i ochrona środ.'!L107</f>
        <v>0</v>
      </c>
      <c r="J61" s="1757">
        <f>'Tab. 6A -Drogi'!D513+'Tab. 6C - Ochrona zdrowia'!D53+'Tab. 6D - Oświata'!D102+'Tab. 6E - Administracja'!D240+'Tab. 6F - Kultura'!D9+'Tab. 6G - Roln i ochrona środ.'!D107</f>
        <v>350998409</v>
      </c>
      <c r="K61" s="1176">
        <f>SUM(C61:I61)</f>
        <v>309697471</v>
      </c>
      <c r="L61" s="1176">
        <f>SUM(D61:I61)</f>
        <v>267110909</v>
      </c>
      <c r="M61" s="3514"/>
      <c r="N61" s="437">
        <f>+C61+D61+E61+F61+G61+H61+I61+B61</f>
        <v>350998409</v>
      </c>
      <c r="O61" s="438">
        <f t="shared" si="25"/>
        <v>0</v>
      </c>
    </row>
    <row r="62" spans="1:15" s="439" customFormat="1" ht="4.5" customHeight="1">
      <c r="A62" s="953"/>
      <c r="B62" s="954"/>
      <c r="C62" s="954"/>
      <c r="D62" s="974"/>
      <c r="E62" s="954"/>
      <c r="F62" s="954"/>
      <c r="G62" s="954"/>
      <c r="H62" s="954"/>
      <c r="I62" s="954"/>
      <c r="J62" s="975"/>
      <c r="K62" s="1762"/>
      <c r="L62" s="1762"/>
      <c r="M62" s="436"/>
      <c r="N62" s="437"/>
      <c r="O62" s="438"/>
    </row>
    <row r="63" spans="1:15" s="969" customFormat="1" ht="18" customHeight="1">
      <c r="A63" s="955" t="s">
        <v>10</v>
      </c>
      <c r="B63" s="956">
        <f>+B64+B73</f>
        <v>405874248.63999999</v>
      </c>
      <c r="C63" s="956">
        <f t="shared" ref="C63:J63" si="26">+C64+C73</f>
        <v>182661583</v>
      </c>
      <c r="D63" s="956">
        <f t="shared" si="26"/>
        <v>242882599</v>
      </c>
      <c r="E63" s="956">
        <f>+E64+E73</f>
        <v>304433263</v>
      </c>
      <c r="F63" s="956">
        <f>+F64+F73</f>
        <v>267574891</v>
      </c>
      <c r="G63" s="956">
        <f>+G64+G73</f>
        <v>47025879</v>
      </c>
      <c r="H63" s="956">
        <f>+H64+H73</f>
        <v>16797841</v>
      </c>
      <c r="I63" s="956">
        <f>+I64+I73</f>
        <v>4236912</v>
      </c>
      <c r="J63" s="1741">
        <f t="shared" si="26"/>
        <v>1505123541.6400001</v>
      </c>
      <c r="K63" s="1751">
        <f>+K64</f>
        <v>981068555</v>
      </c>
      <c r="L63" s="1751">
        <f>+L64</f>
        <v>799797245</v>
      </c>
      <c r="M63" s="979"/>
      <c r="N63" s="437">
        <f>+C63+D63+E63+F63+G63+H63+I63+B63+'Tab. 6C - Ochrona zdrowia'!P92+'Tab. 6C - Ochrona zdrowia'!P97</f>
        <v>1505123541.6399999</v>
      </c>
      <c r="O63" s="438">
        <f t="shared" si="25"/>
        <v>0</v>
      </c>
    </row>
    <row r="64" spans="1:15" s="961" customFormat="1" ht="18" customHeight="1">
      <c r="A64" s="958" t="s">
        <v>11</v>
      </c>
      <c r="B64" s="988">
        <f t="shared" ref="B64" si="27">SUM(B65:B72)</f>
        <v>405349348.63999999</v>
      </c>
      <c r="C64" s="988">
        <f t="shared" ref="C64:J64" si="28">SUM(C65:C72)</f>
        <v>182625551</v>
      </c>
      <c r="D64" s="988">
        <f t="shared" si="28"/>
        <v>235867415</v>
      </c>
      <c r="E64" s="988">
        <f>SUM(E65:E72)</f>
        <v>270790891</v>
      </c>
      <c r="F64" s="988">
        <f t="shared" si="28"/>
        <v>219859792</v>
      </c>
      <c r="G64" s="988">
        <f>SUM(G65:G72)</f>
        <v>30681387</v>
      </c>
      <c r="H64" s="988">
        <f>SUM(H65:H72)</f>
        <v>6705341</v>
      </c>
      <c r="I64" s="988">
        <f>SUM(I65:I72)</f>
        <v>4236912</v>
      </c>
      <c r="J64" s="1758">
        <f t="shared" si="28"/>
        <v>1389752962.6400001</v>
      </c>
      <c r="K64" s="1763">
        <f>SUM(K65:K72)</f>
        <v>981068555</v>
      </c>
      <c r="L64" s="1763">
        <f>SUM(L65:L72)</f>
        <v>799797245</v>
      </c>
      <c r="M64" s="436"/>
      <c r="N64" s="437">
        <f>+C64+D64+E64+F64+G64+H64+I64+B64+'Tab. 6C - Ochrona zdrowia'!P92+'Tab. 6C - Ochrona zdrowia'!P97</f>
        <v>1389752962.6399999</v>
      </c>
      <c r="O64" s="438">
        <f t="shared" si="25"/>
        <v>0</v>
      </c>
    </row>
    <row r="65" spans="1:15" s="439" customFormat="1" ht="16.5" customHeight="1">
      <c r="A65" s="962" t="s">
        <v>31</v>
      </c>
      <c r="B65" s="442">
        <f>+'Tab. 6D - Oświata'!E107+'Tab. 6A -Drogi'!E516+'Tab. 6E - Administracja'!E243+'Tab. 6C - Ochrona zdrowia'!E56+'Tab.6I - Planow. przestrz.'!E103+'Tab. 6G - Roln i ochrona środ.'!E110+'Tab. 6H - Kultura fiz. i turyst'!E253+'Tab. 6D - Oświata'!E97</f>
        <v>390644817</v>
      </c>
      <c r="C65" s="442">
        <f>+'Tab. 6D - Oświata'!F107+'Tab. 6A -Drogi'!F516+'Tab. 6E - Administracja'!F243+'Tab. 6C - Ochrona zdrowia'!F56+'Tab.6I - Planow. przestrz.'!F103+'Tab. 6G - Roln i ochrona środ.'!F110+'Tab. 6H - Kultura fiz. i turyst'!F253+'Tab. 6D - Oświata'!F97</f>
        <v>135966751</v>
      </c>
      <c r="D65" s="442">
        <f>+'Tab. 6D - Oświata'!G107+'Tab. 6A -Drogi'!G516+'Tab. 6E - Administracja'!G243+'Tab. 6C - Ochrona zdrowia'!G56+'Tab.6I - Planow. przestrz.'!G103+'Tab. 6G - Roln i ochrona środ.'!G110+'Tab. 6H - Kultura fiz. i turyst'!G253+'Tab. 6D - Oświata'!G97</f>
        <v>162312681</v>
      </c>
      <c r="E65" s="442">
        <f>+'Tab. 6D - Oświata'!H107+'Tab. 6A -Drogi'!H516+'Tab. 6E - Administracja'!H243+'Tab. 6C - Ochrona zdrowia'!H56+'Tab.6I - Planow. przestrz.'!H103+'Tab. 6G - Roln i ochrona środ.'!H110+'Tab. 6H - Kultura fiz. i turyst'!H253+'Tab. 6D - Oświata'!H97</f>
        <v>189875845</v>
      </c>
      <c r="F65" s="442">
        <f>+'Tab. 6D - Oświata'!I107+'Tab. 6A -Drogi'!I516+'Tab. 6E - Administracja'!I243+'Tab. 6C - Ochrona zdrowia'!I56+'Tab.6I - Planow. przestrz.'!I103+'Tab. 6G - Roln i ochrona środ.'!I110+'Tab. 6H - Kultura fiz. i turyst'!I253+'Tab. 6D - Oświata'!I97</f>
        <v>175444554</v>
      </c>
      <c r="G65" s="442">
        <f>+'Tab. 6D - Oświata'!J107+'Tab. 6A -Drogi'!J516+'Tab. 6E - Administracja'!J243+'Tab. 6C - Ochrona zdrowia'!J56+'Tab.6I - Planow. przestrz.'!J103+'Tab. 6G - Roln i ochrona środ.'!J110+'Tab. 6H - Kultura fiz. i turyst'!J253+'Tab. 6D - Oświata'!J97</f>
        <v>13824446</v>
      </c>
      <c r="H65" s="442">
        <f>+'Tab. 6D - Oświata'!K107+'Tab. 6A -Drogi'!K516+'Tab. 6E - Administracja'!K243+'Tab. 6C - Ochrona zdrowia'!K56+'Tab.6I - Planow. przestrz.'!K103+'Tab. 6G - Roln i ochrona środ.'!K110+'Tab. 6H - Kultura fiz. i turyst'!K253+'Tab. 6D - Oświata'!K97</f>
        <v>5233096</v>
      </c>
      <c r="I65" s="442">
        <f>+'Tab. 6D - Oświata'!L107+'Tab. 6A -Drogi'!L516+'Tab. 6E - Administracja'!L243+'Tab. 6C - Ochrona zdrowia'!L56+'Tab.6I - Planow. przestrz.'!L103+'Tab. 6G - Roln i ochrona środ.'!L110+'Tab. 6H - Kultura fiz. i turyst'!L253+'Tab. 6D - Oświata'!L97</f>
        <v>4236912</v>
      </c>
      <c r="J65" s="1743">
        <f>B65+C65+D65+E65+F65+G65+H65+I65+'Tab. 6C - Ochrona zdrowia'!P92+'Tab. 6C - Ochrona zdrowia'!P97</f>
        <v>1111175427</v>
      </c>
      <c r="K65" s="950">
        <f>SUM(C65:I65)+'Tab. 6C - Ochrona zdrowia'!P92+'Tab. 6C - Ochrona zdrowia'!P97</f>
        <v>720530610</v>
      </c>
      <c r="L65" s="950">
        <f>SUM(D65:I65)+'Tab. 6C - Ochrona zdrowia'!P92+'Tab. 6C - Ochrona zdrowia'!P97</f>
        <v>584563859</v>
      </c>
      <c r="M65" s="3514"/>
      <c r="N65" s="437">
        <f>+C65+D65+E65+F65+G65+H65+I65+B65+'Tab. 6C - Ochrona zdrowia'!P92+'Tab. 6C - Ochrona zdrowia'!P97</f>
        <v>1111175427</v>
      </c>
      <c r="O65" s="438">
        <f t="shared" si="25"/>
        <v>0</v>
      </c>
    </row>
    <row r="66" spans="1:15" s="439" customFormat="1" ht="15.75" customHeight="1">
      <c r="A66" s="440" t="s">
        <v>16</v>
      </c>
      <c r="B66" s="441">
        <f>+'Tab. 6A -Drogi'!E519+'Tab. 6G - Roln i ochrona środ.'!E114+'Tab. 6H - Kultura fiz. i turyst'!E13</f>
        <v>0</v>
      </c>
      <c r="C66" s="442">
        <f>+'Tab. 6A -Drogi'!F519+'Tab. 6G - Roln i ochrona środ.'!F114+'Tab. 6H - Kultura fiz. i turyst'!F254</f>
        <v>10003578</v>
      </c>
      <c r="D66" s="442">
        <f>+'Tab. 6A -Drogi'!G519+'Tab. 6G - Roln i ochrona środ.'!G114+'Tab. 6H - Kultura fiz. i turyst'!G254</f>
        <v>21778500</v>
      </c>
      <c r="E66" s="442">
        <f>+'Tab. 6A -Drogi'!H519+'Tab. 6G - Roln i ochrona środ.'!H114+'Tab. 6H - Kultura fiz. i turyst'!H254</f>
        <v>16484263</v>
      </c>
      <c r="F66" s="442">
        <f>+'Tab. 6A -Drogi'!I519+'Tab. 6G - Roln i ochrona środ.'!I114+'Tab. 6H - Kultura fiz. i turyst'!I254</f>
        <v>14182860</v>
      </c>
      <c r="G66" s="441">
        <f>+'Tab. 6A -Drogi'!J519+'Tab. 6G - Roln i ochrona środ.'!J114+'Tab. 6H - Kultura fiz. i turyst'!J254</f>
        <v>0</v>
      </c>
      <c r="H66" s="441">
        <f>+'Tab. 6A -Drogi'!K519+'Tab. 6G - Roln i ochrona środ.'!K114+'Tab. 6H - Kultura fiz. i turyst'!K254</f>
        <v>0</v>
      </c>
      <c r="I66" s="441">
        <f>+'Tab. 6A -Drogi'!L519+'Tab. 6G - Roln i ochrona środ.'!L114+'Tab. 6H - Kultura fiz. i turyst'!L254</f>
        <v>0</v>
      </c>
      <c r="J66" s="1743">
        <f t="shared" ref="J66:J72" si="29">B66+C66+D66+E66+F66+G66+H66+I66</f>
        <v>62449201</v>
      </c>
      <c r="K66" s="950">
        <f t="shared" ref="K66" si="30">SUM(C66:I66)</f>
        <v>62449201</v>
      </c>
      <c r="L66" s="950">
        <f>SUM(D66:I66)</f>
        <v>52445623</v>
      </c>
      <c r="M66" s="3514"/>
      <c r="N66" s="437">
        <f>+C66+D66+E66+F66+G66+H66+I66+B66</f>
        <v>62449201</v>
      </c>
      <c r="O66" s="438">
        <f t="shared" si="25"/>
        <v>0</v>
      </c>
    </row>
    <row r="67" spans="1:15" s="439" customFormat="1" ht="15.75" customHeight="1">
      <c r="A67" s="440" t="s">
        <v>32</v>
      </c>
      <c r="B67" s="442">
        <f>+'Tab. 6F - Kultura'!E12+'Tab. 6C - Ochrona zdrowia'!E57</f>
        <v>1793399.64</v>
      </c>
      <c r="C67" s="442">
        <f>+'Tab. 6F - Kultura'!F12+'Tab. 6C - Ochrona zdrowia'!F57</f>
        <v>1354241</v>
      </c>
      <c r="D67" s="442">
        <f>+'Tab. 6F - Kultura'!G12+'Tab. 6C - Ochrona zdrowia'!G57</f>
        <v>1940818</v>
      </c>
      <c r="E67" s="442">
        <f>+'Tab. 6F - Kultura'!H12+'Tab. 6C - Ochrona zdrowia'!H57</f>
        <v>40000</v>
      </c>
      <c r="F67" s="441">
        <f>+'Tab. 6F - Kultura'!I12+'Tab. 6C - Ochrona zdrowia'!I57</f>
        <v>0</v>
      </c>
      <c r="G67" s="441">
        <f>+'Tab. 6F - Kultura'!J12+'Tab. 6C - Ochrona zdrowia'!J57</f>
        <v>0</v>
      </c>
      <c r="H67" s="441">
        <f>+'Tab. 6F - Kultura'!K12+'Tab. 6C - Ochrona zdrowia'!K57</f>
        <v>0</v>
      </c>
      <c r="I67" s="441">
        <f>+'Tab. 6F - Kultura'!L12+'Tab. 6C - Ochrona zdrowia'!L57+'Tab. 6H - Kultura fiz. i turyst'!L13</f>
        <v>0</v>
      </c>
      <c r="J67" s="1743">
        <f t="shared" si="29"/>
        <v>5128458.6399999997</v>
      </c>
      <c r="K67" s="1520" t="s">
        <v>61</v>
      </c>
      <c r="L67" s="1520" t="s">
        <v>61</v>
      </c>
      <c r="M67" s="436"/>
      <c r="N67" s="437">
        <f t="shared" ref="N67:N74" si="31">+C67+D67+E67+F67+G67+H67+I67+B67</f>
        <v>5128458.6399999997</v>
      </c>
      <c r="O67" s="438">
        <f t="shared" si="25"/>
        <v>0</v>
      </c>
    </row>
    <row r="68" spans="1:15" s="439" customFormat="1" ht="15.75" customHeight="1">
      <c r="A68" s="962" t="s">
        <v>33</v>
      </c>
      <c r="B68" s="442">
        <f>+'Tab. 6F - Kultura'!E13+'Tab. 6C - Ochrona zdrowia'!E58+'Tab. 6D - Oświata'!E106+'Tab. 6H - Kultura fiz. i turyst'!E262</f>
        <v>8217368</v>
      </c>
      <c r="C68" s="442">
        <f>+'Tab. 6F - Kultura'!F13+'Tab. 6C - Ochrona zdrowia'!F58+'Tab. 6D - Oświata'!F106+'Tab. 6H - Kultura fiz. i turyst'!F262</f>
        <v>7874823</v>
      </c>
      <c r="D68" s="442">
        <f>+'Tab. 6F - Kultura'!G13+'Tab. 6C - Ochrona zdrowia'!G58+'Tab. 6D - Oświata'!G106+'Tab. 6H - Kultura fiz. i turyst'!G262</f>
        <v>19795420</v>
      </c>
      <c r="E68" s="442">
        <f>+'Tab. 6F - Kultura'!H13+'Tab. 6C - Ochrona zdrowia'!H58+'Tab. 6D - Oświata'!H106+'Tab. 6H - Kultura fiz. i turyst'!H262</f>
        <v>64390783</v>
      </c>
      <c r="F68" s="442">
        <f>+'Tab. 6F - Kultura'!I13+'Tab. 6C - Ochrona zdrowia'!I58+'Tab. 6D - Oświata'!I106+'Tab. 6H - Kultura fiz. i turyst'!I262</f>
        <v>30232378</v>
      </c>
      <c r="G68" s="442">
        <f>+'Tab. 6F - Kultura'!J13+'Tab. 6C - Ochrona zdrowia'!J58+'Tab. 6D - Oświata'!J106+'Tab. 6H - Kultura fiz. i turyst'!J262</f>
        <v>16856941</v>
      </c>
      <c r="H68" s="442">
        <f>+'Tab. 6F - Kultura'!K13+'Tab. 6C - Ochrona zdrowia'!K58+'Tab. 6D - Oświata'!K106+'Tab. 6H - Kultura fiz. i turyst'!K262</f>
        <v>1472245</v>
      </c>
      <c r="I68" s="441">
        <f>+'Tab. 6F - Kultura'!L13+'Tab. 6C - Ochrona zdrowia'!L58+'Tab. 6D - Oświata'!L106+'Tab. 6H - Kultura fiz. i turyst'!L262</f>
        <v>0</v>
      </c>
      <c r="J68" s="1743">
        <f t="shared" si="29"/>
        <v>148839958</v>
      </c>
      <c r="K68" s="950">
        <f t="shared" ref="K68:K72" si="32">SUM(C68:I68)</f>
        <v>140622590</v>
      </c>
      <c r="L68" s="950">
        <f>SUM(D68:I68)</f>
        <v>132747767</v>
      </c>
      <c r="M68" s="3514"/>
      <c r="N68" s="437">
        <f t="shared" si="31"/>
        <v>148839958</v>
      </c>
      <c r="O68" s="438">
        <f t="shared" si="25"/>
        <v>0</v>
      </c>
    </row>
    <row r="69" spans="1:15" s="439" customFormat="1" ht="15.75" customHeight="1">
      <c r="A69" s="440" t="s">
        <v>15</v>
      </c>
      <c r="B69" s="442">
        <f>+'Tab. 6A -Drogi'!E518+'Tab. 6C - Ochrona zdrowia'!E61</f>
        <v>4693764</v>
      </c>
      <c r="C69" s="442">
        <f>+'Tab. 6A -Drogi'!F518+'Tab. 6C - Ochrona zdrowia'!F61</f>
        <v>4000167</v>
      </c>
      <c r="D69" s="442">
        <f>+'Tab. 6A -Drogi'!G518+'Tab. 6C - Ochrona zdrowia'!G61</f>
        <v>4422259</v>
      </c>
      <c r="E69" s="441">
        <f>+'Tab. 6A -Drogi'!H518+'Tab. 6C - Ochrona zdrowia'!H61</f>
        <v>0</v>
      </c>
      <c r="F69" s="441">
        <f>+'Tab. 6A -Drogi'!I518+'Tab. 6C - Ochrona zdrowia'!I61</f>
        <v>0</v>
      </c>
      <c r="G69" s="441">
        <f>+'Tab. 6A -Drogi'!J518+'Tab. 6C - Ochrona zdrowia'!J61</f>
        <v>0</v>
      </c>
      <c r="H69" s="441">
        <f>+'Tab. 6A -Drogi'!K518+'Tab. 6C - Ochrona zdrowia'!K61</f>
        <v>0</v>
      </c>
      <c r="I69" s="441">
        <f>+'Tab. 6A -Drogi'!L518+'Tab. 6C - Ochrona zdrowia'!L61</f>
        <v>0</v>
      </c>
      <c r="J69" s="1743">
        <f t="shared" si="29"/>
        <v>13116190</v>
      </c>
      <c r="K69" s="950">
        <f t="shared" si="32"/>
        <v>8422426</v>
      </c>
      <c r="L69" s="950">
        <f>SUM(D69:I69)</f>
        <v>4422259</v>
      </c>
      <c r="M69" s="3514"/>
      <c r="N69" s="437">
        <f t="shared" si="31"/>
        <v>13116190</v>
      </c>
      <c r="O69" s="438">
        <f t="shared" si="25"/>
        <v>0</v>
      </c>
    </row>
    <row r="70" spans="1:15" s="439" customFormat="1" ht="12.75" customHeight="1">
      <c r="A70" s="440" t="s">
        <v>13</v>
      </c>
      <c r="B70" s="442">
        <f>+'Tab. 6A -Drogi'!E517+'Tab. 6C - Ochrona zdrowia'!E59</f>
        <v>0</v>
      </c>
      <c r="C70" s="442">
        <f>+'Tab. 6A -Drogi'!F517+'Tab. 6C - Ochrona zdrowia'!F59</f>
        <v>23425991</v>
      </c>
      <c r="D70" s="442">
        <f>+'Tab. 6A -Drogi'!G517+'Tab. 6C - Ochrona zdrowia'!G59</f>
        <v>25617737</v>
      </c>
      <c r="E70" s="441">
        <f>+'Tab. 6A -Drogi'!H517+'Tab. 6C - Ochrona zdrowia'!H59</f>
        <v>0</v>
      </c>
      <c r="F70" s="441">
        <f>+'Tab. 6A -Drogi'!I517+'Tab. 6C - Ochrona zdrowia'!I59</f>
        <v>0</v>
      </c>
      <c r="G70" s="441">
        <f>+'Tab. 6A -Drogi'!J517+'Tab. 6C - Ochrona zdrowia'!J59</f>
        <v>0</v>
      </c>
      <c r="H70" s="441">
        <f>+'Tab. 6A -Drogi'!K517+'Tab. 6C - Ochrona zdrowia'!K59</f>
        <v>0</v>
      </c>
      <c r="I70" s="441">
        <f>+'Tab. 6A -Drogi'!L517+'Tab. 6C - Ochrona zdrowia'!L59</f>
        <v>0</v>
      </c>
      <c r="J70" s="1743">
        <f t="shared" si="29"/>
        <v>49043728</v>
      </c>
      <c r="K70" s="950">
        <f t="shared" si="32"/>
        <v>49043728</v>
      </c>
      <c r="L70" s="950">
        <f>SUM(D70:I70)</f>
        <v>25617737</v>
      </c>
      <c r="M70" s="3514"/>
      <c r="N70" s="437">
        <f t="shared" si="31"/>
        <v>49043728</v>
      </c>
      <c r="O70" s="438">
        <f t="shared" si="25"/>
        <v>0</v>
      </c>
    </row>
    <row r="71" spans="1:15" s="439" customFormat="1" ht="13.5" hidden="1" customHeight="1">
      <c r="A71" s="989" t="s">
        <v>34</v>
      </c>
      <c r="B71" s="442">
        <v>0</v>
      </c>
      <c r="C71" s="441">
        <f>+'Tab. 6C - Ochrona zdrowia'!F60</f>
        <v>0</v>
      </c>
      <c r="D71" s="441">
        <f>+'Tab. 6D - Oświata'!G105</f>
        <v>0</v>
      </c>
      <c r="E71" s="441">
        <f>+'Tab. 6D - Oświata'!H105</f>
        <v>0</v>
      </c>
      <c r="F71" s="441">
        <f>+'Tab. 6D - Oświata'!I105</f>
        <v>0</v>
      </c>
      <c r="G71" s="441">
        <f>+'Tab. 6D - Oświata'!J105</f>
        <v>0</v>
      </c>
      <c r="H71" s="441">
        <f>+'Tab. 6D - Oświata'!K105</f>
        <v>0</v>
      </c>
      <c r="I71" s="441">
        <f>+'Tab. 6D - Oświata'!L105</f>
        <v>0</v>
      </c>
      <c r="J71" s="1743">
        <f t="shared" si="29"/>
        <v>0</v>
      </c>
      <c r="K71" s="950">
        <f t="shared" si="32"/>
        <v>0</v>
      </c>
      <c r="L71" s="950">
        <f>SUM(D71:I71)+'Tab. 6C - Ochrona zdrowia'!P102+'Tab. 6C - Ochrona zdrowia'!P107</f>
        <v>0</v>
      </c>
      <c r="M71" s="436"/>
      <c r="N71" s="437">
        <f t="shared" si="31"/>
        <v>0</v>
      </c>
      <c r="O71" s="438">
        <f t="shared" si="25"/>
        <v>0</v>
      </c>
    </row>
    <row r="72" spans="1:15" s="439" customFormat="1" ht="15.75" hidden="1" customHeight="1">
      <c r="A72" s="440" t="s">
        <v>14</v>
      </c>
      <c r="B72" s="441">
        <f>+'Tab. 6G - Roln i ochrona środ.'!E113+'Tab. 6E - Administracja'!E260</f>
        <v>0</v>
      </c>
      <c r="C72" s="442">
        <f>'Tab. 6G - Roln i ochrona środ.'!F113</f>
        <v>0</v>
      </c>
      <c r="D72" s="442">
        <f>'Tab. 6G - Roln i ochrona środ.'!G113</f>
        <v>0</v>
      </c>
      <c r="E72" s="442">
        <f>'Tab. 6G - Roln i ochrona środ.'!H113</f>
        <v>0</v>
      </c>
      <c r="F72" s="442">
        <f>'Tab. 6G - Roln i ochrona środ.'!I113</f>
        <v>0</v>
      </c>
      <c r="G72" s="442">
        <f>'Tab. 6G - Roln i ochrona środ.'!J113</f>
        <v>0</v>
      </c>
      <c r="H72" s="442">
        <f>'Tab. 6G - Roln i ochrona środ.'!K113</f>
        <v>0</v>
      </c>
      <c r="I72" s="441">
        <f>'Tab. 6G - Roln i ochrona środ.'!L113</f>
        <v>0</v>
      </c>
      <c r="J72" s="1743">
        <f t="shared" si="29"/>
        <v>0</v>
      </c>
      <c r="K72" s="950">
        <f t="shared" si="32"/>
        <v>0</v>
      </c>
      <c r="L72" s="950">
        <f>SUM(D72:I72)</f>
        <v>0</v>
      </c>
      <c r="M72" s="3514"/>
      <c r="N72" s="437">
        <f t="shared" si="31"/>
        <v>0</v>
      </c>
      <c r="O72" s="438">
        <f t="shared" si="25"/>
        <v>0</v>
      </c>
    </row>
    <row r="73" spans="1:15" s="439" customFormat="1" ht="18" customHeight="1">
      <c r="A73" s="433" t="s">
        <v>18</v>
      </c>
      <c r="B73" s="826">
        <f t="shared" ref="B73:I73" si="33">SUM(B74:B74)</f>
        <v>524900</v>
      </c>
      <c r="C73" s="434">
        <f t="shared" si="33"/>
        <v>36032</v>
      </c>
      <c r="D73" s="434">
        <f t="shared" si="33"/>
        <v>7015184</v>
      </c>
      <c r="E73" s="434">
        <f t="shared" si="33"/>
        <v>33642372</v>
      </c>
      <c r="F73" s="434">
        <f t="shared" si="33"/>
        <v>47715099</v>
      </c>
      <c r="G73" s="434">
        <f t="shared" si="33"/>
        <v>16344492</v>
      </c>
      <c r="H73" s="434">
        <f t="shared" si="33"/>
        <v>10092500</v>
      </c>
      <c r="I73" s="435">
        <f t="shared" si="33"/>
        <v>0</v>
      </c>
      <c r="J73" s="1744">
        <f>+J74</f>
        <v>115370579</v>
      </c>
      <c r="K73" s="1764" t="s">
        <v>61</v>
      </c>
      <c r="L73" s="1764" t="s">
        <v>61</v>
      </c>
      <c r="M73" s="436"/>
      <c r="N73" s="437">
        <f t="shared" si="31"/>
        <v>115370579</v>
      </c>
      <c r="O73" s="438">
        <f t="shared" si="25"/>
        <v>0</v>
      </c>
    </row>
    <row r="74" spans="1:15" s="439" customFormat="1" ht="16.5" customHeight="1">
      <c r="A74" s="440" t="s">
        <v>35</v>
      </c>
      <c r="B74" s="442">
        <f>+'Tab. 6D - Oświata'!E109+'Tab. 6F - Kultura'!E16+'Tab. 6C - Ochrona zdrowia'!E63</f>
        <v>524900</v>
      </c>
      <c r="C74" s="442">
        <f>+'Tab. 6D - Oświata'!F109+'Tab. 6F - Kultura'!F16+'Tab. 6C - Ochrona zdrowia'!F63</f>
        <v>36032</v>
      </c>
      <c r="D74" s="442">
        <f>+'Tab. 6D - Oświata'!G109+'Tab. 6F - Kultura'!G16+'Tab. 6C - Ochrona zdrowia'!G63</f>
        <v>7015184</v>
      </c>
      <c r="E74" s="442">
        <f>+'Tab. 6D - Oświata'!H109+'Tab. 6F - Kultura'!H16+'Tab. 6C - Ochrona zdrowia'!H63</f>
        <v>33642372</v>
      </c>
      <c r="F74" s="442">
        <f>+'Tab. 6D - Oświata'!I109+'Tab. 6F - Kultura'!I16+'Tab. 6C - Ochrona zdrowia'!I63</f>
        <v>47715099</v>
      </c>
      <c r="G74" s="442">
        <f>+'Tab. 6D - Oświata'!J109+'Tab. 6F - Kultura'!J16+'Tab. 6C - Ochrona zdrowia'!J63</f>
        <v>16344492</v>
      </c>
      <c r="H74" s="442">
        <f>+'Tab. 6D - Oświata'!K109+'Tab. 6F - Kultura'!K16+'Tab. 6C - Ochrona zdrowia'!K63</f>
        <v>10092500</v>
      </c>
      <c r="I74" s="441">
        <f>+'Tab. 6D - Oświata'!L109+'Tab. 6F - Kultura'!L16+'Tab. 6C - Ochrona zdrowia'!L63</f>
        <v>0</v>
      </c>
      <c r="J74" s="1743">
        <f>B74+C74+D74+E74+F74+G74+H74+I74</f>
        <v>115370579</v>
      </c>
      <c r="K74" s="1521" t="s">
        <v>61</v>
      </c>
      <c r="L74" s="1521" t="s">
        <v>61</v>
      </c>
      <c r="M74" s="436"/>
      <c r="N74" s="437">
        <f t="shared" si="31"/>
        <v>115370579</v>
      </c>
      <c r="O74" s="438">
        <f t="shared" si="25"/>
        <v>0</v>
      </c>
    </row>
    <row r="75" spans="1:15" s="957" customFormat="1" ht="18" customHeight="1">
      <c r="A75" s="955" t="s">
        <v>22</v>
      </c>
      <c r="B75" s="825">
        <f>+B76+B82</f>
        <v>57289196</v>
      </c>
      <c r="C75" s="825">
        <f t="shared" ref="C75:F75" si="34">+C76+C82</f>
        <v>49835889</v>
      </c>
      <c r="D75" s="825">
        <f t="shared" si="34"/>
        <v>71618315</v>
      </c>
      <c r="E75" s="825">
        <f t="shared" si="34"/>
        <v>79529107</v>
      </c>
      <c r="F75" s="825">
        <f t="shared" si="34"/>
        <v>90141634</v>
      </c>
      <c r="G75" s="825">
        <f t="shared" ref="G75:I75" si="35">+G76+G82</f>
        <v>22019565</v>
      </c>
      <c r="H75" s="825">
        <f t="shared" si="35"/>
        <v>11743229</v>
      </c>
      <c r="I75" s="1278">
        <f t="shared" si="35"/>
        <v>0</v>
      </c>
      <c r="J75" s="1759">
        <f t="shared" ref="J75" si="36">+J76+J82</f>
        <v>382176935</v>
      </c>
      <c r="K75" s="3612" t="s">
        <v>23</v>
      </c>
      <c r="L75" s="3612" t="s">
        <v>23</v>
      </c>
      <c r="M75" s="979"/>
    </row>
    <row r="76" spans="1:15" s="439" customFormat="1" ht="15" customHeight="1">
      <c r="A76" s="433" t="s">
        <v>24</v>
      </c>
      <c r="B76" s="826">
        <f>SUM(B77:B81)</f>
        <v>56764296</v>
      </c>
      <c r="C76" s="826">
        <f t="shared" ref="C76:F76" si="37">SUM(C77:C81)</f>
        <v>49825689</v>
      </c>
      <c r="D76" s="826">
        <f t="shared" si="37"/>
        <v>64862650</v>
      </c>
      <c r="E76" s="826">
        <f t="shared" si="37"/>
        <v>46221384</v>
      </c>
      <c r="F76" s="826">
        <f t="shared" si="37"/>
        <v>41806535</v>
      </c>
      <c r="G76" s="826">
        <f t="shared" ref="G76:I76" si="38">SUM(G77:G81)</f>
        <v>5675073</v>
      </c>
      <c r="H76" s="826">
        <f t="shared" si="38"/>
        <v>1650729</v>
      </c>
      <c r="I76" s="991">
        <f t="shared" si="38"/>
        <v>0</v>
      </c>
      <c r="J76" s="1746">
        <f>SUM(J77:J81)</f>
        <v>266806356</v>
      </c>
      <c r="K76" s="3613"/>
      <c r="L76" s="3613"/>
      <c r="M76" s="436" t="s">
        <v>206</v>
      </c>
    </row>
    <row r="77" spans="1:15" s="439" customFormat="1" ht="15.75" customHeight="1">
      <c r="A77" s="440" t="s">
        <v>13</v>
      </c>
      <c r="B77" s="827">
        <f>+'Tab. 6C - Ochrona zdrowia'!E66+'Tab. 6A -Drogi'!E523</f>
        <v>0</v>
      </c>
      <c r="C77" s="242">
        <f>+'Tab. 6C - Ochrona zdrowia'!F66+'Tab. 6A -Drogi'!F523</f>
        <v>23425991</v>
      </c>
      <c r="D77" s="442">
        <f>+'Tab. 6C - Ochrona zdrowia'!G66+'Tab. 6A -Drogi'!G523</f>
        <v>25617737</v>
      </c>
      <c r="E77" s="990">
        <f>+'Tab. 6C - Ochrona zdrowia'!H66+'Tab. 6A -Drogi'!H523</f>
        <v>0</v>
      </c>
      <c r="F77" s="990">
        <f>+'Tab. 6C - Ochrona zdrowia'!I66+'Tab. 6A -Drogi'!I523</f>
        <v>0</v>
      </c>
      <c r="G77" s="990">
        <f>+'Tab. 6C - Ochrona zdrowia'!J66+'Tab. 6A -Drogi'!J523</f>
        <v>0</v>
      </c>
      <c r="H77" s="990">
        <f>+'Tab. 6C - Ochrona zdrowia'!K66+'Tab. 6A -Drogi'!K523</f>
        <v>0</v>
      </c>
      <c r="I77" s="990">
        <f>+'Tab. 6C - Ochrona zdrowia'!L66+'Tab. 6A -Drogi'!L523</f>
        <v>0</v>
      </c>
      <c r="J77" s="1743">
        <f>B77+C77+D77+E77+F77+G77+H77+I77</f>
        <v>49043728</v>
      </c>
      <c r="K77" s="3613"/>
      <c r="L77" s="3613"/>
      <c r="M77" s="436">
        <f>J77-J70</f>
        <v>0</v>
      </c>
    </row>
    <row r="78" spans="1:15" s="439" customFormat="1" ht="15" customHeight="1">
      <c r="A78" s="440" t="s">
        <v>15</v>
      </c>
      <c r="B78" s="827">
        <f>+'Tab. 6A -Drogi'!E524+'Tab. 6C - Ochrona zdrowia'!E67</f>
        <v>4693764</v>
      </c>
      <c r="C78" s="242">
        <f>+'Tab. 6A -Drogi'!F524+'Tab. 6C - Ochrona zdrowia'!F67</f>
        <v>4000167</v>
      </c>
      <c r="D78" s="242">
        <f>+'Tab. 6A -Drogi'!G524+'Tab. 6C - Ochrona zdrowia'!G67</f>
        <v>4422259</v>
      </c>
      <c r="E78" s="990">
        <f>+'Tab. 6A -Drogi'!H524+'Tab. 6C - Ochrona zdrowia'!H67</f>
        <v>0</v>
      </c>
      <c r="F78" s="990">
        <f>+'Tab. 6A -Drogi'!I524+'Tab. 6C - Ochrona zdrowia'!I67</f>
        <v>0</v>
      </c>
      <c r="G78" s="990">
        <f>+'Tab. 6A -Drogi'!J524+'Tab. 6C - Ochrona zdrowia'!J67</f>
        <v>0</v>
      </c>
      <c r="H78" s="990">
        <f>+'Tab. 6A -Drogi'!K524+'Tab. 6C - Ochrona zdrowia'!K67</f>
        <v>0</v>
      </c>
      <c r="I78" s="990">
        <f>+'Tab. 6A -Drogi'!L524+'Tab. 6C - Ochrona zdrowia'!L67</f>
        <v>0</v>
      </c>
      <c r="J78" s="1743">
        <f>B78+C78+D78+E78+F78+G78+H78+I78</f>
        <v>13116190</v>
      </c>
      <c r="K78" s="3613"/>
      <c r="L78" s="3613"/>
      <c r="M78" s="436">
        <f>J78-J69</f>
        <v>0</v>
      </c>
    </row>
    <row r="79" spans="1:15" s="439" customFormat="1" ht="15" customHeight="1">
      <c r="A79" s="440" t="s">
        <v>16</v>
      </c>
      <c r="B79" s="827">
        <f>+'Tab. 6A -Drogi'!E525+'Tab. 6G - Roln i ochrona środ.'!E120</f>
        <v>28772061</v>
      </c>
      <c r="C79" s="827">
        <f>+'Tab. 6A -Drogi'!F525+'Tab. 6G - Roln i ochrona środ.'!F120</f>
        <v>8419285</v>
      </c>
      <c r="D79" s="827">
        <f>+'Tab. 6A -Drogi'!G525+'Tab. 6G - Roln i ochrona środ.'!G120</f>
        <v>8419285</v>
      </c>
      <c r="E79" s="827">
        <f>+'Tab. 6A -Drogi'!H525+'Tab. 6G - Roln i ochrona środ.'!H120</f>
        <v>8419285</v>
      </c>
      <c r="F79" s="827">
        <f>+'Tab. 6A -Drogi'!I525+'Tab. 6G - Roln i ochrona środ.'!I120</f>
        <v>8419285</v>
      </c>
      <c r="G79" s="970">
        <f>+'Tab. 6A -Drogi'!J525+'Tab. 6G - Roln i ochrona środ.'!J120</f>
        <v>0</v>
      </c>
      <c r="H79" s="970">
        <f>+'Tab. 6A -Drogi'!K525+'Tab. 6G - Roln i ochrona środ.'!K120</f>
        <v>0</v>
      </c>
      <c r="I79" s="970">
        <f>+'Tab. 6A -Drogi'!L525+'Tab. 6G - Roln i ochrona środ.'!L120</f>
        <v>0</v>
      </c>
      <c r="J79" s="1743">
        <f>B79+C79+D79+E79+F79+G79+H79+I79</f>
        <v>62449201</v>
      </c>
      <c r="K79" s="3613"/>
      <c r="L79" s="3613"/>
      <c r="M79" s="436">
        <f>J79-J66</f>
        <v>0</v>
      </c>
    </row>
    <row r="80" spans="1:15" s="439" customFormat="1" ht="14.25" customHeight="1">
      <c r="A80" s="962" t="s">
        <v>185</v>
      </c>
      <c r="B80" s="828">
        <f>+'Tab. 6F - Kultura'!E19+'Tab. 6D - Oświata'!E113+'Tab. 6A -Drogi'!E522</f>
        <v>23298471</v>
      </c>
      <c r="C80" s="963">
        <f>+'Tab. 6F - Kultura'!F19+'Tab. 6D - Oświata'!F113+'Tab. 6A -Drogi'!F522</f>
        <v>13980246</v>
      </c>
      <c r="D80" s="963">
        <f>+'Tab. 6F - Kultura'!G19+'Tab. 6D - Oświata'!G113+'Tab. 6A -Drogi'!G522</f>
        <v>26403369</v>
      </c>
      <c r="E80" s="963">
        <f>+'Tab. 6F - Kultura'!H19+'Tab. 6D - Oświata'!H113+'Tab. 6A -Drogi'!H522</f>
        <v>37802099</v>
      </c>
      <c r="F80" s="963">
        <f>+'Tab. 6F - Kultura'!I19+'Tab. 6D - Oświata'!I113+'Tab. 6A -Drogi'!I522</f>
        <v>33387250</v>
      </c>
      <c r="G80" s="963">
        <f>+'Tab. 6F - Kultura'!J19+'Tab. 6D - Oświata'!J113+'Tab. 6A -Drogi'!J522</f>
        <v>5675073</v>
      </c>
      <c r="H80" s="963">
        <f>+'Tab. 6F - Kultura'!K19+'Tab. 6D - Oświata'!K113+'Tab. 6A -Drogi'!K522</f>
        <v>1650729</v>
      </c>
      <c r="I80" s="964">
        <f>+'Tab. 6F - Kultura'!L19+'Tab. 6D - Oświata'!L113+'Tab. 6A -Drogi'!L522</f>
        <v>0</v>
      </c>
      <c r="J80" s="1743">
        <f>B80+C80+D80+E80+F80+G80+H80+I80</f>
        <v>142197237</v>
      </c>
      <c r="K80" s="3613"/>
      <c r="L80" s="3613"/>
      <c r="M80" s="436"/>
    </row>
    <row r="81" spans="1:15" s="439" customFormat="1" ht="15" hidden="1" customHeight="1">
      <c r="A81" s="440" t="s">
        <v>14</v>
      </c>
      <c r="B81" s="970">
        <f>+'Tab. 6G - Roln i ochrona środ.'!E119+'Tab. 6E - Administracja'!E263</f>
        <v>0</v>
      </c>
      <c r="C81" s="963">
        <f>+'Tab. 6G - Roln i ochrona środ.'!F119</f>
        <v>0</v>
      </c>
      <c r="D81" s="963">
        <f>+'Tab. 6G - Roln i ochrona środ.'!G119</f>
        <v>0</v>
      </c>
      <c r="E81" s="963">
        <f>+'Tab. 6G - Roln i ochrona środ.'!H119</f>
        <v>0</v>
      </c>
      <c r="F81" s="963">
        <f>+'Tab. 6G - Roln i ochrona środ.'!I119</f>
        <v>0</v>
      </c>
      <c r="G81" s="963">
        <f>+'Tab. 6G - Roln i ochrona środ.'!J119</f>
        <v>0</v>
      </c>
      <c r="H81" s="963">
        <f>+'Tab. 6G - Roln i ochrona środ.'!K119</f>
        <v>0</v>
      </c>
      <c r="I81" s="990">
        <f>+'Tab. 6G - Roln i ochrona środ.'!L119</f>
        <v>0</v>
      </c>
      <c r="J81" s="1743">
        <f>B81+C81+D81+E81+F81+G81+H81+I81</f>
        <v>0</v>
      </c>
      <c r="K81" s="3613"/>
      <c r="L81" s="3613"/>
      <c r="M81" s="436">
        <f>J81-J72</f>
        <v>0</v>
      </c>
    </row>
    <row r="82" spans="1:15" s="439" customFormat="1" ht="14.25" customHeight="1">
      <c r="A82" s="433" t="s">
        <v>18</v>
      </c>
      <c r="B82" s="826">
        <f t="shared" ref="B82:I82" si="39">SUM(B83:B83)</f>
        <v>524900</v>
      </c>
      <c r="C82" s="829">
        <f t="shared" si="39"/>
        <v>10200</v>
      </c>
      <c r="D82" s="829">
        <f t="shared" si="39"/>
        <v>6755665</v>
      </c>
      <c r="E82" s="829">
        <f t="shared" si="39"/>
        <v>33307723</v>
      </c>
      <c r="F82" s="829">
        <f t="shared" si="39"/>
        <v>48335099</v>
      </c>
      <c r="G82" s="829">
        <f t="shared" si="39"/>
        <v>16344492</v>
      </c>
      <c r="H82" s="829">
        <f t="shared" si="39"/>
        <v>10092500</v>
      </c>
      <c r="I82" s="992">
        <f t="shared" si="39"/>
        <v>0</v>
      </c>
      <c r="J82" s="1760">
        <f>+J83</f>
        <v>115370579</v>
      </c>
      <c r="K82" s="3613"/>
      <c r="L82" s="3613"/>
      <c r="M82" s="436"/>
    </row>
    <row r="83" spans="1:15" s="439" customFormat="1" ht="15.75" customHeight="1" thickBot="1">
      <c r="A83" s="993" t="s">
        <v>35</v>
      </c>
      <c r="B83" s="2516">
        <f>+'Tab. 6D - Oświata'!E115+'Tab. 6F - Kultura'!E22+'Tab. 6C - Ochrona zdrowia'!E69</f>
        <v>524900</v>
      </c>
      <c r="C83" s="1279">
        <f>+'Tab. 6D - Oświata'!F115+'Tab. 6F - Kultura'!F22+'Tab. 6C - Ochrona zdrowia'!F69</f>
        <v>10200</v>
      </c>
      <c r="D83" s="995">
        <f>+'Tab. 6D - Oświata'!G115+'Tab. 6F - Kultura'!G22+'Tab. 6C - Ochrona zdrowia'!G69</f>
        <v>6755665</v>
      </c>
      <c r="E83" s="995">
        <f>+'Tab. 6D - Oświata'!H115+'Tab. 6F - Kultura'!H22+'Tab. 6C - Ochrona zdrowia'!H69</f>
        <v>33307723</v>
      </c>
      <c r="F83" s="995">
        <f>+'Tab. 6D - Oświata'!I115+'Tab. 6F - Kultura'!I22+'Tab. 6C - Ochrona zdrowia'!I69</f>
        <v>48335099</v>
      </c>
      <c r="G83" s="995">
        <f>+'Tab. 6D - Oświata'!J115+'Tab. 6F - Kultura'!J22+'Tab. 6C - Ochrona zdrowia'!J69</f>
        <v>16344492</v>
      </c>
      <c r="H83" s="995">
        <f>+'Tab. 6D - Oświata'!K115+'Tab. 6F - Kultura'!K22+'Tab. 6C - Ochrona zdrowia'!K69</f>
        <v>10092500</v>
      </c>
      <c r="I83" s="994">
        <f>+'Tab. 6D - Oświata'!L115+'Tab. 6F - Kultura'!L22+'Tab. 6C - Ochrona zdrowia'!L69</f>
        <v>0</v>
      </c>
      <c r="J83" s="1761">
        <f>B83+C83+D83+E83+F83+G83+H83+I83</f>
        <v>115370579</v>
      </c>
      <c r="K83" s="3614"/>
      <c r="L83" s="3614"/>
      <c r="M83" s="436"/>
      <c r="N83" s="971"/>
      <c r="O83" s="3021"/>
    </row>
    <row r="84" spans="1:15" s="439" customFormat="1" ht="9.75" customHeight="1" thickBot="1">
      <c r="A84" s="983"/>
      <c r="B84" s="954"/>
      <c r="C84" s="954"/>
      <c r="D84" s="954"/>
      <c r="E84" s="954"/>
      <c r="F84" s="954"/>
      <c r="G84" s="974"/>
      <c r="H84" s="973"/>
      <c r="I84" s="973"/>
      <c r="J84" s="975"/>
      <c r="K84" s="975"/>
      <c r="L84" s="975"/>
      <c r="M84" s="436"/>
      <c r="O84" s="3022"/>
    </row>
    <row r="85" spans="1:15" s="957" customFormat="1" ht="18" customHeight="1" thickBot="1">
      <c r="A85" s="996" t="s">
        <v>27</v>
      </c>
      <c r="B85" s="997">
        <f>+B63-B71-B73-B67</f>
        <v>403555949</v>
      </c>
      <c r="C85" s="997">
        <f t="shared" ref="C85" si="40">+C63-C71-C73-C67</f>
        <v>181271310</v>
      </c>
      <c r="D85" s="998">
        <f t="shared" ref="D85:I85" si="41">+D63-D71-D73-D67</f>
        <v>233926597</v>
      </c>
      <c r="E85" s="998">
        <f>+E63-E71-E73-E67</f>
        <v>270750891</v>
      </c>
      <c r="F85" s="998">
        <f>+F63-F71-F73-F67</f>
        <v>219859792</v>
      </c>
      <c r="G85" s="998">
        <f>+G63-G71-G73-G67</f>
        <v>30681387</v>
      </c>
      <c r="H85" s="997">
        <f t="shared" si="41"/>
        <v>6705341</v>
      </c>
      <c r="I85" s="997">
        <f t="shared" si="41"/>
        <v>4236912</v>
      </c>
      <c r="J85" s="999">
        <f>SUM(C85:I85)+B85+'Tab. 6C - Ochrona zdrowia'!P92+'Tab. 6C - Ochrona zdrowia'!P97</f>
        <v>1384624504</v>
      </c>
      <c r="K85" s="1000">
        <f>+C85+D85+E85+F85+G85+H85+I85+'Tab. 6C - Ochrona zdrowia'!P92+'Tab. 6C - Ochrona zdrowia'!P97</f>
        <v>981068555</v>
      </c>
      <c r="L85" s="1000">
        <f>+D85+E85+F85+G85+H85+I85+'Tab. 6C - Ochrona zdrowia'!P92+'Tab. 6C - Ochrona zdrowia'!P97</f>
        <v>799797245</v>
      </c>
      <c r="M85" s="979">
        <f>+D85+E85+F85+G85+H85+I85+M86-L85</f>
        <v>0</v>
      </c>
      <c r="N85" s="980">
        <f>J65+J66+J68+J69+J70+J72-J85</f>
        <v>0</v>
      </c>
      <c r="O85" s="3023"/>
    </row>
    <row r="86" spans="1:15" s="957" customFormat="1" ht="18" customHeight="1" thickBot="1">
      <c r="A86" s="996" t="s">
        <v>28</v>
      </c>
      <c r="B86" s="1001">
        <f>+B75-B82</f>
        <v>56764296</v>
      </c>
      <c r="C86" s="1001">
        <f t="shared" ref="C86:I86" si="42">+C75-C82</f>
        <v>49825689</v>
      </c>
      <c r="D86" s="1002">
        <f t="shared" si="42"/>
        <v>64862650</v>
      </c>
      <c r="E86" s="1002">
        <f t="shared" si="42"/>
        <v>46221384</v>
      </c>
      <c r="F86" s="1002">
        <f t="shared" si="42"/>
        <v>41806535</v>
      </c>
      <c r="G86" s="1002">
        <f t="shared" si="42"/>
        <v>5675073</v>
      </c>
      <c r="H86" s="1001">
        <f t="shared" si="42"/>
        <v>1650729</v>
      </c>
      <c r="I86" s="1001">
        <f t="shared" si="42"/>
        <v>0</v>
      </c>
      <c r="J86" s="999">
        <f>SUM(C86:I86)+B86</f>
        <v>266806356</v>
      </c>
      <c r="K86" s="1003" t="s">
        <v>23</v>
      </c>
      <c r="L86" s="1003" t="s">
        <v>23</v>
      </c>
      <c r="M86" s="979">
        <f>+'Tab. 6C - Ochrona zdrowia'!P92+'Tab. 6C - Ochrona zdrowia'!P97</f>
        <v>33636325</v>
      </c>
      <c r="N86" s="957" t="s">
        <v>354</v>
      </c>
      <c r="O86" s="3023"/>
    </row>
    <row r="87" spans="1:15" s="1006" customFormat="1" ht="15" customHeight="1" thickBot="1">
      <c r="A87" s="3516"/>
      <c r="B87" s="1004"/>
      <c r="C87" s="1004"/>
      <c r="D87" s="1004"/>
      <c r="E87" s="1004"/>
      <c r="F87" s="1004"/>
      <c r="G87" s="1004"/>
      <c r="H87" s="1004"/>
      <c r="I87" s="1004"/>
      <c r="J87" s="1004"/>
      <c r="K87" s="1004"/>
      <c r="L87" s="1004"/>
      <c r="M87" s="1005"/>
      <c r="O87" s="3024"/>
    </row>
    <row r="88" spans="1:15" s="1006" customFormat="1" ht="18" customHeight="1" thickBot="1">
      <c r="A88" s="1007" t="s">
        <v>36</v>
      </c>
      <c r="B88" s="1008">
        <f>B89+B90</f>
        <v>496582705</v>
      </c>
      <c r="C88" s="1008">
        <f t="shared" ref="C88:D88" si="43">C89+C90</f>
        <v>451315927</v>
      </c>
      <c r="D88" s="1008">
        <f t="shared" si="43"/>
        <v>716013248</v>
      </c>
      <c r="E88" s="1008">
        <f t="shared" ref="E88:L88" si="44">E89+E90</f>
        <v>615514186</v>
      </c>
      <c r="F88" s="1008">
        <f t="shared" si="44"/>
        <v>490910866</v>
      </c>
      <c r="G88" s="1008">
        <f t="shared" si="44"/>
        <v>113084244</v>
      </c>
      <c r="H88" s="1008">
        <f t="shared" si="44"/>
        <v>45581871</v>
      </c>
      <c r="I88" s="1008">
        <f t="shared" si="44"/>
        <v>40454091</v>
      </c>
      <c r="J88" s="1009">
        <f t="shared" si="44"/>
        <v>3003093463</v>
      </c>
      <c r="K88" s="1010">
        <f>K89+K90</f>
        <v>2506510758</v>
      </c>
      <c r="L88" s="1010">
        <f t="shared" si="44"/>
        <v>2055194831</v>
      </c>
      <c r="M88" s="1005"/>
      <c r="O88" s="3024"/>
    </row>
    <row r="89" spans="1:15" s="1006" customFormat="1" ht="18" customHeight="1" thickTop="1" thickBot="1">
      <c r="A89" s="2993" t="s">
        <v>37</v>
      </c>
      <c r="B89" s="1011">
        <f t="shared" ref="B89:I89" si="45">B13+B60</f>
        <v>408134767</v>
      </c>
      <c r="C89" s="1011">
        <f t="shared" si="45"/>
        <v>185141004</v>
      </c>
      <c r="D89" s="1011">
        <f>D13+D60</f>
        <v>247770709</v>
      </c>
      <c r="E89" s="1011">
        <f>E13+E60</f>
        <v>234368039</v>
      </c>
      <c r="F89" s="1011">
        <f t="shared" si="45"/>
        <v>212699488</v>
      </c>
      <c r="G89" s="1011">
        <f t="shared" si="45"/>
        <v>52794443</v>
      </c>
      <c r="H89" s="1011">
        <f t="shared" si="45"/>
        <v>43965126</v>
      </c>
      <c r="I89" s="1011">
        <f t="shared" si="45"/>
        <v>40309591</v>
      </c>
      <c r="J89" s="1012">
        <f>J13+J60</f>
        <v>1458819492</v>
      </c>
      <c r="K89" s="1013">
        <f>K13+K60</f>
        <v>1050684725</v>
      </c>
      <c r="L89" s="1013">
        <f>L13+L60</f>
        <v>865543721</v>
      </c>
      <c r="M89" s="1005"/>
      <c r="O89" s="3025"/>
    </row>
    <row r="90" spans="1:15" s="1006" customFormat="1" ht="18" customHeight="1" thickBot="1">
      <c r="A90" s="2993" t="s">
        <v>38</v>
      </c>
      <c r="B90" s="1011">
        <f t="shared" ref="B90:L90" si="46">B14+B61</f>
        <v>88447938</v>
      </c>
      <c r="C90" s="1011">
        <f t="shared" si="46"/>
        <v>266174923</v>
      </c>
      <c r="D90" s="1011">
        <f>D14+D61</f>
        <v>468242539</v>
      </c>
      <c r="E90" s="1011">
        <f t="shared" si="46"/>
        <v>381146147</v>
      </c>
      <c r="F90" s="1011">
        <f t="shared" si="46"/>
        <v>278211378</v>
      </c>
      <c r="G90" s="1011">
        <f t="shared" si="46"/>
        <v>60289801</v>
      </c>
      <c r="H90" s="1011">
        <f t="shared" si="46"/>
        <v>1616745</v>
      </c>
      <c r="I90" s="1011">
        <f t="shared" si="46"/>
        <v>144500</v>
      </c>
      <c r="J90" s="1012">
        <f>J14+J61</f>
        <v>1544273971</v>
      </c>
      <c r="K90" s="1013">
        <f t="shared" ref="K90" si="47">K14+K61</f>
        <v>1455826033</v>
      </c>
      <c r="L90" s="1013">
        <f t="shared" si="46"/>
        <v>1189651110</v>
      </c>
      <c r="M90" s="1005"/>
      <c r="O90" s="3026"/>
    </row>
    <row r="91" spans="1:15" s="1006" customFormat="1" ht="18" customHeight="1" thickBot="1">
      <c r="A91" s="2994" t="s">
        <v>39</v>
      </c>
      <c r="B91" s="1014">
        <f>B49+B86</f>
        <v>126045766</v>
      </c>
      <c r="C91" s="1014">
        <f t="shared" ref="C91:D91" si="48">C49+C86</f>
        <v>270791649</v>
      </c>
      <c r="D91" s="1014">
        <f t="shared" si="48"/>
        <v>472992365</v>
      </c>
      <c r="E91" s="1014">
        <f t="shared" ref="E91:I91" si="49">E49+E86</f>
        <v>348170064</v>
      </c>
      <c r="F91" s="1014">
        <f>F49+F86</f>
        <v>268917852</v>
      </c>
      <c r="G91" s="1014">
        <f t="shared" si="49"/>
        <v>82357391</v>
      </c>
      <c r="H91" s="1014">
        <f t="shared" si="49"/>
        <v>35776859</v>
      </c>
      <c r="I91" s="1014">
        <f t="shared" si="49"/>
        <v>32142634</v>
      </c>
      <c r="J91" s="1014">
        <f>J49+J86</f>
        <v>1648341037</v>
      </c>
      <c r="K91" s="1015" t="s">
        <v>23</v>
      </c>
      <c r="L91" s="1015" t="s">
        <v>23</v>
      </c>
      <c r="M91" s="1005">
        <f>'Tab. 6A -Drogi'!D22+'Tab. 6A -Drogi'!D520+'Tab. 6B Polit społ i rozwój prz'!D18+'Tab. 6C - Ochrona zdrowia'!D65+'Tab. 6D - Oświata'!D20+'Tab. 6E - Administracja'!D20+'Tab. 6E - Administracja'!D245+'Tab. 6F - Kultura'!D19+'Tab. 6G - Roln i ochrona środ.'!D21+'Tab. 6G - Roln i ochrona środ.'!D115+'Tab. 6H - Kultura fiz. i turyst'!D18+'Tab.6I - Planow. przestrz.'!D19+'Tab. 6C - Ochrona zdrowia'!D16</f>
        <v>1648341037</v>
      </c>
      <c r="N91" s="1006" t="s">
        <v>207</v>
      </c>
      <c r="O91" s="3026"/>
    </row>
    <row r="92" spans="1:15" s="1006" customFormat="1" ht="18.75" customHeight="1" thickTop="1">
      <c r="A92" s="2993" t="s">
        <v>40</v>
      </c>
      <c r="B92" s="1011">
        <f>B98+B102</f>
        <v>90551927</v>
      </c>
      <c r="C92" s="1011">
        <f>C98+C102</f>
        <v>88378700</v>
      </c>
      <c r="D92" s="1011">
        <f t="shared" ref="C92:D93" si="50">D98+D102</f>
        <v>132989234</v>
      </c>
      <c r="E92" s="1011">
        <f t="shared" ref="E92:I93" si="51">E98+E102</f>
        <v>112359728</v>
      </c>
      <c r="F92" s="1011">
        <f t="shared" si="51"/>
        <v>88822536</v>
      </c>
      <c r="G92" s="1011">
        <f t="shared" si="51"/>
        <v>43421871</v>
      </c>
      <c r="H92" s="1011">
        <f t="shared" si="51"/>
        <v>35632359</v>
      </c>
      <c r="I92" s="1011">
        <f t="shared" si="51"/>
        <v>31998134</v>
      </c>
      <c r="J92" s="1011">
        <f>J98+J102</f>
        <v>635050946</v>
      </c>
      <c r="K92" s="1016" t="s">
        <v>23</v>
      </c>
      <c r="L92" s="1016" t="s">
        <v>23</v>
      </c>
      <c r="M92" s="1005">
        <f>J91-M91</f>
        <v>0</v>
      </c>
      <c r="N92" s="1017"/>
      <c r="O92" s="3027"/>
    </row>
    <row r="93" spans="1:15" s="1006" customFormat="1" ht="16.5" customHeight="1" thickBot="1">
      <c r="A93" s="2830" t="s">
        <v>41</v>
      </c>
      <c r="B93" s="1018">
        <f>B99+B103</f>
        <v>35493839</v>
      </c>
      <c r="C93" s="1018">
        <f t="shared" si="50"/>
        <v>182412949</v>
      </c>
      <c r="D93" s="1018">
        <f t="shared" si="50"/>
        <v>340003131</v>
      </c>
      <c r="E93" s="1018">
        <f t="shared" si="51"/>
        <v>235810336</v>
      </c>
      <c r="F93" s="1018">
        <f t="shared" si="51"/>
        <v>180095316</v>
      </c>
      <c r="G93" s="1018">
        <f t="shared" si="51"/>
        <v>38935520</v>
      </c>
      <c r="H93" s="1018">
        <f t="shared" si="51"/>
        <v>144500</v>
      </c>
      <c r="I93" s="1018">
        <f t="shared" si="51"/>
        <v>144500</v>
      </c>
      <c r="J93" s="1018">
        <f>J99+J103</f>
        <v>1013290091</v>
      </c>
      <c r="K93" s="1019" t="s">
        <v>23</v>
      </c>
      <c r="L93" s="1019" t="s">
        <v>23</v>
      </c>
      <c r="M93" s="1005">
        <f>M91-J97-J101</f>
        <v>0</v>
      </c>
      <c r="O93" s="3030"/>
    </row>
    <row r="94" spans="1:15" s="1006" customFormat="1" ht="18" hidden="1" customHeight="1" thickBot="1">
      <c r="A94" s="2831" t="s">
        <v>42</v>
      </c>
      <c r="B94" s="1020">
        <f>B92+B93-B91</f>
        <v>0</v>
      </c>
      <c r="C94" s="1020">
        <f>C92+C93-C91</f>
        <v>0</v>
      </c>
      <c r="D94" s="1020">
        <f t="shared" ref="D94:I94" si="52">D92+D93-D91</f>
        <v>0</v>
      </c>
      <c r="E94" s="1020">
        <f>E92+E93-E91</f>
        <v>0</v>
      </c>
      <c r="F94" s="1020">
        <f>F92+F93-F91</f>
        <v>0</v>
      </c>
      <c r="G94" s="1020">
        <f t="shared" si="52"/>
        <v>0</v>
      </c>
      <c r="H94" s="1020">
        <f t="shared" si="52"/>
        <v>0</v>
      </c>
      <c r="I94" s="1020">
        <f t="shared" si="52"/>
        <v>0</v>
      </c>
      <c r="J94" s="1020">
        <f>J92+J93-J91</f>
        <v>0</v>
      </c>
      <c r="K94" s="1005"/>
      <c r="L94" s="1005"/>
      <c r="M94" s="1005"/>
      <c r="N94" s="1017"/>
      <c r="O94" s="3026"/>
    </row>
    <row r="95" spans="1:15" s="1006" customFormat="1" ht="15.75" hidden="1" customHeight="1" thickBot="1">
      <c r="A95" s="2832"/>
      <c r="B95" s="1020"/>
      <c r="C95" s="1020"/>
      <c r="D95" s="2597">
        <v>2018</v>
      </c>
      <c r="E95" s="2597">
        <v>2019</v>
      </c>
      <c r="F95" s="2597">
        <v>2020</v>
      </c>
      <c r="G95" s="2597">
        <v>2021</v>
      </c>
      <c r="H95" s="1020"/>
      <c r="I95" s="1020"/>
      <c r="J95" s="1020"/>
      <c r="K95" s="1005"/>
      <c r="L95" s="1005"/>
      <c r="M95" s="1005"/>
      <c r="O95" s="3026"/>
    </row>
    <row r="96" spans="1:15" s="1006" customFormat="1" ht="18" hidden="1" customHeight="1" thickBot="1">
      <c r="A96" s="2833" t="s">
        <v>43</v>
      </c>
      <c r="B96" s="1021">
        <f>B32-B97</f>
        <v>0</v>
      </c>
      <c r="C96" s="1021">
        <f t="shared" ref="C96:D96" si="53">C32-C97</f>
        <v>0</v>
      </c>
      <c r="D96" s="1021">
        <f t="shared" si="53"/>
        <v>0</v>
      </c>
      <c r="E96" s="1021">
        <f t="shared" ref="E96:J96" si="54">E32-E97</f>
        <v>0</v>
      </c>
      <c r="F96" s="1021">
        <f t="shared" si="54"/>
        <v>0</v>
      </c>
      <c r="G96" s="1021">
        <f t="shared" si="54"/>
        <v>0</v>
      </c>
      <c r="H96" s="1021">
        <f t="shared" si="54"/>
        <v>0</v>
      </c>
      <c r="I96" s="1021">
        <f t="shared" si="54"/>
        <v>0</v>
      </c>
      <c r="J96" s="1021">
        <f t="shared" si="54"/>
        <v>0</v>
      </c>
      <c r="K96" s="1005"/>
      <c r="L96" s="1005">
        <f>J97-L97</f>
        <v>0</v>
      </c>
      <c r="M96" s="1005"/>
      <c r="N96" s="1017">
        <f>M97+M101-M91</f>
        <v>0</v>
      </c>
      <c r="O96" s="3027"/>
    </row>
    <row r="97" spans="1:15" s="1006" customFormat="1" ht="18" hidden="1" customHeight="1" thickBot="1">
      <c r="A97" s="2834" t="s">
        <v>44</v>
      </c>
      <c r="B97" s="1022">
        <f t="shared" ref="B97:D97" si="55">B98+B99</f>
        <v>69281470</v>
      </c>
      <c r="C97" s="1022">
        <f t="shared" si="55"/>
        <v>220965960</v>
      </c>
      <c r="D97" s="1022">
        <f t="shared" si="55"/>
        <v>408129715</v>
      </c>
      <c r="E97" s="1022">
        <f t="shared" ref="E97:N97" si="56">E98+E99</f>
        <v>301948680</v>
      </c>
      <c r="F97" s="1022">
        <f t="shared" si="56"/>
        <v>227111317</v>
      </c>
      <c r="G97" s="1022">
        <f t="shared" si="56"/>
        <v>76682318</v>
      </c>
      <c r="H97" s="1022">
        <f t="shared" si="56"/>
        <v>34126130</v>
      </c>
      <c r="I97" s="1022">
        <f t="shared" si="56"/>
        <v>32142634</v>
      </c>
      <c r="J97" s="1023">
        <f>J98+J99</f>
        <v>1381534681</v>
      </c>
      <c r="K97" s="1005"/>
      <c r="L97" s="1005">
        <f>'Tab. 6A -Drogi'!D22+'Tab. 6B Polit społ i rozwój prz'!D18+'Tab. 6D - Oświata'!D20+'Tab. 6E - Administracja'!D20+'Tab. 6G - Roln i ochrona środ.'!D21+'Tab. 6H - Kultura fiz. i turyst'!D18+'Tab.6I - Planow. przestrz.'!D19+'Tab. 6C - Ochrona zdrowia'!D16</f>
        <v>1381534681</v>
      </c>
      <c r="M97" s="1023">
        <f>M98+M99</f>
        <v>1381534681</v>
      </c>
      <c r="N97" s="3032">
        <f t="shared" si="56"/>
        <v>0</v>
      </c>
      <c r="O97" s="3036" t="s">
        <v>349</v>
      </c>
    </row>
    <row r="98" spans="1:15" s="1006" customFormat="1" ht="20.25" hidden="1" customHeight="1">
      <c r="A98" s="2888" t="s">
        <v>40</v>
      </c>
      <c r="B98" s="1024">
        <f>'Tab. 6A -Drogi'!E662+'Tab. 6B Polit społ i rozwój prz'!E283+'Tab. 6D - Oświata'!E143+'Tab. 6E - Administracja'!E268+'Tab. 6G - Roln i ochrona środ.'!E144+'Tab. 6H - Kultura fiz. i turyst'!E278+'Tab.6I - Planow. przestrz.'!E119</f>
        <v>33787631</v>
      </c>
      <c r="C98" s="1024">
        <f>'Tab. 6A -Drogi'!F662+'Tab. 6B Polit społ i rozwój prz'!F283+'Tab. 6D - Oświata'!F143+'Tab. 6E - Administracja'!F268+'Tab. 6G - Roln i ochrona środ.'!F144+'Tab. 6H - Kultura fiz. i turyst'!F278+'Tab.6I - Planow. przestrz.'!F119</f>
        <v>40735011</v>
      </c>
      <c r="D98" s="1024">
        <f>'Tab. 6A -Drogi'!G662+'Tab. 6B Polit społ i rozwój prz'!G283+'Tab. 6D - Oświata'!G143+'Tab. 6E - Administracja'!G268+'Tab. 6G - Roln i ochrona środ.'!G144+'Tab. 6H - Kultura fiz. i turyst'!G278+'Tab.6I - Planow. przestrz.'!G119+'Tab. 6C - Ochrona zdrowia'!G113</f>
        <v>71655235</v>
      </c>
      <c r="E98" s="1024">
        <f>'Tab. 6A -Drogi'!H662+'Tab. 6B Polit społ i rozwój prz'!H283+'Tab. 6D - Oświata'!H143+'Tab. 6E - Administracja'!H268+'Tab. 6G - Roln i ochrona środ.'!H144+'Tab. 6H - Kultura fiz. i turyst'!H278+'Tab.6I - Planow. przestrz.'!H119+'Tab. 6C - Ochrona zdrowia'!H113</f>
        <v>66138344</v>
      </c>
      <c r="F98" s="1024">
        <f>'Tab. 6A -Drogi'!I662+'Tab. 6B Polit społ i rozwój prz'!I283+'Tab. 6D - Oświata'!I143+'Tab. 6E - Administracja'!I268+'Tab. 6G - Roln i ochrona środ.'!I144+'Tab. 6H - Kultura fiz. i turyst'!I278+'Tab.6I - Planow. przestrz.'!I119+'Tab. 6C - Ochrona zdrowia'!I113</f>
        <v>47016001</v>
      </c>
      <c r="G98" s="1024">
        <f>'Tab. 6A -Drogi'!J662+'Tab. 6B Polit społ i rozwój prz'!J283+'Tab. 6D - Oświata'!J143+'Tab. 6E - Administracja'!J268+'Tab. 6G - Roln i ochrona środ.'!J144+'Tab. 6H - Kultura fiz. i turyst'!J278+'Tab.6I - Planow. przestrz.'!J119+'Tab. 6C - Ochrona zdrowia'!J113</f>
        <v>37746798</v>
      </c>
      <c r="H98" s="1024">
        <f>'Tab. 6A -Drogi'!K662+'Tab. 6B Polit społ i rozwój prz'!K283+'Tab. 6D - Oświata'!K143+'Tab. 6E - Administracja'!K268+'Tab. 6G - Roln i ochrona środ.'!K144+'Tab. 6H - Kultura fiz. i turyst'!K278+'Tab.6I - Planow. przestrz.'!K119</f>
        <v>33981630</v>
      </c>
      <c r="I98" s="1024">
        <f>'Tab. 6A -Drogi'!L662+'Tab. 6B Polit społ i rozwój prz'!L283+'Tab. 6D - Oświata'!L143+'Tab. 6E - Administracja'!L268+'Tab. 6G - Roln i ochrona środ.'!L144+'Tab. 6H - Kultura fiz. i turyst'!L278+'Tab.6I - Planow. przestrz.'!L119</f>
        <v>31998134</v>
      </c>
      <c r="J98" s="1025">
        <f>B98+C98+D98+E98+F98+G98+H98+I98+2029435+2998719+2055406+3812897</f>
        <v>373955241</v>
      </c>
      <c r="K98" s="1017"/>
      <c r="M98" s="1239">
        <f>'Tab. 6A -Drogi'!D662+'Tab. 6B Polit społ i rozwój prz'!D283+'Tab. 6D - Oświata'!D143+'Tab. 6E - Administracja'!D268+'Tab. 6G - Roln i ochrona środ.'!D144+'Tab. 6H - Kultura fiz. i turyst'!D278+'Tab.6I - Planow. przestrz.'!D119+'Tab. 6C - Ochrona zdrowia'!D113</f>
        <v>373955241</v>
      </c>
      <c r="N98" s="1239">
        <f>J98-M98</f>
        <v>0</v>
      </c>
      <c r="O98" s="3037"/>
    </row>
    <row r="99" spans="1:15" s="1006" customFormat="1" ht="18" hidden="1" customHeight="1" thickBot="1">
      <c r="A99" s="2882" t="s">
        <v>41</v>
      </c>
      <c r="B99" s="1024">
        <f>'Tab. 6A -Drogi'!E663+'Tab. 6B Polit społ i rozwój prz'!E284+'Tab. 6D - Oświata'!E144+'Tab. 6E - Administracja'!E269+'Tab. 6G - Roln i ochrona środ.'!E145+'Tab. 6H - Kultura fiz. i turyst'!E279+'Tab.6I - Planow. przestrz.'!E120</f>
        <v>35493839</v>
      </c>
      <c r="C99" s="1024">
        <f>'Tab. 6A -Drogi'!F663+'Tab. 6B Polit społ i rozwój prz'!F284+'Tab. 6D - Oświata'!F144+'Tab. 6E - Administracja'!F269+'Tab. 6G - Roln i ochrona środ.'!F145+'Tab. 6H - Kultura fiz. i turyst'!F279+'Tab.6I - Planow. przestrz.'!F120</f>
        <v>180230949</v>
      </c>
      <c r="D99" s="1024">
        <f>'Tab. 6A -Drogi'!G663+'Tab. 6B Polit społ i rozwój prz'!G284+'Tab. 6D - Oświata'!G144+'Tab. 6E - Administracja'!G269+'Tab. 6G - Roln i ochrona środ.'!G145+'Tab. 6H - Kultura fiz. i turyst'!G279+'Tab.6I - Planow. przestrz.'!G120+'Tab. 6C - Ochrona zdrowia'!G114</f>
        <v>336474480</v>
      </c>
      <c r="E99" s="1024">
        <f>'Tab. 6A -Drogi'!H663+'Tab. 6B Polit społ i rozwój prz'!H284+'Tab. 6D - Oświata'!H144+'Tab. 6E - Administracja'!H269+'Tab. 6G - Roln i ochrona środ.'!H145+'Tab. 6H - Kultura fiz. i turyst'!H279+'Tab.6I - Planow. przestrz.'!H120+'Tab. 6C - Ochrona zdrowia'!H114</f>
        <v>235810336</v>
      </c>
      <c r="F99" s="1024">
        <f>'Tab. 6A -Drogi'!I663+'Tab. 6B Polit społ i rozwój prz'!I284+'Tab. 6D - Oświata'!I144+'Tab. 6E - Administracja'!I269+'Tab. 6G - Roln i ochrona środ.'!I145+'Tab. 6H - Kultura fiz. i turyst'!I279+'Tab.6I - Planow. przestrz.'!I120+'Tab. 6C - Ochrona zdrowia'!I114</f>
        <v>180095316</v>
      </c>
      <c r="G99" s="1024">
        <f>'Tab. 6A -Drogi'!J663+'Tab. 6B Polit społ i rozwój prz'!J284+'Tab. 6D - Oświata'!J144+'Tab. 6E - Administracja'!J269+'Tab. 6G - Roln i ochrona środ.'!J145+'Tab. 6H - Kultura fiz. i turyst'!J279+'Tab.6I - Planow. przestrz.'!J120+'Tab. 6C - Ochrona zdrowia'!J114</f>
        <v>38935520</v>
      </c>
      <c r="H99" s="1024">
        <f>'Tab. 6A -Drogi'!K663+'Tab. 6B Polit społ i rozwój prz'!K284+'Tab. 6D - Oświata'!K144+'Tab. 6E - Administracja'!K269+'Tab. 6G - Roln i ochrona środ.'!K145+'Tab. 6H - Kultura fiz. i turyst'!K279+'Tab.6I - Planow. przestrz.'!K120</f>
        <v>144500</v>
      </c>
      <c r="I99" s="1024">
        <f>'Tab. 6A -Drogi'!L663+'Tab. 6B Polit społ i rozwój prz'!L284+'Tab. 6D - Oświata'!L144+'Tab. 6E - Administracja'!L269+'Tab. 6G - Roln i ochrona środ.'!L145+'Tab. 6H - Kultura fiz. i turyst'!L279+'Tab.6I - Planow. przestrz.'!L120</f>
        <v>144500</v>
      </c>
      <c r="J99" s="1025">
        <f>B99+C99+D99+E99+F99+G99+H99+I99+11590+299481-61071</f>
        <v>1007579440</v>
      </c>
      <c r="K99" s="1017"/>
      <c r="L99" s="1017"/>
      <c r="M99" s="1239">
        <f>'Tab. 6A -Drogi'!D663+'Tab. 6B Polit społ i rozwój prz'!D284+'Tab. 6E - Administracja'!D269+'Tab. 6G - Roln i ochrona środ.'!D145+'Tab. 6H - Kultura fiz. i turyst'!D279+'Tab.6I - Planow. przestrz.'!D120+'Tab. 6C - Ochrona zdrowia'!D114</f>
        <v>1007579440</v>
      </c>
      <c r="N99" s="2971">
        <f>J99-M99</f>
        <v>0</v>
      </c>
      <c r="O99" s="3038"/>
    </row>
    <row r="100" spans="1:15" s="1006" customFormat="1" ht="24" hidden="1" customHeight="1" thickBot="1">
      <c r="A100" s="2833" t="s">
        <v>45</v>
      </c>
      <c r="B100" s="2960">
        <f t="shared" ref="B100:J100" si="57">B86-B101</f>
        <v>0</v>
      </c>
      <c r="C100" s="2838">
        <f>C86-C101</f>
        <v>0</v>
      </c>
      <c r="D100" s="2960">
        <f t="shared" si="57"/>
        <v>0</v>
      </c>
      <c r="E100" s="2960">
        <f t="shared" si="57"/>
        <v>0</v>
      </c>
      <c r="F100" s="2960">
        <f>F86-F101</f>
        <v>0</v>
      </c>
      <c r="G100" s="2960">
        <f t="shared" si="57"/>
        <v>0</v>
      </c>
      <c r="H100" s="2960">
        <f t="shared" si="57"/>
        <v>0</v>
      </c>
      <c r="I100" s="2960">
        <f t="shared" si="57"/>
        <v>0</v>
      </c>
      <c r="J100" s="2960">
        <f t="shared" si="57"/>
        <v>0</v>
      </c>
      <c r="K100" s="2970"/>
      <c r="L100" s="2970"/>
      <c r="M100" s="2971"/>
      <c r="N100" s="3004"/>
      <c r="O100" s="3039"/>
    </row>
    <row r="101" spans="1:15" s="1006" customFormat="1" ht="20.25" hidden="1" customHeight="1" thickBot="1">
      <c r="A101" s="2834" t="s">
        <v>44</v>
      </c>
      <c r="B101" s="2957">
        <f>B102+B103</f>
        <v>56764296</v>
      </c>
      <c r="C101" s="2839">
        <f t="shared" ref="C101:J101" si="58">C102+C103</f>
        <v>49825689</v>
      </c>
      <c r="D101" s="2957">
        <f t="shared" si="58"/>
        <v>64862650</v>
      </c>
      <c r="E101" s="2957">
        <f t="shared" si="58"/>
        <v>46221384</v>
      </c>
      <c r="F101" s="2957">
        <f t="shared" si="58"/>
        <v>41806535</v>
      </c>
      <c r="G101" s="2957">
        <f t="shared" si="58"/>
        <v>5675073</v>
      </c>
      <c r="H101" s="2957">
        <f>H102+H103</f>
        <v>1650729</v>
      </c>
      <c r="I101" s="2957">
        <f>I102+I103</f>
        <v>0</v>
      </c>
      <c r="J101" s="2967">
        <f t="shared" si="58"/>
        <v>266806356</v>
      </c>
      <c r="K101" s="2841"/>
      <c r="L101" s="2841"/>
      <c r="M101" s="2967">
        <f t="shared" ref="M101:N101" si="59">M102+M103</f>
        <v>266806356</v>
      </c>
      <c r="N101" s="2967">
        <f t="shared" si="59"/>
        <v>0</v>
      </c>
      <c r="O101" s="2883" t="s">
        <v>349</v>
      </c>
    </row>
    <row r="102" spans="1:15" s="1006" customFormat="1" ht="19.5" hidden="1" customHeight="1">
      <c r="A102" s="2898" t="s">
        <v>40</v>
      </c>
      <c r="B102" s="2899">
        <f>'Tab. 6A -Drogi'!E669+'Tab. 6F - Kultura'!E19</f>
        <v>56764296</v>
      </c>
      <c r="C102" s="2899">
        <f>'Tab. 6A -Drogi'!F669+'Tab. 6F - Kultura'!F19</f>
        <v>47643689</v>
      </c>
      <c r="D102" s="2899">
        <f>'Tab. 6A -Drogi'!G669+'Tab. 6F - Kultura'!G19</f>
        <v>61333999</v>
      </c>
      <c r="E102" s="2899">
        <f>'Tab. 6A -Drogi'!H669+'Tab. 6F - Kultura'!H19</f>
        <v>46221384</v>
      </c>
      <c r="F102" s="2899">
        <f>'Tab. 6A -Drogi'!I669+'Tab. 6F - Kultura'!I19</f>
        <v>41806535</v>
      </c>
      <c r="G102" s="2899">
        <f>'Tab. 6A -Drogi'!J669+'Tab. 6F - Kultura'!J19</f>
        <v>5675073</v>
      </c>
      <c r="H102" s="2899">
        <f>'Tab. 6A -Drogi'!K669+'Tab. 6F - Kultura'!K19</f>
        <v>1650729</v>
      </c>
      <c r="I102" s="2899">
        <f>'Tab. 6A -Drogi'!L669+'Tab. 6F - Kultura'!L19</f>
        <v>0</v>
      </c>
      <c r="J102" s="2900">
        <f>B102+C102+D102+E102+F102+G102+H102+I102</f>
        <v>261095705</v>
      </c>
      <c r="K102" s="1017"/>
      <c r="L102" s="1017"/>
      <c r="M102" s="1239">
        <f>'Tab. 6A -Drogi'!D531+'Tab. 6A -Drogi'!D593+'Tab. 6A -Drogi'!D638+'Tab. 6F - Kultura'!D19+'Tab. 6A -Drogi'!D566</f>
        <v>261095705</v>
      </c>
      <c r="N102" s="1239">
        <f>J102-M102</f>
        <v>0</v>
      </c>
      <c r="O102" s="2901"/>
    </row>
    <row r="103" spans="1:15" s="1006" customFormat="1" ht="19.5" hidden="1" customHeight="1">
      <c r="A103" s="2938" t="s">
        <v>41</v>
      </c>
      <c r="B103" s="2939">
        <f>'Tab. 6A -Drogi'!E670+'Tab. 6C - Ochrona zdrowia'!E65+'Tab. 6G - Roln i ochrona środ.'!E126</f>
        <v>0</v>
      </c>
      <c r="C103" s="2939">
        <f>'Tab. 6A -Drogi'!F670+'Tab. 6C - Ochrona zdrowia'!F65+'Tab. 6G - Roln i ochrona środ.'!F126</f>
        <v>2182000</v>
      </c>
      <c r="D103" s="2939">
        <f>'Tab. 6A -Drogi'!G670+'Tab. 6C - Ochrona zdrowia'!G65+'Tab. 6G - Roln i ochrona środ.'!G126</f>
        <v>3528651</v>
      </c>
      <c r="E103" s="2939">
        <f>'Tab. 6A -Drogi'!H670+'Tab. 6C - Ochrona zdrowia'!H65+'Tab. 6G - Roln i ochrona środ.'!H126</f>
        <v>0</v>
      </c>
      <c r="F103" s="2939">
        <f>'Tab. 6A -Drogi'!I670+'Tab. 6C - Ochrona zdrowia'!I65+'Tab. 6G - Roln i ochrona środ.'!I126</f>
        <v>0</v>
      </c>
      <c r="G103" s="2939">
        <f>'Tab. 6A -Drogi'!J670+'Tab. 6C - Ochrona zdrowia'!J65+'Tab. 6G - Roln i ochrona środ.'!J126</f>
        <v>0</v>
      </c>
      <c r="H103" s="2939">
        <f>'Tab. 6A -Drogi'!K670+'Tab. 6C - Ochrona zdrowia'!K65+'Tab. 6G - Roln i ochrona środ.'!K126</f>
        <v>0</v>
      </c>
      <c r="I103" s="2939">
        <f>'Tab. 6A -Drogi'!L670+'Tab. 6C - Ochrona zdrowia'!L65+'Tab. 6G - Roln i ochrona środ.'!L126</f>
        <v>0</v>
      </c>
      <c r="J103" s="2940">
        <f>B103+C103+D103+E103+F103+G103+H103+I103</f>
        <v>5710651</v>
      </c>
      <c r="K103" s="1017"/>
      <c r="L103" s="1017"/>
      <c r="M103" s="1239">
        <f>'Tab. 6A -Drogi'!D670+'Tab. 6C - Ochrona zdrowia'!D65+'Tab. 6G - Roln i ochrona środ.'!D126</f>
        <v>5710651</v>
      </c>
      <c r="N103" s="1239">
        <f>J103-M103</f>
        <v>0</v>
      </c>
      <c r="O103" s="2941"/>
    </row>
    <row r="104" spans="1:15" s="1006" customFormat="1" ht="18" hidden="1" customHeight="1">
      <c r="A104" s="2942"/>
      <c r="B104" s="1020">
        <f>B101+B97-B91</f>
        <v>0</v>
      </c>
      <c r="C104" s="1020">
        <f>C101+C97-C91</f>
        <v>0</v>
      </c>
      <c r="D104" s="1020">
        <f t="shared" ref="D104:I104" si="60">D101+D97-D91</f>
        <v>0</v>
      </c>
      <c r="E104" s="1020">
        <f t="shared" si="60"/>
        <v>0</v>
      </c>
      <c r="F104" s="1020">
        <f t="shared" si="60"/>
        <v>0</v>
      </c>
      <c r="G104" s="1020">
        <f t="shared" si="60"/>
        <v>0</v>
      </c>
      <c r="H104" s="1020">
        <f t="shared" si="60"/>
        <v>0</v>
      </c>
      <c r="I104" s="1020">
        <f t="shared" si="60"/>
        <v>0</v>
      </c>
      <c r="J104" s="1020">
        <f>J101+J97-J91</f>
        <v>0</v>
      </c>
      <c r="K104" s="1017"/>
      <c r="L104" s="1017"/>
      <c r="M104" s="1017"/>
    </row>
    <row r="105" spans="1:15" s="1006" customFormat="1" ht="18" hidden="1" customHeight="1">
      <c r="A105" s="2942"/>
      <c r="B105" s="1020"/>
      <c r="C105" s="1020"/>
      <c r="D105" s="1020"/>
      <c r="E105" s="1020"/>
      <c r="F105" s="1020"/>
      <c r="G105" s="1020"/>
      <c r="H105" s="1020"/>
      <c r="I105" s="1020"/>
      <c r="J105" s="1020"/>
      <c r="K105" s="1017"/>
      <c r="L105" s="1017"/>
      <c r="M105" s="1017"/>
    </row>
    <row r="106" spans="1:15" s="1006" customFormat="1" ht="18" hidden="1" customHeight="1" thickBot="1">
      <c r="A106" s="3517"/>
      <c r="B106" s="1004">
        <f t="shared" ref="B106:G106" si="61">+B85-B59</f>
        <v>0</v>
      </c>
      <c r="C106" s="1004">
        <f t="shared" si="61"/>
        <v>0</v>
      </c>
      <c r="D106" s="1004">
        <f t="shared" si="61"/>
        <v>0</v>
      </c>
      <c r="E106" s="1004">
        <f t="shared" si="61"/>
        <v>0</v>
      </c>
      <c r="F106" s="1004">
        <f t="shared" si="61"/>
        <v>0</v>
      </c>
      <c r="G106" s="1004">
        <f t="shared" si="61"/>
        <v>0</v>
      </c>
      <c r="H106" s="1004">
        <f t="shared" ref="H106:I106" si="62">+H85-H59</f>
        <v>0</v>
      </c>
      <c r="I106" s="1004">
        <f t="shared" si="62"/>
        <v>0</v>
      </c>
      <c r="J106" s="1004">
        <f>+J85-J59</f>
        <v>0</v>
      </c>
      <c r="K106" s="1004"/>
      <c r="L106" s="1004"/>
      <c r="M106" s="1017"/>
      <c r="O106" s="2874"/>
    </row>
    <row r="107" spans="1:15" s="1006" customFormat="1" ht="18" hidden="1" customHeight="1" thickBot="1">
      <c r="A107" s="3518"/>
      <c r="B107" s="1004">
        <f t="shared" ref="B107:I107" si="63">B12+B59</f>
        <v>496582705</v>
      </c>
      <c r="C107" s="1004">
        <f t="shared" si="63"/>
        <v>451315927</v>
      </c>
      <c r="D107" s="1004">
        <f t="shared" si="63"/>
        <v>716013248</v>
      </c>
      <c r="E107" s="1004">
        <f t="shared" si="63"/>
        <v>615514186</v>
      </c>
      <c r="F107" s="1004">
        <f t="shared" si="63"/>
        <v>490910866</v>
      </c>
      <c r="G107" s="1004">
        <f t="shared" si="63"/>
        <v>113084244</v>
      </c>
      <c r="H107" s="1004">
        <f t="shared" si="63"/>
        <v>45581871</v>
      </c>
      <c r="I107" s="1004">
        <f t="shared" si="63"/>
        <v>40454091</v>
      </c>
      <c r="J107" s="1004">
        <f>J12+J59</f>
        <v>3003093463</v>
      </c>
      <c r="K107" s="1004"/>
      <c r="L107" s="1004"/>
      <c r="M107" s="1017"/>
      <c r="O107" s="2875"/>
    </row>
    <row r="108" spans="1:15" s="1006" customFormat="1" ht="16.5" hidden="1" customHeight="1" thickBot="1">
      <c r="A108" s="3518"/>
      <c r="B108" s="2394" t="s">
        <v>381</v>
      </c>
      <c r="C108" s="2395" t="s">
        <v>5</v>
      </c>
      <c r="D108" s="1988" t="s">
        <v>6</v>
      </c>
      <c r="E108" s="1975" t="s">
        <v>179</v>
      </c>
      <c r="F108" s="2396" t="s">
        <v>181</v>
      </c>
      <c r="G108" s="2396" t="s">
        <v>220</v>
      </c>
      <c r="H108" s="2396" t="s">
        <v>221</v>
      </c>
      <c r="I108" s="2396" t="s">
        <v>219</v>
      </c>
      <c r="J108" s="2397" t="s">
        <v>46</v>
      </c>
      <c r="K108" s="2397" t="s">
        <v>331</v>
      </c>
      <c r="L108" s="2397" t="s">
        <v>425</v>
      </c>
      <c r="M108" s="1017"/>
      <c r="O108" s="2875"/>
    </row>
    <row r="109" spans="1:15" s="1006" customFormat="1" ht="18" hidden="1" customHeight="1">
      <c r="A109" s="3518"/>
      <c r="B109" s="1004"/>
      <c r="C109" s="1004"/>
      <c r="D109" s="1989"/>
      <c r="E109" s="1004"/>
      <c r="F109" s="1004"/>
      <c r="G109" s="1004"/>
      <c r="H109" s="1004"/>
      <c r="I109" s="1004"/>
      <c r="J109" s="1004"/>
      <c r="K109" s="1028"/>
      <c r="L109" s="1028"/>
      <c r="M109" s="1017"/>
      <c r="O109" s="2875"/>
    </row>
    <row r="110" spans="1:15" s="1006" customFormat="1" ht="18" hidden="1" customHeight="1">
      <c r="A110" s="3518"/>
      <c r="B110" s="1004"/>
      <c r="C110" s="1004"/>
      <c r="D110" s="1989"/>
      <c r="E110" s="1004"/>
      <c r="F110" s="1004"/>
      <c r="G110" s="1004"/>
      <c r="H110" s="1004"/>
      <c r="I110" s="1004"/>
      <c r="J110" s="1004"/>
      <c r="K110" s="1028"/>
      <c r="L110" s="1028"/>
      <c r="M110" s="1017"/>
      <c r="O110" s="2875"/>
    </row>
    <row r="111" spans="1:15" s="439" customFormat="1" ht="12.75" hidden="1" customHeight="1">
      <c r="A111" s="2835"/>
      <c r="B111" s="954"/>
      <c r="C111" s="954">
        <f t="shared" ref="C111:D112" si="64">+C13+C60</f>
        <v>185141004</v>
      </c>
      <c r="D111" s="1750">
        <f t="shared" si="64"/>
        <v>247770709</v>
      </c>
      <c r="E111" s="954"/>
      <c r="F111" s="954"/>
      <c r="G111" s="954"/>
      <c r="H111" s="954"/>
      <c r="I111" s="954"/>
      <c r="J111" s="954"/>
      <c r="M111" s="971"/>
      <c r="O111" s="2876"/>
    </row>
    <row r="112" spans="1:15" s="439" customFormat="1" ht="28.5" hidden="1" customHeight="1">
      <c r="A112" s="2836"/>
      <c r="B112" s="1030"/>
      <c r="C112" s="1030">
        <f t="shared" si="64"/>
        <v>266174923</v>
      </c>
      <c r="D112" s="1990">
        <f t="shared" si="64"/>
        <v>468242539</v>
      </c>
      <c r="E112" s="1030"/>
      <c r="F112" s="1030"/>
      <c r="G112" s="1030"/>
      <c r="H112" s="1030"/>
      <c r="I112" s="1030"/>
      <c r="J112" s="1029"/>
      <c r="K112" s="1029"/>
      <c r="L112" s="1029"/>
      <c r="M112" s="971"/>
      <c r="O112" s="2876"/>
    </row>
    <row r="113" spans="1:15" s="439" customFormat="1" ht="8.25" hidden="1" customHeight="1" thickBot="1">
      <c r="A113" s="2835"/>
      <c r="B113" s="954"/>
      <c r="C113" s="954"/>
      <c r="D113" s="1750"/>
      <c r="E113" s="954"/>
      <c r="F113" s="954"/>
      <c r="G113" s="954"/>
      <c r="H113" s="954"/>
      <c r="I113" s="954"/>
      <c r="J113" s="954"/>
      <c r="M113" s="971"/>
      <c r="O113" s="2876"/>
    </row>
    <row r="114" spans="1:15" s="439" customFormat="1" ht="12.75" hidden="1" customHeight="1">
      <c r="A114" s="2837"/>
      <c r="B114" s="1031"/>
      <c r="C114" s="1032">
        <f t="shared" ref="C114:J114" si="65">+C115+C116</f>
        <v>451315927</v>
      </c>
      <c r="D114" s="1991">
        <f>+D115+D116</f>
        <v>716013248</v>
      </c>
      <c r="E114" s="1032"/>
      <c r="F114" s="1032"/>
      <c r="G114" s="1032"/>
      <c r="H114" s="1032"/>
      <c r="I114" s="1032"/>
      <c r="J114" s="1031">
        <f t="shared" si="65"/>
        <v>3003093463</v>
      </c>
      <c r="K114" s="1033"/>
      <c r="L114" s="1033"/>
      <c r="M114" s="971"/>
      <c r="O114" s="2877"/>
    </row>
    <row r="115" spans="1:15" s="439" customFormat="1" ht="12.75" hidden="1" customHeight="1">
      <c r="A115" s="983"/>
      <c r="B115" s="1034"/>
      <c r="C115" s="1035">
        <f t="shared" ref="C115:D116" si="66">+C13+C60</f>
        <v>185141004</v>
      </c>
      <c r="D115" s="1992">
        <f t="shared" si="66"/>
        <v>247770709</v>
      </c>
      <c r="E115" s="1035"/>
      <c r="F115" s="1035"/>
      <c r="G115" s="1035"/>
      <c r="H115" s="1035"/>
      <c r="I115" s="1035"/>
      <c r="J115" s="1034">
        <f>+J13+J60</f>
        <v>1458819492</v>
      </c>
      <c r="K115" s="1036"/>
      <c r="L115" s="1036"/>
      <c r="M115" s="971"/>
    </row>
    <row r="116" spans="1:15" s="439" customFormat="1" ht="12.75" hidden="1" customHeight="1" thickBot="1">
      <c r="A116" s="983"/>
      <c r="B116" s="1037"/>
      <c r="C116" s="1038">
        <f t="shared" si="66"/>
        <v>266174923</v>
      </c>
      <c r="D116" s="1993">
        <f t="shared" si="66"/>
        <v>468242539</v>
      </c>
      <c r="E116" s="1038"/>
      <c r="F116" s="1038"/>
      <c r="G116" s="1038"/>
      <c r="H116" s="1038"/>
      <c r="I116" s="1038"/>
      <c r="J116" s="1037">
        <f>+J14+J61</f>
        <v>1544273971</v>
      </c>
      <c r="K116" s="1039"/>
      <c r="L116" s="1039"/>
      <c r="M116" s="971"/>
    </row>
    <row r="117" spans="1:15" s="439" customFormat="1" ht="21.75" hidden="1" customHeight="1">
      <c r="A117" s="1040" t="s">
        <v>47</v>
      </c>
      <c r="B117" s="1041"/>
      <c r="C117" s="1041">
        <f t="shared" ref="C117:J117" si="67">+C85+C48</f>
        <v>451315927</v>
      </c>
      <c r="D117" s="1994">
        <f t="shared" si="67"/>
        <v>716013248</v>
      </c>
      <c r="E117" s="1041"/>
      <c r="F117" s="1041"/>
      <c r="G117" s="1041"/>
      <c r="H117" s="1041"/>
      <c r="I117" s="1041"/>
      <c r="J117" s="1041">
        <f t="shared" si="67"/>
        <v>3003093463.3000002</v>
      </c>
      <c r="K117" s="1042"/>
      <c r="L117" s="1042"/>
      <c r="M117" s="971"/>
    </row>
    <row r="118" spans="1:15" s="439" customFormat="1" ht="9.75" hidden="1" customHeight="1">
      <c r="A118" s="1040"/>
      <c r="B118" s="1030"/>
      <c r="C118" s="1030">
        <f t="shared" ref="C118:J118" si="68">+C117-C114</f>
        <v>0</v>
      </c>
      <c r="D118" s="1990">
        <f t="shared" si="68"/>
        <v>0</v>
      </c>
      <c r="E118" s="1030"/>
      <c r="F118" s="1030"/>
      <c r="G118" s="1030"/>
      <c r="H118" s="1030"/>
      <c r="I118" s="1030"/>
      <c r="J118" s="1030">
        <f t="shared" si="68"/>
        <v>0.30000019073486328</v>
      </c>
      <c r="K118" s="954"/>
      <c r="L118" s="954"/>
      <c r="M118" s="971"/>
    </row>
    <row r="119" spans="1:15" s="439" customFormat="1" ht="15.75" hidden="1" customHeight="1" thickBot="1">
      <c r="A119" s="1040" t="s">
        <v>48</v>
      </c>
      <c r="B119" s="1041"/>
      <c r="C119" s="1041">
        <f t="shared" ref="C119:J119" si="69">+C86+C49</f>
        <v>270791649</v>
      </c>
      <c r="D119" s="1994">
        <f t="shared" si="69"/>
        <v>472992365</v>
      </c>
      <c r="E119" s="1041"/>
      <c r="F119" s="1041"/>
      <c r="G119" s="1041"/>
      <c r="H119" s="1041"/>
      <c r="I119" s="1041"/>
      <c r="J119" s="1041">
        <f t="shared" si="69"/>
        <v>1648341037</v>
      </c>
      <c r="K119" s="954"/>
      <c r="L119" s="954"/>
      <c r="M119" s="971"/>
    </row>
    <row r="120" spans="1:15" ht="1.5" hidden="1" customHeight="1">
      <c r="A120" s="3586" t="s">
        <v>519</v>
      </c>
      <c r="B120" s="1043"/>
      <c r="C120" s="1045"/>
      <c r="D120" s="1995"/>
      <c r="E120" s="1044"/>
      <c r="F120" s="1043"/>
      <c r="G120" s="1043"/>
      <c r="H120" s="1043"/>
      <c r="I120" s="1043"/>
      <c r="J120" s="1043"/>
      <c r="K120" s="1045"/>
      <c r="L120" s="1045"/>
      <c r="M120" s="2907"/>
      <c r="N120" s="923"/>
      <c r="O120" s="923"/>
    </row>
    <row r="121" spans="1:15" s="947" customFormat="1" ht="27.75" hidden="1" customHeight="1" thickBot="1">
      <c r="A121" s="3587"/>
      <c r="B121" s="1046">
        <f>+B85+B48</f>
        <v>496582705.30000001</v>
      </c>
      <c r="C121" s="1048">
        <f t="shared" ref="C121:J121" si="70">+C85+C48</f>
        <v>451315927</v>
      </c>
      <c r="D121" s="1996">
        <f t="shared" si="70"/>
        <v>716013248</v>
      </c>
      <c r="E121" s="1047">
        <f t="shared" si="70"/>
        <v>615514186</v>
      </c>
      <c r="F121" s="1046">
        <f t="shared" si="70"/>
        <v>490910866</v>
      </c>
      <c r="G121" s="1046">
        <f>+G85+G48</f>
        <v>113084244</v>
      </c>
      <c r="H121" s="1046">
        <f>+H85+H48</f>
        <v>45581871</v>
      </c>
      <c r="I121" s="1046">
        <f>+I85+I48</f>
        <v>40454091</v>
      </c>
      <c r="J121" s="1046">
        <f t="shared" si="70"/>
        <v>3003093463.3000002</v>
      </c>
      <c r="K121" s="1048">
        <f>+K85+K48</f>
        <v>2506510758</v>
      </c>
      <c r="L121" s="1048">
        <f>+L85+L48</f>
        <v>2055194831</v>
      </c>
      <c r="M121" s="3094"/>
      <c r="N121" s="2398"/>
      <c r="O121" s="2398"/>
    </row>
    <row r="122" spans="1:15" hidden="1">
      <c r="A122" s="1" t="s">
        <v>49</v>
      </c>
      <c r="B122" s="2">
        <f t="shared" ref="B122:J122" si="71">+B18+B65+B27</f>
        <v>401719706.30000001</v>
      </c>
      <c r="C122" s="1955">
        <f t="shared" si="71"/>
        <v>174421956</v>
      </c>
      <c r="D122" s="1997">
        <f t="shared" si="71"/>
        <v>225292848</v>
      </c>
      <c r="E122" s="245">
        <f t="shared" si="71"/>
        <v>250727832</v>
      </c>
      <c r="F122" s="2">
        <f t="shared" si="71"/>
        <v>218771425</v>
      </c>
      <c r="G122" s="2">
        <f>+G18+G65+G27</f>
        <v>25032690</v>
      </c>
      <c r="H122" s="2">
        <f t="shared" si="71"/>
        <v>9834431</v>
      </c>
      <c r="I122" s="2">
        <f t="shared" si="71"/>
        <v>8672492</v>
      </c>
      <c r="J122" s="2399">
        <f t="shared" si="71"/>
        <v>1348109705.3</v>
      </c>
      <c r="K122" s="1049">
        <f>+K18+K65+K27</f>
        <v>946389999</v>
      </c>
      <c r="L122" s="1049">
        <f>+L18+L65+L27</f>
        <v>771968043</v>
      </c>
      <c r="M122" s="2907"/>
      <c r="N122" s="923"/>
      <c r="O122" s="923"/>
    </row>
    <row r="123" spans="1:15" hidden="1">
      <c r="A123" s="1" t="s">
        <v>50</v>
      </c>
      <c r="B123" s="2399">
        <f>+B68</f>
        <v>8217368</v>
      </c>
      <c r="C123" s="2400">
        <f t="shared" ref="C123:D123" si="72">+C68</f>
        <v>7874823</v>
      </c>
      <c r="D123" s="1998">
        <f t="shared" si="72"/>
        <v>19795420</v>
      </c>
      <c r="E123" s="1976">
        <f t="shared" ref="E123:L123" si="73">+E68</f>
        <v>64390783</v>
      </c>
      <c r="F123" s="2399">
        <f t="shared" si="73"/>
        <v>30232378</v>
      </c>
      <c r="G123" s="2399">
        <f>+G68</f>
        <v>16856941</v>
      </c>
      <c r="H123" s="2399">
        <f t="shared" si="73"/>
        <v>1472245</v>
      </c>
      <c r="I123" s="2399">
        <f t="shared" si="73"/>
        <v>0</v>
      </c>
      <c r="J123" s="2399">
        <f t="shared" si="73"/>
        <v>148839958</v>
      </c>
      <c r="K123" s="2401">
        <f t="shared" ref="K123" si="74">+K68</f>
        <v>140622590</v>
      </c>
      <c r="L123" s="2401">
        <f t="shared" si="73"/>
        <v>132747767</v>
      </c>
      <c r="M123" s="2907"/>
      <c r="N123" s="923"/>
      <c r="O123" s="923"/>
    </row>
    <row r="124" spans="1:15" ht="13.5" hidden="1" thickBot="1">
      <c r="A124" s="1050" t="s">
        <v>13</v>
      </c>
      <c r="B124" s="2402">
        <f t="shared" ref="B124:L124" si="75">+B19+B70</f>
        <v>2982180</v>
      </c>
      <c r="C124" s="1960">
        <f t="shared" si="75"/>
        <v>25479231</v>
      </c>
      <c r="D124" s="2003">
        <f t="shared" si="75"/>
        <v>29536068</v>
      </c>
      <c r="E124" s="2403">
        <f t="shared" si="75"/>
        <v>4580779</v>
      </c>
      <c r="F124" s="2402">
        <f t="shared" si="75"/>
        <v>3783610</v>
      </c>
      <c r="G124" s="2402">
        <f t="shared" si="75"/>
        <v>1075392</v>
      </c>
      <c r="H124" s="2402">
        <f t="shared" si="75"/>
        <v>666312</v>
      </c>
      <c r="I124" s="2402">
        <f t="shared" si="75"/>
        <v>567846</v>
      </c>
      <c r="J124" s="2402">
        <f>+J19+J70</f>
        <v>68671418</v>
      </c>
      <c r="K124" s="2404">
        <f t="shared" ref="K124" si="76">+K19+K70</f>
        <v>65689238</v>
      </c>
      <c r="L124" s="2404">
        <f t="shared" si="75"/>
        <v>40210007</v>
      </c>
      <c r="M124" s="3434"/>
      <c r="N124" s="1145"/>
      <c r="O124" s="1145"/>
    </row>
    <row r="125" spans="1:15" hidden="1">
      <c r="A125" s="2355" t="s">
        <v>51</v>
      </c>
      <c r="B125" s="2356">
        <f t="shared" ref="B125:L125" si="77">+B20+B72</f>
        <v>0</v>
      </c>
      <c r="C125" s="2357">
        <f t="shared" si="77"/>
        <v>0</v>
      </c>
      <c r="D125" s="2358">
        <f t="shared" si="77"/>
        <v>0</v>
      </c>
      <c r="E125" s="2359">
        <f t="shared" si="77"/>
        <v>0</v>
      </c>
      <c r="F125" s="2356">
        <f t="shared" si="77"/>
        <v>0</v>
      </c>
      <c r="G125" s="2356">
        <f t="shared" si="77"/>
        <v>0</v>
      </c>
      <c r="H125" s="2356">
        <f t="shared" si="77"/>
        <v>0</v>
      </c>
      <c r="I125" s="2356">
        <f t="shared" si="77"/>
        <v>0</v>
      </c>
      <c r="J125" s="2356">
        <f t="shared" si="77"/>
        <v>0</v>
      </c>
      <c r="K125" s="2360">
        <f t="shared" ref="K125" si="78">+K20+K72</f>
        <v>0</v>
      </c>
      <c r="L125" s="2360">
        <f t="shared" si="77"/>
        <v>0</v>
      </c>
      <c r="M125" s="3514">
        <f>+J125+J130</f>
        <v>0</v>
      </c>
    </row>
    <row r="126" spans="1:15" hidden="1">
      <c r="A126" s="394" t="s">
        <v>15</v>
      </c>
      <c r="B126" s="3">
        <f t="shared" ref="B126:L126" si="79">+B21+B69</f>
        <v>14174089</v>
      </c>
      <c r="C126" s="1956">
        <f t="shared" si="79"/>
        <v>6133734</v>
      </c>
      <c r="D126" s="1998">
        <f t="shared" si="79"/>
        <v>12758843</v>
      </c>
      <c r="E126" s="1976">
        <f t="shared" si="79"/>
        <v>2426653</v>
      </c>
      <c r="F126" s="3">
        <f t="shared" si="79"/>
        <v>0</v>
      </c>
      <c r="G126" s="3">
        <f t="shared" si="79"/>
        <v>0</v>
      </c>
      <c r="H126" s="3">
        <f t="shared" si="79"/>
        <v>0</v>
      </c>
      <c r="I126" s="3">
        <f t="shared" si="79"/>
        <v>0</v>
      </c>
      <c r="J126" s="3">
        <f t="shared" si="79"/>
        <v>35493319</v>
      </c>
      <c r="K126" s="1407">
        <f t="shared" ref="K126" si="80">+K21+K69</f>
        <v>21319230</v>
      </c>
      <c r="L126" s="1407">
        <f t="shared" si="79"/>
        <v>15185496</v>
      </c>
      <c r="M126" s="3513"/>
    </row>
    <row r="127" spans="1:15" hidden="1">
      <c r="A127" s="394" t="s">
        <v>52</v>
      </c>
      <c r="B127" s="3">
        <f t="shared" ref="B127:L127" si="81">+B22+B66</f>
        <v>0</v>
      </c>
      <c r="C127" s="1956">
        <f t="shared" si="81"/>
        <v>10003578</v>
      </c>
      <c r="D127" s="1998">
        <f t="shared" si="81"/>
        <v>22098500</v>
      </c>
      <c r="E127" s="1976">
        <f t="shared" si="81"/>
        <v>16484263</v>
      </c>
      <c r="F127" s="3">
        <f t="shared" si="81"/>
        <v>14182860</v>
      </c>
      <c r="G127" s="3">
        <f t="shared" si="81"/>
        <v>0</v>
      </c>
      <c r="H127" s="3">
        <f t="shared" si="81"/>
        <v>0</v>
      </c>
      <c r="I127" s="3">
        <f t="shared" si="81"/>
        <v>0</v>
      </c>
      <c r="J127" s="1498">
        <f>+J22+J66</f>
        <v>62769201</v>
      </c>
      <c r="K127" s="1407">
        <f t="shared" ref="K127" si="82">+K22+K66</f>
        <v>62769201</v>
      </c>
      <c r="L127" s="1407">
        <f t="shared" si="81"/>
        <v>52765623</v>
      </c>
      <c r="M127" s="3513"/>
    </row>
    <row r="128" spans="1:15" hidden="1">
      <c r="A128" s="394" t="s">
        <v>20</v>
      </c>
      <c r="B128" s="3">
        <f t="shared" ref="B128:L128" si="83">+B29</f>
        <v>770242</v>
      </c>
      <c r="C128" s="1956">
        <f t="shared" si="83"/>
        <v>1000275</v>
      </c>
      <c r="D128" s="1998">
        <f t="shared" si="83"/>
        <v>1361378</v>
      </c>
      <c r="E128" s="1976">
        <f t="shared" si="83"/>
        <v>13721857</v>
      </c>
      <c r="F128" s="3">
        <f t="shared" si="83"/>
        <v>26053854</v>
      </c>
      <c r="G128" s="3">
        <f t="shared" si="83"/>
        <v>5606076</v>
      </c>
      <c r="H128" s="3">
        <f t="shared" si="83"/>
        <v>0</v>
      </c>
      <c r="I128" s="3">
        <f t="shared" si="83"/>
        <v>0</v>
      </c>
      <c r="J128" s="1498">
        <f t="shared" si="83"/>
        <v>48513682</v>
      </c>
      <c r="K128" s="1407">
        <f t="shared" ref="K128" si="84">+K29</f>
        <v>47743440</v>
      </c>
      <c r="L128" s="1407">
        <f t="shared" si="83"/>
        <v>46743165</v>
      </c>
      <c r="M128" s="3513"/>
    </row>
    <row r="129" spans="1:13" hidden="1">
      <c r="A129" s="394" t="s">
        <v>17</v>
      </c>
      <c r="B129" s="3">
        <f t="shared" ref="B129:L129" si="85">+B24</f>
        <v>0</v>
      </c>
      <c r="C129" s="1956">
        <f t="shared" si="85"/>
        <v>0</v>
      </c>
      <c r="D129" s="1998">
        <f t="shared" si="85"/>
        <v>11485758</v>
      </c>
      <c r="E129" s="1976">
        <f t="shared" si="85"/>
        <v>3189386</v>
      </c>
      <c r="F129" s="3">
        <f t="shared" si="85"/>
        <v>4581649</v>
      </c>
      <c r="G129" s="3">
        <f t="shared" si="85"/>
        <v>886081</v>
      </c>
      <c r="H129" s="3">
        <f t="shared" si="85"/>
        <v>0</v>
      </c>
      <c r="I129" s="3">
        <f t="shared" si="85"/>
        <v>0</v>
      </c>
      <c r="J129" s="3">
        <f t="shared" si="85"/>
        <v>20142874</v>
      </c>
      <c r="K129" s="1407">
        <f t="shared" ref="K129" si="86">+K24</f>
        <v>20142874</v>
      </c>
      <c r="L129" s="1407">
        <f t="shared" si="85"/>
        <v>20142874</v>
      </c>
      <c r="M129" s="3513"/>
    </row>
    <row r="130" spans="1:13" ht="22.5" hidden="1" customHeight="1">
      <c r="A130" s="394" t="s">
        <v>53</v>
      </c>
      <c r="B130" s="3">
        <f t="shared" ref="B130:L130" si="87">+B30</f>
        <v>0</v>
      </c>
      <c r="C130" s="1956">
        <f t="shared" si="87"/>
        <v>0</v>
      </c>
      <c r="D130" s="1998">
        <f t="shared" si="87"/>
        <v>0</v>
      </c>
      <c r="E130" s="1976">
        <f t="shared" si="87"/>
        <v>0</v>
      </c>
      <c r="F130" s="3">
        <f t="shared" si="87"/>
        <v>0</v>
      </c>
      <c r="G130" s="3">
        <f t="shared" si="87"/>
        <v>0</v>
      </c>
      <c r="H130" s="3">
        <f t="shared" si="87"/>
        <v>0</v>
      </c>
      <c r="I130" s="3">
        <f t="shared" si="87"/>
        <v>0</v>
      </c>
      <c r="J130" s="3">
        <f t="shared" si="87"/>
        <v>0</v>
      </c>
      <c r="K130" s="1407">
        <f t="shared" ref="K130" si="88">+K30</f>
        <v>0</v>
      </c>
      <c r="L130" s="1407">
        <f t="shared" si="87"/>
        <v>0</v>
      </c>
      <c r="M130" s="3513"/>
    </row>
    <row r="131" spans="1:13" ht="16.5" hidden="1" customHeight="1">
      <c r="A131" s="394" t="s">
        <v>19</v>
      </c>
      <c r="B131" s="3">
        <f t="shared" ref="B131:L131" si="89">+B28</f>
        <v>0</v>
      </c>
      <c r="C131" s="1956">
        <f t="shared" si="89"/>
        <v>0</v>
      </c>
      <c r="D131" s="1998">
        <f t="shared" si="89"/>
        <v>0</v>
      </c>
      <c r="E131" s="1976">
        <f t="shared" si="89"/>
        <v>0</v>
      </c>
      <c r="F131" s="3">
        <f t="shared" si="89"/>
        <v>0</v>
      </c>
      <c r="G131" s="3">
        <f t="shared" si="89"/>
        <v>0</v>
      </c>
      <c r="H131" s="3">
        <f t="shared" si="89"/>
        <v>0</v>
      </c>
      <c r="I131" s="3">
        <f t="shared" si="89"/>
        <v>0</v>
      </c>
      <c r="J131" s="3">
        <f t="shared" si="89"/>
        <v>0</v>
      </c>
      <c r="K131" s="1408">
        <f t="shared" ref="K131" si="90">+K28</f>
        <v>0</v>
      </c>
      <c r="L131" s="1408">
        <f t="shared" si="89"/>
        <v>0</v>
      </c>
      <c r="M131" s="3513"/>
    </row>
    <row r="132" spans="1:13" ht="13.5" hidden="1" thickBot="1">
      <c r="A132" s="1050" t="s">
        <v>21</v>
      </c>
      <c r="B132" s="5">
        <f t="shared" ref="B132:L132" si="91">+B31</f>
        <v>68719120</v>
      </c>
      <c r="C132" s="1957">
        <f t="shared" si="91"/>
        <v>226402330</v>
      </c>
      <c r="D132" s="1999">
        <f t="shared" si="91"/>
        <v>393684433</v>
      </c>
      <c r="E132" s="1977">
        <f t="shared" si="91"/>
        <v>259992633</v>
      </c>
      <c r="F132" s="5">
        <f t="shared" si="91"/>
        <v>193305090</v>
      </c>
      <c r="G132" s="5">
        <f t="shared" si="91"/>
        <v>63627064</v>
      </c>
      <c r="H132" s="5">
        <f t="shared" si="91"/>
        <v>33608883</v>
      </c>
      <c r="I132" s="5">
        <f t="shared" si="91"/>
        <v>31213753</v>
      </c>
      <c r="J132" s="5">
        <f t="shared" si="91"/>
        <v>1270553306</v>
      </c>
      <c r="K132" s="1409">
        <f t="shared" ref="K132" si="92">+K31</f>
        <v>1201834186</v>
      </c>
      <c r="L132" s="1409">
        <f t="shared" si="91"/>
        <v>975431856</v>
      </c>
      <c r="M132" s="3513"/>
    </row>
    <row r="133" spans="1:13" s="947" customFormat="1" ht="18" hidden="1" customHeight="1">
      <c r="A133" s="1051"/>
      <c r="B133" s="1053">
        <f t="shared" ref="B133:L133" si="93">SUM(B122:B132)</f>
        <v>496582705.30000001</v>
      </c>
      <c r="C133" s="1052">
        <f t="shared" si="93"/>
        <v>451315927</v>
      </c>
      <c r="D133" s="2000">
        <f t="shared" si="93"/>
        <v>716013248</v>
      </c>
      <c r="E133" s="1052">
        <f t="shared" si="93"/>
        <v>615514186</v>
      </c>
      <c r="F133" s="1052">
        <f t="shared" si="93"/>
        <v>490910866</v>
      </c>
      <c r="G133" s="1052">
        <f>SUM(G122:G132)</f>
        <v>113084244</v>
      </c>
      <c r="H133" s="1052">
        <f t="shared" si="93"/>
        <v>45581871</v>
      </c>
      <c r="I133" s="1052">
        <f t="shared" si="93"/>
        <v>40454091</v>
      </c>
      <c r="J133" s="1052">
        <f t="shared" si="93"/>
        <v>3003093463.3000002</v>
      </c>
      <c r="K133" s="1052">
        <f t="shared" ref="K133" si="94">SUM(K122:K132)</f>
        <v>2506510758</v>
      </c>
      <c r="L133" s="1052">
        <f t="shared" si="93"/>
        <v>2055194831</v>
      </c>
      <c r="M133" s="2704"/>
    </row>
    <row r="134" spans="1:13" ht="18" hidden="1" customHeight="1" thickBot="1">
      <c r="A134" s="1054"/>
      <c r="B134" s="1055">
        <f t="shared" ref="B134:I134" si="95">+B133-B88</f>
        <v>0.30000001192092896</v>
      </c>
      <c r="C134" s="1055">
        <f t="shared" si="95"/>
        <v>0</v>
      </c>
      <c r="D134" s="3519">
        <f>+D133-D88</f>
        <v>0</v>
      </c>
      <c r="E134" s="1055">
        <f t="shared" si="95"/>
        <v>0</v>
      </c>
      <c r="F134" s="1055">
        <f t="shared" si="95"/>
        <v>0</v>
      </c>
      <c r="G134" s="1055">
        <f>+G133-G88</f>
        <v>0</v>
      </c>
      <c r="H134" s="1055">
        <f t="shared" si="95"/>
        <v>0</v>
      </c>
      <c r="I134" s="1055">
        <f t="shared" si="95"/>
        <v>0</v>
      </c>
      <c r="J134" s="1055">
        <f>+J133-J88</f>
        <v>0.30000019073486328</v>
      </c>
      <c r="K134" s="1055"/>
      <c r="L134" s="1055"/>
      <c r="M134" s="3513"/>
    </row>
    <row r="135" spans="1:13" ht="30" hidden="1" customHeight="1" thickBot="1">
      <c r="A135" s="3520" t="s">
        <v>520</v>
      </c>
      <c r="B135" s="1056">
        <f>+B86+B49</f>
        <v>126045766</v>
      </c>
      <c r="C135" s="1958">
        <f t="shared" ref="C135:I135" si="96">+C86+C49</f>
        <v>270791649</v>
      </c>
      <c r="D135" s="2001">
        <f t="shared" si="96"/>
        <v>472992365</v>
      </c>
      <c r="E135" s="1057">
        <f t="shared" si="96"/>
        <v>348170064</v>
      </c>
      <c r="F135" s="1056">
        <f t="shared" si="96"/>
        <v>268917852</v>
      </c>
      <c r="G135" s="1056">
        <f t="shared" si="96"/>
        <v>82357391</v>
      </c>
      <c r="H135" s="1056">
        <f t="shared" si="96"/>
        <v>35776859</v>
      </c>
      <c r="I135" s="1056">
        <f t="shared" si="96"/>
        <v>32142634</v>
      </c>
      <c r="J135" s="1056">
        <f>+J86+J49</f>
        <v>1648341037</v>
      </c>
      <c r="K135" s="1058" t="s">
        <v>23</v>
      </c>
      <c r="L135" s="1058" t="s">
        <v>23</v>
      </c>
      <c r="M135" s="3513"/>
    </row>
    <row r="136" spans="1:13" ht="14.25" hidden="1" customHeight="1">
      <c r="A136" s="1" t="s">
        <v>54</v>
      </c>
      <c r="B136" s="245">
        <f>+B35</f>
        <v>0</v>
      </c>
      <c r="C136" s="1955">
        <f t="shared" ref="C136:L136" si="97">+C35</f>
        <v>0</v>
      </c>
      <c r="D136" s="1997">
        <f t="shared" si="97"/>
        <v>0</v>
      </c>
      <c r="E136" s="245">
        <f>+E35</f>
        <v>0</v>
      </c>
      <c r="F136" s="2">
        <f t="shared" si="97"/>
        <v>0</v>
      </c>
      <c r="G136" s="2">
        <f t="shared" si="97"/>
        <v>0</v>
      </c>
      <c r="H136" s="2">
        <f t="shared" si="97"/>
        <v>0</v>
      </c>
      <c r="I136" s="2">
        <f t="shared" si="97"/>
        <v>0</v>
      </c>
      <c r="J136" s="1059">
        <f t="shared" si="97"/>
        <v>0</v>
      </c>
      <c r="K136" s="2">
        <f t="shared" ref="K136" si="98">+K35</f>
        <v>0</v>
      </c>
      <c r="L136" s="2">
        <f t="shared" si="97"/>
        <v>0</v>
      </c>
      <c r="M136" s="3513"/>
    </row>
    <row r="137" spans="1:13" ht="14.25" hidden="1" customHeight="1">
      <c r="A137" s="394" t="s">
        <v>13</v>
      </c>
      <c r="B137" s="4">
        <f t="shared" ref="B137:L137" si="99">+B77+B34</f>
        <v>2951841</v>
      </c>
      <c r="C137" s="1956">
        <f t="shared" si="99"/>
        <v>25461540</v>
      </c>
      <c r="D137" s="1998">
        <f t="shared" si="99"/>
        <v>29541764</v>
      </c>
      <c r="E137" s="1976">
        <f t="shared" si="99"/>
        <v>4595748</v>
      </c>
      <c r="F137" s="3">
        <f t="shared" si="99"/>
        <v>3783610</v>
      </c>
      <c r="G137" s="3">
        <f t="shared" si="99"/>
        <v>1102757</v>
      </c>
      <c r="H137" s="3">
        <f t="shared" si="99"/>
        <v>666312</v>
      </c>
      <c r="I137" s="3">
        <f t="shared" si="99"/>
        <v>567846</v>
      </c>
      <c r="J137" s="1060">
        <f t="shared" si="99"/>
        <v>68671418</v>
      </c>
      <c r="K137" s="3">
        <f t="shared" ref="K137" si="100">+K77+K34</f>
        <v>0</v>
      </c>
      <c r="L137" s="3">
        <f t="shared" si="99"/>
        <v>0</v>
      </c>
      <c r="M137" s="3513"/>
    </row>
    <row r="138" spans="1:13" ht="14.25" hidden="1" customHeight="1">
      <c r="A138" s="394" t="s">
        <v>15</v>
      </c>
      <c r="B138" s="4">
        <f t="shared" ref="B138:L138" si="101">+B37+B78</f>
        <v>14168595</v>
      </c>
      <c r="C138" s="1956">
        <f t="shared" si="101"/>
        <v>5739934</v>
      </c>
      <c r="D138" s="1998">
        <f t="shared" si="101"/>
        <v>13158137</v>
      </c>
      <c r="E138" s="1976">
        <f t="shared" si="101"/>
        <v>2426653</v>
      </c>
      <c r="F138" s="3">
        <f t="shared" si="101"/>
        <v>0</v>
      </c>
      <c r="G138" s="3">
        <f t="shared" si="101"/>
        <v>0</v>
      </c>
      <c r="H138" s="3">
        <f t="shared" si="101"/>
        <v>0</v>
      </c>
      <c r="I138" s="3">
        <f t="shared" si="101"/>
        <v>0</v>
      </c>
      <c r="J138" s="1060">
        <f t="shared" si="101"/>
        <v>35493319</v>
      </c>
      <c r="K138" s="3">
        <f t="shared" ref="K138" si="102">+K37+K78</f>
        <v>0</v>
      </c>
      <c r="L138" s="3">
        <f t="shared" si="101"/>
        <v>0</v>
      </c>
      <c r="M138" s="3513"/>
    </row>
    <row r="139" spans="1:13" ht="14.25" hidden="1" customHeight="1">
      <c r="A139" s="394" t="s">
        <v>52</v>
      </c>
      <c r="B139" s="4">
        <f t="shared" ref="B139:L139" si="103">+B38+B79</f>
        <v>28772061</v>
      </c>
      <c r="C139" s="1956">
        <f t="shared" si="103"/>
        <v>8419285</v>
      </c>
      <c r="D139" s="1998">
        <f t="shared" si="103"/>
        <v>8739285</v>
      </c>
      <c r="E139" s="1976">
        <f t="shared" si="103"/>
        <v>8419285</v>
      </c>
      <c r="F139" s="3">
        <f t="shared" si="103"/>
        <v>8419285</v>
      </c>
      <c r="G139" s="3">
        <f t="shared" si="103"/>
        <v>0</v>
      </c>
      <c r="H139" s="3">
        <f t="shared" si="103"/>
        <v>0</v>
      </c>
      <c r="I139" s="3">
        <f t="shared" si="103"/>
        <v>0</v>
      </c>
      <c r="J139" s="1060">
        <f t="shared" si="103"/>
        <v>62769201</v>
      </c>
      <c r="K139" s="3">
        <f t="shared" ref="K139" si="104">+K38+K79</f>
        <v>0</v>
      </c>
      <c r="L139" s="3">
        <f t="shared" si="103"/>
        <v>0</v>
      </c>
      <c r="M139" s="3513"/>
    </row>
    <row r="140" spans="1:13" ht="14.25" hidden="1" customHeight="1">
      <c r="A140" s="1" t="s">
        <v>12</v>
      </c>
      <c r="B140" s="4">
        <f t="shared" ref="B140:L140" si="105">+B80</f>
        <v>23298471</v>
      </c>
      <c r="C140" s="1956">
        <f t="shared" si="105"/>
        <v>13980246</v>
      </c>
      <c r="D140" s="1998">
        <f t="shared" si="105"/>
        <v>26403369</v>
      </c>
      <c r="E140" s="1976">
        <f t="shared" si="105"/>
        <v>37802099</v>
      </c>
      <c r="F140" s="3">
        <f t="shared" si="105"/>
        <v>33387250</v>
      </c>
      <c r="G140" s="3">
        <f t="shared" si="105"/>
        <v>5675073</v>
      </c>
      <c r="H140" s="3">
        <f t="shared" si="105"/>
        <v>1650729</v>
      </c>
      <c r="I140" s="3">
        <f t="shared" si="105"/>
        <v>0</v>
      </c>
      <c r="J140" s="1060">
        <f t="shared" si="105"/>
        <v>142197237</v>
      </c>
      <c r="K140" s="3">
        <f t="shared" ref="K140" si="106">+K80</f>
        <v>0</v>
      </c>
      <c r="L140" s="3">
        <f t="shared" si="105"/>
        <v>0</v>
      </c>
      <c r="M140" s="3513"/>
    </row>
    <row r="141" spans="1:13" ht="13.5" hidden="1" customHeight="1">
      <c r="A141" s="394" t="s">
        <v>55</v>
      </c>
      <c r="B141" s="4">
        <f t="shared" ref="B141:L141" si="107">+B81+B36</f>
        <v>0</v>
      </c>
      <c r="C141" s="1956">
        <f t="shared" si="107"/>
        <v>0</v>
      </c>
      <c r="D141" s="1998">
        <f t="shared" si="107"/>
        <v>0</v>
      </c>
      <c r="E141" s="1976">
        <f t="shared" si="107"/>
        <v>0</v>
      </c>
      <c r="F141" s="3">
        <f t="shared" si="107"/>
        <v>0</v>
      </c>
      <c r="G141" s="3">
        <f t="shared" si="107"/>
        <v>0</v>
      </c>
      <c r="H141" s="3">
        <f t="shared" si="107"/>
        <v>0</v>
      </c>
      <c r="I141" s="3">
        <f t="shared" si="107"/>
        <v>0</v>
      </c>
      <c r="J141" s="1060">
        <f t="shared" si="107"/>
        <v>0</v>
      </c>
      <c r="K141" s="3">
        <f t="shared" ref="K141" si="108">+K81+K36</f>
        <v>0</v>
      </c>
      <c r="L141" s="3">
        <f t="shared" si="107"/>
        <v>0</v>
      </c>
      <c r="M141" s="3513"/>
    </row>
    <row r="142" spans="1:13" ht="12.75" hidden="1" customHeight="1">
      <c r="A142" s="394" t="s">
        <v>56</v>
      </c>
      <c r="B142" s="4">
        <f t="shared" ref="B142:L142" si="109">+B44</f>
        <v>0</v>
      </c>
      <c r="C142" s="1956">
        <f t="shared" si="109"/>
        <v>0</v>
      </c>
      <c r="D142" s="1998">
        <f t="shared" si="109"/>
        <v>0</v>
      </c>
      <c r="E142" s="1976">
        <f t="shared" si="109"/>
        <v>0</v>
      </c>
      <c r="F142" s="3">
        <f t="shared" si="109"/>
        <v>0</v>
      </c>
      <c r="G142" s="3">
        <f t="shared" si="109"/>
        <v>0</v>
      </c>
      <c r="H142" s="3">
        <f t="shared" si="109"/>
        <v>0</v>
      </c>
      <c r="I142" s="3">
        <f t="shared" si="109"/>
        <v>0</v>
      </c>
      <c r="J142" s="1060">
        <f t="shared" si="109"/>
        <v>0</v>
      </c>
      <c r="K142" s="3">
        <f t="shared" ref="K142" si="110">+K44</f>
        <v>0</v>
      </c>
      <c r="L142" s="3">
        <f t="shared" si="109"/>
        <v>0</v>
      </c>
      <c r="M142" s="3513"/>
    </row>
    <row r="143" spans="1:13" ht="14.25" hidden="1" customHeight="1">
      <c r="A143" s="394" t="s">
        <v>17</v>
      </c>
      <c r="B143" s="4">
        <f t="shared" ref="B143:L143" si="111">+B42+B39</f>
        <v>0</v>
      </c>
      <c r="C143" s="1956">
        <f t="shared" si="111"/>
        <v>0</v>
      </c>
      <c r="D143" s="1998">
        <f t="shared" si="111"/>
        <v>11485758</v>
      </c>
      <c r="E143" s="1976">
        <f t="shared" si="111"/>
        <v>3189386</v>
      </c>
      <c r="F143" s="3">
        <f t="shared" si="111"/>
        <v>4581649</v>
      </c>
      <c r="G143" s="3">
        <f t="shared" si="111"/>
        <v>886081</v>
      </c>
      <c r="H143" s="3">
        <f t="shared" si="111"/>
        <v>0</v>
      </c>
      <c r="I143" s="3">
        <f t="shared" si="111"/>
        <v>0</v>
      </c>
      <c r="J143" s="1060">
        <f t="shared" si="111"/>
        <v>20142874</v>
      </c>
      <c r="K143" s="3">
        <f t="shared" ref="K143" si="112">+K42+K39</f>
        <v>0</v>
      </c>
      <c r="L143" s="3">
        <f t="shared" si="111"/>
        <v>0</v>
      </c>
      <c r="M143" s="3513"/>
    </row>
    <row r="144" spans="1:13" ht="21.75" hidden="1" customHeight="1">
      <c r="A144" s="394" t="s">
        <v>26</v>
      </c>
      <c r="B144" s="3">
        <f t="shared" ref="B144:L144" si="113">+B40</f>
        <v>0</v>
      </c>
      <c r="C144" s="1956">
        <f t="shared" si="113"/>
        <v>0</v>
      </c>
      <c r="D144" s="1998">
        <f t="shared" si="113"/>
        <v>0</v>
      </c>
      <c r="E144" s="1976">
        <f t="shared" si="113"/>
        <v>0</v>
      </c>
      <c r="F144" s="3">
        <f t="shared" si="113"/>
        <v>0</v>
      </c>
      <c r="G144" s="3">
        <f t="shared" si="113"/>
        <v>0</v>
      </c>
      <c r="H144" s="3">
        <f t="shared" si="113"/>
        <v>0</v>
      </c>
      <c r="I144" s="3">
        <f t="shared" si="113"/>
        <v>0</v>
      </c>
      <c r="J144" s="1060">
        <f t="shared" si="113"/>
        <v>0</v>
      </c>
      <c r="K144" s="3">
        <f t="shared" ref="K144" si="114">+K40</f>
        <v>0</v>
      </c>
      <c r="L144" s="3">
        <f t="shared" si="113"/>
        <v>0</v>
      </c>
      <c r="M144" s="3513"/>
    </row>
    <row r="145" spans="1:15" ht="14.25" hidden="1" customHeight="1">
      <c r="A145" s="394" t="s">
        <v>20</v>
      </c>
      <c r="B145" s="4">
        <f t="shared" ref="B145:L145" si="115">+B45</f>
        <v>292115</v>
      </c>
      <c r="C145" s="1956">
        <f t="shared" si="115"/>
        <v>696268</v>
      </c>
      <c r="D145" s="1998">
        <f t="shared" si="115"/>
        <v>1239354</v>
      </c>
      <c r="E145" s="1976">
        <f t="shared" si="115"/>
        <v>14467808</v>
      </c>
      <c r="F145" s="3">
        <f t="shared" si="115"/>
        <v>26130046</v>
      </c>
      <c r="G145" s="3">
        <f t="shared" si="115"/>
        <v>5688091</v>
      </c>
      <c r="H145" s="3">
        <f t="shared" si="115"/>
        <v>0</v>
      </c>
      <c r="I145" s="3">
        <f t="shared" si="115"/>
        <v>0</v>
      </c>
      <c r="J145" s="1060">
        <f t="shared" si="115"/>
        <v>48513682</v>
      </c>
      <c r="K145" s="3">
        <f t="shared" ref="K145" si="116">+K45</f>
        <v>0</v>
      </c>
      <c r="L145" s="3">
        <f t="shared" si="115"/>
        <v>0</v>
      </c>
      <c r="M145" s="3513"/>
    </row>
    <row r="146" spans="1:15" ht="14.25" hidden="1" customHeight="1">
      <c r="A146" s="1061" t="s">
        <v>19</v>
      </c>
      <c r="B146" s="253">
        <f t="shared" ref="B146:L146" si="117">+B43</f>
        <v>0</v>
      </c>
      <c r="C146" s="1959">
        <f t="shared" si="117"/>
        <v>0</v>
      </c>
      <c r="D146" s="2002">
        <f t="shared" si="117"/>
        <v>0</v>
      </c>
      <c r="E146" s="1978">
        <f t="shared" si="117"/>
        <v>0</v>
      </c>
      <c r="F146" s="253">
        <f t="shared" si="117"/>
        <v>0</v>
      </c>
      <c r="G146" s="253">
        <f t="shared" si="117"/>
        <v>0</v>
      </c>
      <c r="H146" s="253">
        <f t="shared" si="117"/>
        <v>0</v>
      </c>
      <c r="I146" s="253">
        <f t="shared" si="117"/>
        <v>0</v>
      </c>
      <c r="J146" s="1060">
        <f t="shared" si="117"/>
        <v>0</v>
      </c>
      <c r="K146" s="253">
        <f t="shared" ref="K146" si="118">+K43</f>
        <v>0</v>
      </c>
      <c r="L146" s="253">
        <f t="shared" si="117"/>
        <v>0</v>
      </c>
      <c r="M146" s="3513"/>
    </row>
    <row r="147" spans="1:15" ht="14.25" hidden="1" customHeight="1" thickBot="1">
      <c r="A147" s="1050" t="s">
        <v>21</v>
      </c>
      <c r="B147" s="1063">
        <f t="shared" ref="B147:L147" si="119">+B46</f>
        <v>56562683</v>
      </c>
      <c r="C147" s="1960">
        <f t="shared" si="119"/>
        <v>216494376</v>
      </c>
      <c r="D147" s="2003">
        <f t="shared" si="119"/>
        <v>382424698</v>
      </c>
      <c r="E147" s="1979">
        <f t="shared" si="119"/>
        <v>277269085</v>
      </c>
      <c r="F147" s="1062">
        <f t="shared" si="119"/>
        <v>192616012</v>
      </c>
      <c r="G147" s="1062">
        <f t="shared" si="119"/>
        <v>69005389</v>
      </c>
      <c r="H147" s="1062">
        <f t="shared" si="119"/>
        <v>33459818</v>
      </c>
      <c r="I147" s="1062">
        <f t="shared" si="119"/>
        <v>31574788</v>
      </c>
      <c r="J147" s="1064">
        <f t="shared" si="119"/>
        <v>1270553306</v>
      </c>
      <c r="K147" s="1062">
        <f t="shared" ref="K147" si="120">+K46</f>
        <v>0</v>
      </c>
      <c r="L147" s="1062">
        <f t="shared" si="119"/>
        <v>0</v>
      </c>
      <c r="M147" s="3513"/>
    </row>
    <row r="148" spans="1:15" ht="14.25" hidden="1" customHeight="1">
      <c r="A148" s="1065"/>
      <c r="B148" s="1066">
        <f>SUM(B136:B147)</f>
        <v>126045766</v>
      </c>
      <c r="C148" s="1066">
        <f t="shared" ref="C148:J148" si="121">SUM(C136:C147)</f>
        <v>270791649</v>
      </c>
      <c r="D148" s="2004">
        <f t="shared" si="121"/>
        <v>472992365</v>
      </c>
      <c r="E148" s="1066">
        <f>SUM(E136:E147)</f>
        <v>348170064</v>
      </c>
      <c r="F148" s="1066">
        <f>SUM(F136:F147)</f>
        <v>268917852</v>
      </c>
      <c r="G148" s="1066">
        <f t="shared" ref="G148:I148" si="122">SUM(G136:G147)</f>
        <v>82357391</v>
      </c>
      <c r="H148" s="1066">
        <f t="shared" si="122"/>
        <v>35776859</v>
      </c>
      <c r="I148" s="1066">
        <f t="shared" si="122"/>
        <v>32142634</v>
      </c>
      <c r="J148" s="1066">
        <f t="shared" si="121"/>
        <v>1648341037</v>
      </c>
      <c r="K148" s="1066">
        <f>SUM(K136:K147)</f>
        <v>0</v>
      </c>
      <c r="L148" s="1066">
        <f>SUM(L136:L147)</f>
        <v>0</v>
      </c>
      <c r="M148" s="3513"/>
    </row>
    <row r="149" spans="1:15" ht="14.25" hidden="1" customHeight="1">
      <c r="A149" s="1067"/>
      <c r="B149" s="1068">
        <f t="shared" ref="B149:F149" si="123">+B148-B91</f>
        <v>0</v>
      </c>
      <c r="C149" s="1068">
        <f t="shared" si="123"/>
        <v>0</v>
      </c>
      <c r="D149" s="2005">
        <f t="shared" si="123"/>
        <v>0</v>
      </c>
      <c r="E149" s="1068">
        <f t="shared" si="123"/>
        <v>0</v>
      </c>
      <c r="F149" s="1068">
        <f t="shared" si="123"/>
        <v>0</v>
      </c>
      <c r="G149" s="1068">
        <f t="shared" ref="G149:I149" si="124">+G148-G91</f>
        <v>0</v>
      </c>
      <c r="H149" s="1068">
        <f t="shared" si="124"/>
        <v>0</v>
      </c>
      <c r="I149" s="1068">
        <f t="shared" si="124"/>
        <v>0</v>
      </c>
      <c r="J149" s="1068">
        <f>+J148-J91</f>
        <v>0</v>
      </c>
      <c r="K149" s="1066"/>
      <c r="L149" s="1066"/>
      <c r="M149" s="3513"/>
    </row>
    <row r="150" spans="1:15" ht="13.5" hidden="1" thickBot="1">
      <c r="A150" s="923"/>
      <c r="B150" s="1069" t="s">
        <v>381</v>
      </c>
      <c r="C150" s="1954" t="s">
        <v>5</v>
      </c>
      <c r="D150" s="2006" t="s">
        <v>6</v>
      </c>
      <c r="E150" s="1975" t="s">
        <v>179</v>
      </c>
      <c r="F150" s="1026" t="s">
        <v>181</v>
      </c>
      <c r="G150" s="1026" t="s">
        <v>220</v>
      </c>
      <c r="H150" s="1026" t="s">
        <v>221</v>
      </c>
      <c r="I150" s="1026" t="s">
        <v>219</v>
      </c>
      <c r="J150" s="1027" t="s">
        <v>46</v>
      </c>
      <c r="K150" s="1070" t="s">
        <v>331</v>
      </c>
      <c r="L150" s="1070" t="s">
        <v>425</v>
      </c>
      <c r="M150" s="3513"/>
    </row>
    <row r="151" spans="1:15" ht="3" hidden="1" customHeight="1">
      <c r="A151" s="3588" t="s">
        <v>521</v>
      </c>
      <c r="B151" s="1072"/>
      <c r="C151" s="1072"/>
      <c r="D151" s="2007"/>
      <c r="E151" s="1073"/>
      <c r="F151" s="1071"/>
      <c r="G151" s="1071"/>
      <c r="H151" s="1071"/>
      <c r="I151" s="1071"/>
      <c r="J151" s="1071"/>
      <c r="K151" s="1074"/>
      <c r="L151" s="1074"/>
      <c r="M151" s="3513"/>
    </row>
    <row r="152" spans="1:15" ht="27" hidden="1" customHeight="1" thickBot="1">
      <c r="A152" s="3589"/>
      <c r="B152" s="1075">
        <f>SUM(B153:B163)</f>
        <v>496671263.30000001</v>
      </c>
      <c r="C152" s="1077">
        <f t="shared" ref="C152:D152" si="125">SUM(C153:C163)</f>
        <v>451982254</v>
      </c>
      <c r="D152" s="2008">
        <f t="shared" si="125"/>
        <v>820844730</v>
      </c>
      <c r="E152" s="1076">
        <f t="shared" ref="E152:L152" si="126">SUM(E153:E163)</f>
        <v>506785256</v>
      </c>
      <c r="F152" s="1075">
        <f t="shared" si="126"/>
        <v>328327455</v>
      </c>
      <c r="G152" s="1075">
        <f t="shared" si="126"/>
        <v>69666665</v>
      </c>
      <c r="H152" s="1075">
        <f t="shared" si="126"/>
        <v>45548327</v>
      </c>
      <c r="I152" s="1075">
        <f t="shared" si="126"/>
        <v>40488047</v>
      </c>
      <c r="J152" s="1075">
        <f t="shared" si="126"/>
        <v>2794621444.3000002</v>
      </c>
      <c r="K152" s="1077">
        <f t="shared" ref="K152" si="127">SUM(K153:K163)</f>
        <v>2297950181</v>
      </c>
      <c r="L152" s="1077">
        <f t="shared" si="126"/>
        <v>1845967927</v>
      </c>
      <c r="M152" s="3513"/>
    </row>
    <row r="153" spans="1:15" hidden="1">
      <c r="A153" s="1078" t="s">
        <v>49</v>
      </c>
      <c r="B153" s="1081">
        <v>401944915.30000001</v>
      </c>
      <c r="C153" s="1961">
        <v>175602821</v>
      </c>
      <c r="D153" s="2009">
        <v>273293654</v>
      </c>
      <c r="E153" s="1980">
        <v>233093599</v>
      </c>
      <c r="F153" s="1079">
        <v>196356444</v>
      </c>
      <c r="G153" s="1079">
        <v>15533606</v>
      </c>
      <c r="H153" s="1079">
        <v>9800887</v>
      </c>
      <c r="I153" s="1079">
        <v>8706448</v>
      </c>
      <c r="J153" s="1079">
        <v>1348639821.3</v>
      </c>
      <c r="K153" s="1080">
        <v>946694906</v>
      </c>
      <c r="L153" s="1080">
        <v>771092085</v>
      </c>
      <c r="M153" s="3513"/>
      <c r="N153" s="935"/>
      <c r="O153" s="935"/>
    </row>
    <row r="154" spans="1:15" hidden="1">
      <c r="A154" s="1078" t="s">
        <v>50</v>
      </c>
      <c r="B154" s="1081">
        <v>8217368</v>
      </c>
      <c r="C154" s="1961">
        <v>7874823</v>
      </c>
      <c r="D154" s="2009">
        <v>21326692</v>
      </c>
      <c r="E154" s="1980">
        <v>64005701</v>
      </c>
      <c r="F154" s="1079">
        <v>28482568</v>
      </c>
      <c r="G154" s="1079">
        <v>16856220</v>
      </c>
      <c r="H154" s="1079">
        <v>1472245</v>
      </c>
      <c r="I154" s="1079">
        <v>0</v>
      </c>
      <c r="J154" s="1079">
        <v>148235617</v>
      </c>
      <c r="K154" s="1080">
        <v>140018249</v>
      </c>
      <c r="L154" s="1080">
        <v>132143426</v>
      </c>
      <c r="M154" s="3513"/>
      <c r="N154" s="935"/>
      <c r="O154" s="935"/>
    </row>
    <row r="155" spans="1:15" hidden="1">
      <c r="A155" s="154" t="s">
        <v>13</v>
      </c>
      <c r="B155" s="1081">
        <v>2982180</v>
      </c>
      <c r="C155" s="1961">
        <v>25479231</v>
      </c>
      <c r="D155" s="2009">
        <v>3918181</v>
      </c>
      <c r="E155" s="1980">
        <v>4580479</v>
      </c>
      <c r="F155" s="1079">
        <v>3783610</v>
      </c>
      <c r="G155" s="1079">
        <v>1075392</v>
      </c>
      <c r="H155" s="1079">
        <v>666312</v>
      </c>
      <c r="I155" s="1079">
        <v>567846</v>
      </c>
      <c r="J155" s="1079">
        <v>43053231</v>
      </c>
      <c r="K155" s="1080">
        <v>40071051</v>
      </c>
      <c r="L155" s="1080">
        <v>14591820</v>
      </c>
      <c r="M155" s="3513"/>
      <c r="N155" s="935"/>
      <c r="O155" s="935"/>
    </row>
    <row r="156" spans="1:15" ht="24" hidden="1">
      <c r="A156" s="154" t="s">
        <v>51</v>
      </c>
      <c r="B156" s="1081">
        <v>0</v>
      </c>
      <c r="C156" s="1961">
        <v>0</v>
      </c>
      <c r="D156" s="2009">
        <v>0</v>
      </c>
      <c r="E156" s="1980">
        <v>0</v>
      </c>
      <c r="F156" s="1079">
        <v>0</v>
      </c>
      <c r="G156" s="1079">
        <v>0</v>
      </c>
      <c r="H156" s="1079">
        <v>0</v>
      </c>
      <c r="I156" s="1079">
        <v>0</v>
      </c>
      <c r="J156" s="1079">
        <v>0</v>
      </c>
      <c r="K156" s="1080">
        <v>0</v>
      </c>
      <c r="L156" s="1080">
        <v>0</v>
      </c>
      <c r="M156" s="3513"/>
      <c r="N156" s="935"/>
      <c r="O156" s="935"/>
    </row>
    <row r="157" spans="1:15" hidden="1">
      <c r="A157" s="154" t="s">
        <v>15</v>
      </c>
      <c r="B157" s="1081">
        <v>14168595</v>
      </c>
      <c r="C157" s="1961">
        <v>5739934</v>
      </c>
      <c r="D157" s="2009">
        <v>10050285</v>
      </c>
      <c r="E157" s="1980">
        <v>0</v>
      </c>
      <c r="F157" s="1079">
        <v>0</v>
      </c>
      <c r="G157" s="1079">
        <v>0</v>
      </c>
      <c r="H157" s="1079">
        <v>0</v>
      </c>
      <c r="I157" s="1079">
        <v>0</v>
      </c>
      <c r="J157" s="1079">
        <v>29958814</v>
      </c>
      <c r="K157" s="1080">
        <v>15790219</v>
      </c>
      <c r="L157" s="1080">
        <v>10050285</v>
      </c>
      <c r="M157" s="3513"/>
      <c r="N157" s="935"/>
      <c r="O157" s="935"/>
    </row>
    <row r="158" spans="1:15" hidden="1">
      <c r="A158" s="154" t="s">
        <v>52</v>
      </c>
      <c r="B158" s="1081">
        <v>0</v>
      </c>
      <c r="C158" s="1961">
        <v>10103578</v>
      </c>
      <c r="D158" s="2009">
        <v>25042763</v>
      </c>
      <c r="E158" s="1980">
        <v>14120000</v>
      </c>
      <c r="F158" s="1079">
        <v>14182860</v>
      </c>
      <c r="G158" s="1079">
        <v>0</v>
      </c>
      <c r="H158" s="1079">
        <v>0</v>
      </c>
      <c r="I158" s="1079">
        <v>0</v>
      </c>
      <c r="J158" s="1079">
        <v>63449201</v>
      </c>
      <c r="K158" s="1080">
        <v>63449201</v>
      </c>
      <c r="L158" s="1080">
        <v>53345623</v>
      </c>
      <c r="M158" s="3513"/>
      <c r="N158" s="935"/>
      <c r="O158" s="935"/>
    </row>
    <row r="159" spans="1:15" hidden="1">
      <c r="A159" s="154" t="s">
        <v>20</v>
      </c>
      <c r="B159" s="1081">
        <v>770242</v>
      </c>
      <c r="C159" s="1961">
        <v>1000275</v>
      </c>
      <c r="D159" s="2009">
        <v>1351780</v>
      </c>
      <c r="E159" s="1980">
        <v>432771</v>
      </c>
      <c r="F159" s="1079">
        <v>287278</v>
      </c>
      <c r="G159" s="1079">
        <v>0</v>
      </c>
      <c r="H159" s="1079">
        <v>0</v>
      </c>
      <c r="I159" s="1079">
        <v>0</v>
      </c>
      <c r="J159" s="1079">
        <v>3842346</v>
      </c>
      <c r="K159" s="1080">
        <v>3072104</v>
      </c>
      <c r="L159" s="1080">
        <v>2071829</v>
      </c>
      <c r="M159" s="3513"/>
      <c r="N159" s="935"/>
      <c r="O159" s="935"/>
    </row>
    <row r="160" spans="1:15" hidden="1">
      <c r="A160" s="154" t="s">
        <v>17</v>
      </c>
      <c r="B160" s="1081">
        <v>0</v>
      </c>
      <c r="C160" s="1961">
        <v>0</v>
      </c>
      <c r="D160" s="2009">
        <v>5013000</v>
      </c>
      <c r="E160" s="1980">
        <v>0</v>
      </c>
      <c r="F160" s="1079">
        <v>0</v>
      </c>
      <c r="G160" s="1079">
        <v>0</v>
      </c>
      <c r="H160" s="1079">
        <v>0</v>
      </c>
      <c r="I160" s="1079">
        <v>0</v>
      </c>
      <c r="J160" s="1079">
        <v>5013000</v>
      </c>
      <c r="K160" s="1080">
        <v>5013000</v>
      </c>
      <c r="L160" s="1080">
        <v>5013000</v>
      </c>
      <c r="M160" s="3513"/>
      <c r="N160" s="935"/>
      <c r="O160" s="935"/>
    </row>
    <row r="161" spans="1:15" hidden="1">
      <c r="A161" s="1082" t="s">
        <v>53</v>
      </c>
      <c r="B161" s="1081">
        <v>0</v>
      </c>
      <c r="C161" s="1961">
        <v>0</v>
      </c>
      <c r="D161" s="2009">
        <v>0</v>
      </c>
      <c r="E161" s="1980">
        <v>0</v>
      </c>
      <c r="F161" s="1079">
        <v>0</v>
      </c>
      <c r="G161" s="1079">
        <v>0</v>
      </c>
      <c r="H161" s="1079">
        <v>0</v>
      </c>
      <c r="I161" s="1079">
        <v>0</v>
      </c>
      <c r="J161" s="1079">
        <v>0</v>
      </c>
      <c r="K161" s="1080">
        <v>0</v>
      </c>
      <c r="L161" s="1080">
        <v>0</v>
      </c>
      <c r="M161" s="3514"/>
      <c r="N161" s="935"/>
      <c r="O161" s="935"/>
    </row>
    <row r="162" spans="1:15" hidden="1">
      <c r="A162" s="1083" t="s">
        <v>19</v>
      </c>
      <c r="B162" s="1081">
        <v>0</v>
      </c>
      <c r="C162" s="1962">
        <v>0</v>
      </c>
      <c r="D162" s="2010">
        <v>0</v>
      </c>
      <c r="E162" s="1981">
        <v>0</v>
      </c>
      <c r="F162" s="1084">
        <v>0</v>
      </c>
      <c r="G162" s="1084">
        <v>0</v>
      </c>
      <c r="H162" s="1084">
        <v>0</v>
      </c>
      <c r="I162" s="1084">
        <v>0</v>
      </c>
      <c r="J162" s="1079">
        <v>0</v>
      </c>
      <c r="K162" s="1080">
        <v>0</v>
      </c>
      <c r="L162" s="1080">
        <v>0</v>
      </c>
      <c r="M162" s="3513"/>
      <c r="N162" s="935"/>
      <c r="O162" s="935"/>
    </row>
    <row r="163" spans="1:15" ht="13.5" hidden="1" thickBot="1">
      <c r="A163" s="601" t="s">
        <v>21</v>
      </c>
      <c r="B163" s="1085">
        <v>68587963</v>
      </c>
      <c r="C163" s="1963">
        <v>226181592</v>
      </c>
      <c r="D163" s="2011">
        <v>480848375</v>
      </c>
      <c r="E163" s="1982">
        <v>190552706</v>
      </c>
      <c r="F163" s="1085">
        <v>85234695</v>
      </c>
      <c r="G163" s="1085">
        <v>36201447</v>
      </c>
      <c r="H163" s="1085">
        <v>33608883</v>
      </c>
      <c r="I163" s="1085">
        <v>31213753</v>
      </c>
      <c r="J163" s="1085">
        <v>1152429414</v>
      </c>
      <c r="K163" s="1086">
        <v>1083841451</v>
      </c>
      <c r="L163" s="1086">
        <v>857659859</v>
      </c>
      <c r="M163" s="3513"/>
      <c r="N163" s="935"/>
      <c r="O163" s="935"/>
    </row>
    <row r="164" spans="1:15" hidden="1">
      <c r="A164" s="1088"/>
      <c r="B164" s="1090">
        <f t="shared" ref="B164:J164" si="128">SUM(B153:B163)</f>
        <v>496671263.30000001</v>
      </c>
      <c r="C164" s="1089">
        <f t="shared" ref="C164:I164" si="129">SUM(C153:C163)</f>
        <v>451982254</v>
      </c>
      <c r="D164" s="2012">
        <f t="shared" si="129"/>
        <v>820844730</v>
      </c>
      <c r="E164" s="1089">
        <f t="shared" si="129"/>
        <v>506785256</v>
      </c>
      <c r="F164" s="1089">
        <f t="shared" si="129"/>
        <v>328327455</v>
      </c>
      <c r="G164" s="1089">
        <f t="shared" si="129"/>
        <v>69666665</v>
      </c>
      <c r="H164" s="1089">
        <f t="shared" si="129"/>
        <v>45548327</v>
      </c>
      <c r="I164" s="1089">
        <f t="shared" si="129"/>
        <v>40488047</v>
      </c>
      <c r="J164" s="1089">
        <f t="shared" si="128"/>
        <v>2794621444.3000002</v>
      </c>
      <c r="K164" s="1089">
        <f>SUM(K153:K163)</f>
        <v>2297950181</v>
      </c>
      <c r="L164" s="1089">
        <f>SUM(L153:L163)</f>
        <v>1845967927</v>
      </c>
      <c r="M164" s="3513"/>
    </row>
    <row r="165" spans="1:15" hidden="1">
      <c r="A165" s="1091" t="s">
        <v>42</v>
      </c>
      <c r="B165" s="1093">
        <f t="shared" ref="B165:L165" si="130">+B164-B152</f>
        <v>0</v>
      </c>
      <c r="C165" s="1092">
        <f>+C164-C152</f>
        <v>0</v>
      </c>
      <c r="D165" s="2013">
        <f>+D164-D152</f>
        <v>0</v>
      </c>
      <c r="E165" s="1092">
        <f>+E164-E152</f>
        <v>0</v>
      </c>
      <c r="F165" s="1092">
        <f>+F164-F152</f>
        <v>0</v>
      </c>
      <c r="G165" s="1092"/>
      <c r="H165" s="1092"/>
      <c r="I165" s="1092"/>
      <c r="J165" s="1092">
        <f t="shared" si="130"/>
        <v>0</v>
      </c>
      <c r="K165" s="1092">
        <f t="shared" ref="K165" si="131">+K164-K152</f>
        <v>0</v>
      </c>
      <c r="L165" s="1092">
        <f t="shared" si="130"/>
        <v>0</v>
      </c>
      <c r="M165" s="3513"/>
    </row>
    <row r="166" spans="1:15" ht="3.75" hidden="1" customHeight="1" thickBot="1">
      <c r="A166" s="1054"/>
      <c r="B166" s="1094"/>
      <c r="C166" s="1094"/>
      <c r="D166" s="2014"/>
      <c r="E166" s="1094"/>
      <c r="F166" s="1094"/>
      <c r="G166" s="1094"/>
      <c r="H166" s="1094"/>
      <c r="I166" s="1094"/>
      <c r="J166" s="1094"/>
      <c r="K166" s="3513"/>
      <c r="L166" s="3513"/>
      <c r="M166" s="3513"/>
    </row>
    <row r="167" spans="1:15" ht="32.25" hidden="1" customHeight="1" thickBot="1">
      <c r="A167" s="3521" t="s">
        <v>485</v>
      </c>
      <c r="B167" s="1095">
        <f>SUM(B168:B179)</f>
        <v>126127826</v>
      </c>
      <c r="C167" s="1964">
        <f t="shared" ref="C167:J167" si="132">SUM(C168:C179)</f>
        <v>270891649</v>
      </c>
      <c r="D167" s="2015">
        <f t="shared" si="132"/>
        <v>537579457</v>
      </c>
      <c r="E167" s="1096">
        <f>SUM(E168:E179)</f>
        <v>241510706</v>
      </c>
      <c r="F167" s="1095">
        <f>SUM(F168:F179)</f>
        <v>138133418</v>
      </c>
      <c r="G167" s="1095">
        <f>SUM(G168:G179)</f>
        <v>48439617</v>
      </c>
      <c r="H167" s="1095">
        <f>SUM(H168:H179)</f>
        <v>35776859</v>
      </c>
      <c r="I167" s="1095">
        <f>SUM(I168:I179)</f>
        <v>32142634</v>
      </c>
      <c r="J167" s="1095">
        <f t="shared" si="132"/>
        <v>1437996797</v>
      </c>
      <c r="K167" s="1097"/>
      <c r="L167" s="1097"/>
      <c r="M167" s="3513"/>
    </row>
    <row r="168" spans="1:15" hidden="1">
      <c r="A168" s="1078" t="s">
        <v>54</v>
      </c>
      <c r="B168" s="1098">
        <v>0</v>
      </c>
      <c r="C168" s="1965">
        <v>0</v>
      </c>
      <c r="D168" s="2016">
        <v>0</v>
      </c>
      <c r="E168" s="1099">
        <v>0</v>
      </c>
      <c r="F168" s="1098">
        <v>0</v>
      </c>
      <c r="G168" s="1100">
        <v>0</v>
      </c>
      <c r="H168" s="1100">
        <v>0</v>
      </c>
      <c r="I168" s="1100">
        <v>0</v>
      </c>
      <c r="J168" s="1079">
        <v>0</v>
      </c>
      <c r="K168" s="1101">
        <v>0</v>
      </c>
      <c r="L168" s="1101"/>
      <c r="M168" s="3513"/>
    </row>
    <row r="169" spans="1:15" hidden="1">
      <c r="A169" s="154" t="s">
        <v>13</v>
      </c>
      <c r="B169" s="1079">
        <v>2951841</v>
      </c>
      <c r="C169" s="1961">
        <v>25461540</v>
      </c>
      <c r="D169" s="2009">
        <v>3923877</v>
      </c>
      <c r="E169" s="1980">
        <v>4595448</v>
      </c>
      <c r="F169" s="1079">
        <v>3783610</v>
      </c>
      <c r="G169" s="1079">
        <v>1102757</v>
      </c>
      <c r="H169" s="1079">
        <v>666312</v>
      </c>
      <c r="I169" s="1079">
        <v>567846</v>
      </c>
      <c r="J169" s="1079">
        <v>43053231</v>
      </c>
      <c r="K169" s="1101">
        <v>0</v>
      </c>
      <c r="L169" s="1101"/>
      <c r="M169" s="3513"/>
    </row>
    <row r="170" spans="1:15" ht="14.25" hidden="1" customHeight="1">
      <c r="A170" s="154" t="s">
        <v>15</v>
      </c>
      <c r="B170" s="1079">
        <v>14168595</v>
      </c>
      <c r="C170" s="1961">
        <v>5739934</v>
      </c>
      <c r="D170" s="2009">
        <v>10050285</v>
      </c>
      <c r="E170" s="1980">
        <v>0</v>
      </c>
      <c r="F170" s="1079">
        <v>0</v>
      </c>
      <c r="G170" s="1079">
        <v>0</v>
      </c>
      <c r="H170" s="1079">
        <v>0</v>
      </c>
      <c r="I170" s="1079">
        <v>0</v>
      </c>
      <c r="J170" s="1079">
        <v>29958814</v>
      </c>
      <c r="K170" s="1101">
        <v>0</v>
      </c>
      <c r="L170" s="1101"/>
      <c r="M170" s="3513"/>
    </row>
    <row r="171" spans="1:15" ht="14.25" hidden="1" customHeight="1">
      <c r="A171" s="154" t="s">
        <v>52</v>
      </c>
      <c r="B171" s="1079">
        <v>28772061</v>
      </c>
      <c r="C171" s="1961">
        <v>8519285</v>
      </c>
      <c r="D171" s="2009">
        <v>9319285</v>
      </c>
      <c r="E171" s="1980">
        <v>8419285</v>
      </c>
      <c r="F171" s="1079">
        <v>8419285</v>
      </c>
      <c r="G171" s="1079">
        <v>0</v>
      </c>
      <c r="H171" s="1079">
        <v>0</v>
      </c>
      <c r="I171" s="1079">
        <v>0</v>
      </c>
      <c r="J171" s="1079">
        <v>63449201</v>
      </c>
      <c r="K171" s="1101">
        <v>0</v>
      </c>
      <c r="L171" s="1101"/>
      <c r="M171" s="3513"/>
    </row>
    <row r="172" spans="1:15" hidden="1">
      <c r="A172" s="1078" t="s">
        <v>12</v>
      </c>
      <c r="B172" s="1079">
        <v>23298471</v>
      </c>
      <c r="C172" s="1961">
        <v>13980246</v>
      </c>
      <c r="D172" s="2009">
        <v>24508533</v>
      </c>
      <c r="E172" s="1980">
        <v>37773631</v>
      </c>
      <c r="F172" s="1079">
        <v>33364108</v>
      </c>
      <c r="G172" s="1079">
        <v>5675073</v>
      </c>
      <c r="H172" s="1079">
        <v>1650729</v>
      </c>
      <c r="I172" s="1079">
        <v>0</v>
      </c>
      <c r="J172" s="1079">
        <v>140250791</v>
      </c>
      <c r="K172" s="1101">
        <v>0</v>
      </c>
      <c r="L172" s="1101"/>
      <c r="M172" s="3513"/>
    </row>
    <row r="173" spans="1:15" hidden="1">
      <c r="A173" s="154" t="s">
        <v>57</v>
      </c>
      <c r="B173" s="1079">
        <v>0</v>
      </c>
      <c r="C173" s="1961">
        <v>0</v>
      </c>
      <c r="D173" s="2009">
        <v>0</v>
      </c>
      <c r="E173" s="1980">
        <v>0</v>
      </c>
      <c r="F173" s="1079">
        <v>0</v>
      </c>
      <c r="G173" s="1079">
        <v>0</v>
      </c>
      <c r="H173" s="1079">
        <v>0</v>
      </c>
      <c r="I173" s="1079">
        <v>0</v>
      </c>
      <c r="J173" s="1079">
        <v>0</v>
      </c>
      <c r="K173" s="1101">
        <v>0</v>
      </c>
      <c r="L173" s="1101"/>
      <c r="M173" s="3513"/>
    </row>
    <row r="174" spans="1:15" hidden="1">
      <c r="A174" s="154" t="s">
        <v>58</v>
      </c>
      <c r="B174" s="1079">
        <v>0</v>
      </c>
      <c r="C174" s="1961">
        <v>0</v>
      </c>
      <c r="D174" s="2009">
        <v>0</v>
      </c>
      <c r="E174" s="1980">
        <v>0</v>
      </c>
      <c r="F174" s="1079">
        <v>0</v>
      </c>
      <c r="G174" s="1079">
        <v>0</v>
      </c>
      <c r="H174" s="1079">
        <v>0</v>
      </c>
      <c r="I174" s="1079">
        <v>0</v>
      </c>
      <c r="J174" s="1079">
        <v>0</v>
      </c>
      <c r="K174" s="1101">
        <v>0</v>
      </c>
      <c r="L174" s="1101"/>
      <c r="M174" s="3513"/>
    </row>
    <row r="175" spans="1:15" ht="13.5" hidden="1" thickBot="1">
      <c r="A175" s="601" t="s">
        <v>17</v>
      </c>
      <c r="B175" s="1079">
        <v>0</v>
      </c>
      <c r="C175" s="1961">
        <v>0</v>
      </c>
      <c r="D175" s="2009">
        <v>5013000</v>
      </c>
      <c r="E175" s="1980">
        <v>0</v>
      </c>
      <c r="F175" s="1079">
        <v>0</v>
      </c>
      <c r="G175" s="1079">
        <v>0</v>
      </c>
      <c r="H175" s="1079">
        <v>0</v>
      </c>
      <c r="I175" s="1079">
        <v>0</v>
      </c>
      <c r="J175" s="1079">
        <v>5013000</v>
      </c>
      <c r="K175" s="1101">
        <v>0</v>
      </c>
      <c r="L175" s="1101"/>
      <c r="M175" s="3513"/>
    </row>
    <row r="176" spans="1:15" ht="24.75" hidden="1" thickBot="1">
      <c r="A176" s="2802" t="s">
        <v>26</v>
      </c>
      <c r="B176" s="1102">
        <v>0</v>
      </c>
      <c r="C176" s="1966">
        <v>0</v>
      </c>
      <c r="D176" s="2017">
        <v>0</v>
      </c>
      <c r="E176" s="1983">
        <v>0</v>
      </c>
      <c r="F176" s="1102">
        <v>0</v>
      </c>
      <c r="G176" s="1102">
        <v>0</v>
      </c>
      <c r="H176" s="1102">
        <v>0</v>
      </c>
      <c r="I176" s="1102">
        <v>0</v>
      </c>
      <c r="J176" s="1079">
        <v>0</v>
      </c>
      <c r="K176" s="1103">
        <v>0</v>
      </c>
      <c r="L176" s="1103"/>
      <c r="M176" s="3513"/>
    </row>
    <row r="177" spans="1:13" ht="13.5" hidden="1" customHeight="1" thickBot="1">
      <c r="A177" s="2802" t="s">
        <v>20</v>
      </c>
      <c r="B177" s="1079">
        <v>292115</v>
      </c>
      <c r="C177" s="1961">
        <v>696268</v>
      </c>
      <c r="D177" s="2009">
        <v>1231033</v>
      </c>
      <c r="E177" s="1980">
        <v>1164505</v>
      </c>
      <c r="F177" s="1079">
        <v>376410</v>
      </c>
      <c r="G177" s="1079">
        <v>82015</v>
      </c>
      <c r="H177" s="1079">
        <v>0</v>
      </c>
      <c r="I177" s="1079">
        <v>0</v>
      </c>
      <c r="J177" s="1079">
        <v>3842346</v>
      </c>
      <c r="K177" s="1101">
        <v>0</v>
      </c>
      <c r="L177" s="1101"/>
      <c r="M177" s="3513"/>
    </row>
    <row r="178" spans="1:13" ht="14.25" hidden="1" customHeight="1" thickBot="1">
      <c r="A178" s="2802" t="s">
        <v>19</v>
      </c>
      <c r="B178" s="1079">
        <v>0</v>
      </c>
      <c r="C178" s="1962">
        <v>0</v>
      </c>
      <c r="D178" s="2010">
        <v>0</v>
      </c>
      <c r="E178" s="1981">
        <v>0</v>
      </c>
      <c r="F178" s="1084">
        <v>0</v>
      </c>
      <c r="G178" s="1084">
        <v>0</v>
      </c>
      <c r="H178" s="1084">
        <v>0</v>
      </c>
      <c r="I178" s="1084">
        <v>0</v>
      </c>
      <c r="J178" s="1079">
        <v>0</v>
      </c>
      <c r="K178" s="1101">
        <v>0</v>
      </c>
      <c r="L178" s="1101"/>
      <c r="M178" s="3513"/>
    </row>
    <row r="179" spans="1:13" ht="13.5" hidden="1" thickBot="1">
      <c r="A179" s="2802" t="s">
        <v>21</v>
      </c>
      <c r="B179" s="1087">
        <v>56644743</v>
      </c>
      <c r="C179" s="1963">
        <v>216494376</v>
      </c>
      <c r="D179" s="2011">
        <v>483533444</v>
      </c>
      <c r="E179" s="1982">
        <v>189557837</v>
      </c>
      <c r="F179" s="1530">
        <v>92190005</v>
      </c>
      <c r="G179" s="1530">
        <v>41579772</v>
      </c>
      <c r="H179" s="1530">
        <v>33459818</v>
      </c>
      <c r="I179" s="1530">
        <v>31574788</v>
      </c>
      <c r="J179" s="1530">
        <v>1152429414</v>
      </c>
      <c r="K179" s="1101">
        <v>0</v>
      </c>
      <c r="L179" s="1101"/>
      <c r="M179" s="3513"/>
    </row>
    <row r="180" spans="1:13" ht="13.5" hidden="1" thickBot="1">
      <c r="A180" s="2803"/>
      <c r="B180" s="1528">
        <f t="shared" ref="B180:J180" si="133">SUM(B168:B179)</f>
        <v>126127826</v>
      </c>
      <c r="C180" s="1967">
        <f t="shared" si="133"/>
        <v>270891649</v>
      </c>
      <c r="D180" s="2018">
        <f t="shared" si="133"/>
        <v>537579457</v>
      </c>
      <c r="E180" s="1984">
        <f t="shared" si="133"/>
        <v>241510706</v>
      </c>
      <c r="F180" s="1529">
        <f t="shared" si="133"/>
        <v>138133418</v>
      </c>
      <c r="G180" s="1529">
        <f t="shared" si="133"/>
        <v>48439617</v>
      </c>
      <c r="H180" s="1529">
        <f t="shared" si="133"/>
        <v>35776859</v>
      </c>
      <c r="I180" s="1529">
        <f t="shared" si="133"/>
        <v>32142634</v>
      </c>
      <c r="J180" s="1104">
        <f t="shared" si="133"/>
        <v>1437996797</v>
      </c>
      <c r="K180" s="1105"/>
      <c r="L180" s="1105"/>
      <c r="M180" s="3513"/>
    </row>
    <row r="181" spans="1:13" ht="17.25" hidden="1" customHeight="1" thickBot="1">
      <c r="A181" s="2804"/>
      <c r="B181" s="1069" t="s">
        <v>381</v>
      </c>
      <c r="C181" s="1954" t="s">
        <v>5</v>
      </c>
      <c r="D181" s="2006" t="s">
        <v>6</v>
      </c>
      <c r="E181" s="1975" t="s">
        <v>179</v>
      </c>
      <c r="F181" s="1026" t="s">
        <v>181</v>
      </c>
      <c r="G181" s="1026" t="s">
        <v>220</v>
      </c>
      <c r="H181" s="1026" t="s">
        <v>221</v>
      </c>
      <c r="I181" s="1026" t="s">
        <v>219</v>
      </c>
      <c r="J181" s="1027" t="s">
        <v>46</v>
      </c>
      <c r="K181" s="3513"/>
      <c r="L181" s="3513"/>
      <c r="M181" s="3513"/>
    </row>
    <row r="182" spans="1:13" ht="9" hidden="1" customHeight="1" thickBot="1">
      <c r="A182" s="2805"/>
      <c r="B182" s="1107"/>
      <c r="C182" s="1107"/>
      <c r="D182" s="2019"/>
      <c r="E182" s="1108"/>
      <c r="F182" s="1106"/>
      <c r="G182" s="1106"/>
      <c r="H182" s="1106"/>
      <c r="I182" s="1106"/>
      <c r="J182" s="1106"/>
      <c r="K182" s="1109"/>
      <c r="L182" s="1109"/>
      <c r="M182" s="3513"/>
    </row>
    <row r="183" spans="1:13" ht="13.5" hidden="1" thickBot="1">
      <c r="A183" s="2805" t="s">
        <v>59</v>
      </c>
      <c r="B183" s="1110">
        <f>+B121-B152</f>
        <v>-88558</v>
      </c>
      <c r="C183" s="1968">
        <f t="shared" ref="C183:I183" si="134">+C121-C152</f>
        <v>-666327</v>
      </c>
      <c r="D183" s="2020">
        <f t="shared" si="134"/>
        <v>-104831482</v>
      </c>
      <c r="E183" s="1111">
        <f t="shared" si="134"/>
        <v>108728930</v>
      </c>
      <c r="F183" s="1110">
        <f t="shared" si="134"/>
        <v>162583411</v>
      </c>
      <c r="G183" s="1110">
        <f t="shared" si="134"/>
        <v>43417579</v>
      </c>
      <c r="H183" s="1110">
        <f t="shared" si="134"/>
        <v>33544</v>
      </c>
      <c r="I183" s="1110">
        <f t="shared" si="134"/>
        <v>-33956</v>
      </c>
      <c r="J183" s="1110">
        <f>+J121-J152</f>
        <v>208472019</v>
      </c>
      <c r="K183" s="1112"/>
      <c r="L183" s="1112"/>
      <c r="M183" s="3513"/>
    </row>
    <row r="184" spans="1:13" ht="13.5" hidden="1" thickBot="1">
      <c r="A184" s="2806" t="s">
        <v>12</v>
      </c>
      <c r="B184" s="1113">
        <f t="shared" ref="B184:J184" si="135">+B122-B153</f>
        <v>-225209</v>
      </c>
      <c r="C184" s="1969">
        <f t="shared" si="135"/>
        <v>-1180865</v>
      </c>
      <c r="D184" s="2021">
        <f t="shared" si="135"/>
        <v>-48000806</v>
      </c>
      <c r="E184" s="1114">
        <f t="shared" si="135"/>
        <v>17634233</v>
      </c>
      <c r="F184" s="1113">
        <f t="shared" si="135"/>
        <v>22414981</v>
      </c>
      <c r="G184" s="1113">
        <f t="shared" si="135"/>
        <v>9499084</v>
      </c>
      <c r="H184" s="1113">
        <f t="shared" si="135"/>
        <v>33544</v>
      </c>
      <c r="I184" s="1113">
        <f t="shared" si="135"/>
        <v>-33956</v>
      </c>
      <c r="J184" s="1115">
        <f t="shared" si="135"/>
        <v>-530116</v>
      </c>
      <c r="K184" s="1116"/>
      <c r="L184" s="1116"/>
      <c r="M184" s="3513"/>
    </row>
    <row r="185" spans="1:13" ht="13.5" hidden="1" thickBot="1">
      <c r="A185" s="2806" t="s">
        <v>50</v>
      </c>
      <c r="B185" s="1115">
        <f t="shared" ref="B185:J185" si="136">+B123-B154</f>
        <v>0</v>
      </c>
      <c r="C185" s="1970">
        <f t="shared" si="136"/>
        <v>0</v>
      </c>
      <c r="D185" s="2022">
        <f t="shared" si="136"/>
        <v>-1531272</v>
      </c>
      <c r="E185" s="1985">
        <f t="shared" si="136"/>
        <v>385082</v>
      </c>
      <c r="F185" s="1115">
        <f t="shared" si="136"/>
        <v>1749810</v>
      </c>
      <c r="G185" s="1115">
        <f t="shared" si="136"/>
        <v>721</v>
      </c>
      <c r="H185" s="1115">
        <f t="shared" si="136"/>
        <v>0</v>
      </c>
      <c r="I185" s="1115">
        <f t="shared" si="136"/>
        <v>0</v>
      </c>
      <c r="J185" s="1115">
        <f t="shared" si="136"/>
        <v>604341</v>
      </c>
      <c r="K185" s="1116"/>
      <c r="L185" s="1116"/>
      <c r="M185" s="3513"/>
    </row>
    <row r="186" spans="1:13" ht="13.5" hidden="1" thickBot="1">
      <c r="A186" s="2806" t="s">
        <v>13</v>
      </c>
      <c r="B186" s="2812">
        <f t="shared" ref="B186:J186" si="137">+B124-B155</f>
        <v>0</v>
      </c>
      <c r="C186" s="1970">
        <f t="shared" si="137"/>
        <v>0</v>
      </c>
      <c r="D186" s="2022">
        <f t="shared" si="137"/>
        <v>25617887</v>
      </c>
      <c r="E186" s="1985">
        <f t="shared" si="137"/>
        <v>300</v>
      </c>
      <c r="F186" s="1115">
        <f t="shared" si="137"/>
        <v>0</v>
      </c>
      <c r="G186" s="1115">
        <f t="shared" si="137"/>
        <v>0</v>
      </c>
      <c r="H186" s="1115">
        <f t="shared" si="137"/>
        <v>0</v>
      </c>
      <c r="I186" s="1115">
        <f t="shared" si="137"/>
        <v>0</v>
      </c>
      <c r="J186" s="1115">
        <f t="shared" si="137"/>
        <v>25618187</v>
      </c>
      <c r="K186" s="1116"/>
      <c r="L186" s="1116"/>
      <c r="M186" s="3513"/>
    </row>
    <row r="187" spans="1:13" ht="13.5" hidden="1" thickBot="1">
      <c r="A187" s="2806" t="s">
        <v>15</v>
      </c>
      <c r="B187" s="1113">
        <f t="shared" ref="B187:J187" si="138">+B126-B157</f>
        <v>5494</v>
      </c>
      <c r="C187" s="1970">
        <f t="shared" si="138"/>
        <v>393800</v>
      </c>
      <c r="D187" s="2022">
        <f t="shared" si="138"/>
        <v>2708558</v>
      </c>
      <c r="E187" s="1985">
        <f t="shared" si="138"/>
        <v>2426653</v>
      </c>
      <c r="F187" s="1115">
        <f t="shared" si="138"/>
        <v>0</v>
      </c>
      <c r="G187" s="1115">
        <f t="shared" si="138"/>
        <v>0</v>
      </c>
      <c r="H187" s="1115">
        <f t="shared" si="138"/>
        <v>0</v>
      </c>
      <c r="I187" s="1115">
        <f t="shared" si="138"/>
        <v>0</v>
      </c>
      <c r="J187" s="1115">
        <f t="shared" si="138"/>
        <v>5534505</v>
      </c>
      <c r="K187" s="1116"/>
      <c r="L187" s="1116"/>
      <c r="M187" s="3513"/>
    </row>
    <row r="188" spans="1:13" ht="13.5" hidden="1" thickBot="1">
      <c r="A188" s="2806" t="s">
        <v>52</v>
      </c>
      <c r="B188" s="1115">
        <f t="shared" ref="B188:J188" si="139">+B127-B158</f>
        <v>0</v>
      </c>
      <c r="C188" s="1970">
        <f t="shared" si="139"/>
        <v>-100000</v>
      </c>
      <c r="D188" s="2022">
        <f t="shared" si="139"/>
        <v>-2944263</v>
      </c>
      <c r="E188" s="1985">
        <f t="shared" si="139"/>
        <v>2364263</v>
      </c>
      <c r="F188" s="1115">
        <f t="shared" si="139"/>
        <v>0</v>
      </c>
      <c r="G188" s="1115">
        <f t="shared" si="139"/>
        <v>0</v>
      </c>
      <c r="H188" s="1115">
        <f t="shared" si="139"/>
        <v>0</v>
      </c>
      <c r="I188" s="1115">
        <f t="shared" si="139"/>
        <v>0</v>
      </c>
      <c r="J188" s="1115">
        <f t="shared" si="139"/>
        <v>-680000</v>
      </c>
      <c r="K188" s="1116"/>
      <c r="L188" s="1116"/>
      <c r="M188" s="3513"/>
    </row>
    <row r="189" spans="1:13" ht="13.5" hidden="1" thickBot="1">
      <c r="A189" s="2806" t="s">
        <v>20</v>
      </c>
      <c r="B189" s="1115">
        <f>+B128-B159</f>
        <v>0</v>
      </c>
      <c r="C189" s="1970">
        <f t="shared" ref="C189:J190" si="140">+C128-C159</f>
        <v>0</v>
      </c>
      <c r="D189" s="2022">
        <f t="shared" si="140"/>
        <v>9598</v>
      </c>
      <c r="E189" s="1985">
        <f t="shared" ref="E189:I190" si="141">+E128-E159</f>
        <v>13289086</v>
      </c>
      <c r="F189" s="1115">
        <f t="shared" si="141"/>
        <v>25766576</v>
      </c>
      <c r="G189" s="1115">
        <f t="shared" si="141"/>
        <v>5606076</v>
      </c>
      <c r="H189" s="1115">
        <f t="shared" si="141"/>
        <v>0</v>
      </c>
      <c r="I189" s="1115">
        <f t="shared" si="141"/>
        <v>0</v>
      </c>
      <c r="J189" s="1115">
        <f t="shared" si="140"/>
        <v>44671336</v>
      </c>
      <c r="K189" s="1116"/>
      <c r="L189" s="1116"/>
      <c r="M189" s="3513"/>
    </row>
    <row r="190" spans="1:13" ht="13.5" hidden="1" thickBot="1">
      <c r="A190" s="2806" t="s">
        <v>17</v>
      </c>
      <c r="B190" s="1115">
        <f>+B129-B160</f>
        <v>0</v>
      </c>
      <c r="C190" s="1970">
        <f t="shared" si="140"/>
        <v>0</v>
      </c>
      <c r="D190" s="2022">
        <f t="shared" si="140"/>
        <v>6472758</v>
      </c>
      <c r="E190" s="1985">
        <f t="shared" si="141"/>
        <v>3189386</v>
      </c>
      <c r="F190" s="1115">
        <f t="shared" si="141"/>
        <v>4581649</v>
      </c>
      <c r="G190" s="1115">
        <f t="shared" si="141"/>
        <v>886081</v>
      </c>
      <c r="H190" s="1115">
        <f t="shared" si="141"/>
        <v>0</v>
      </c>
      <c r="I190" s="1115">
        <f t="shared" si="141"/>
        <v>0</v>
      </c>
      <c r="J190" s="1115">
        <f t="shared" si="140"/>
        <v>15129874</v>
      </c>
      <c r="K190" s="1116"/>
      <c r="L190" s="1116"/>
      <c r="M190" s="3513"/>
    </row>
    <row r="191" spans="1:13" ht="13.5" hidden="1" thickBot="1">
      <c r="A191" s="2806" t="s">
        <v>57</v>
      </c>
      <c r="B191" s="1115">
        <f t="shared" ref="B191:J191" si="142">+B125-B156</f>
        <v>0</v>
      </c>
      <c r="C191" s="1970">
        <f t="shared" si="142"/>
        <v>0</v>
      </c>
      <c r="D191" s="2022">
        <f t="shared" si="142"/>
        <v>0</v>
      </c>
      <c r="E191" s="1985">
        <f t="shared" si="142"/>
        <v>0</v>
      </c>
      <c r="F191" s="1115">
        <f t="shared" si="142"/>
        <v>0</v>
      </c>
      <c r="G191" s="1115">
        <f t="shared" si="142"/>
        <v>0</v>
      </c>
      <c r="H191" s="1115">
        <f t="shared" si="142"/>
        <v>0</v>
      </c>
      <c r="I191" s="1115">
        <f t="shared" si="142"/>
        <v>0</v>
      </c>
      <c r="J191" s="1115">
        <f t="shared" si="142"/>
        <v>0</v>
      </c>
      <c r="K191" s="1116"/>
      <c r="L191" s="1116"/>
      <c r="M191" s="3513"/>
    </row>
    <row r="192" spans="1:13" ht="13.5" hidden="1" customHeight="1" thickBot="1">
      <c r="A192" s="2806" t="s">
        <v>56</v>
      </c>
      <c r="B192" s="1115">
        <f>+B130-B161</f>
        <v>0</v>
      </c>
      <c r="C192" s="1970">
        <f t="shared" ref="C192:J194" si="143">+C130-C161</f>
        <v>0</v>
      </c>
      <c r="D192" s="2022">
        <f t="shared" si="143"/>
        <v>0</v>
      </c>
      <c r="E192" s="1985">
        <f t="shared" ref="E192:I194" si="144">+E130-E161</f>
        <v>0</v>
      </c>
      <c r="F192" s="1115">
        <f t="shared" si="144"/>
        <v>0</v>
      </c>
      <c r="G192" s="1115">
        <f t="shared" si="144"/>
        <v>0</v>
      </c>
      <c r="H192" s="1115">
        <f t="shared" si="144"/>
        <v>0</v>
      </c>
      <c r="I192" s="1115">
        <f t="shared" si="144"/>
        <v>0</v>
      </c>
      <c r="J192" s="1115">
        <f t="shared" si="143"/>
        <v>0</v>
      </c>
      <c r="K192" s="1116"/>
      <c r="L192" s="1116"/>
      <c r="M192" s="3513"/>
    </row>
    <row r="193" spans="1:17" ht="13.5" hidden="1" customHeight="1" thickBot="1">
      <c r="A193" s="2806" t="s">
        <v>19</v>
      </c>
      <c r="B193" s="1115">
        <f>+B131-B162</f>
        <v>0</v>
      </c>
      <c r="C193" s="1970">
        <f t="shared" si="143"/>
        <v>0</v>
      </c>
      <c r="D193" s="2022">
        <f t="shared" si="143"/>
        <v>0</v>
      </c>
      <c r="E193" s="1985">
        <f t="shared" si="144"/>
        <v>0</v>
      </c>
      <c r="F193" s="1115">
        <f t="shared" si="144"/>
        <v>0</v>
      </c>
      <c r="G193" s="1115">
        <f t="shared" si="144"/>
        <v>0</v>
      </c>
      <c r="H193" s="1115">
        <f t="shared" si="144"/>
        <v>0</v>
      </c>
      <c r="I193" s="1115">
        <f t="shared" si="144"/>
        <v>0</v>
      </c>
      <c r="J193" s="1115">
        <f t="shared" si="143"/>
        <v>0</v>
      </c>
      <c r="K193" s="1116"/>
      <c r="L193" s="1116"/>
      <c r="M193" s="3513"/>
    </row>
    <row r="194" spans="1:17" ht="13.5" hidden="1" thickBot="1">
      <c r="A194" s="2806" t="s">
        <v>21</v>
      </c>
      <c r="B194" s="1120">
        <f>+B132-B163</f>
        <v>131157</v>
      </c>
      <c r="C194" s="1971">
        <f t="shared" si="143"/>
        <v>220738</v>
      </c>
      <c r="D194" s="2023">
        <f t="shared" si="143"/>
        <v>-87163942</v>
      </c>
      <c r="E194" s="1986">
        <f t="shared" si="144"/>
        <v>69439927</v>
      </c>
      <c r="F194" s="1120">
        <f t="shared" si="144"/>
        <v>108070395</v>
      </c>
      <c r="G194" s="1120">
        <f t="shared" si="144"/>
        <v>27425617</v>
      </c>
      <c r="H194" s="1120">
        <f t="shared" si="144"/>
        <v>0</v>
      </c>
      <c r="I194" s="1120">
        <f t="shared" si="144"/>
        <v>0</v>
      </c>
      <c r="J194" s="1115">
        <f>+J132-J163</f>
        <v>118123892</v>
      </c>
      <c r="K194" s="1116">
        <f>+I194-I209</f>
        <v>0</v>
      </c>
      <c r="L194" s="1116">
        <f>+J194-J209</f>
        <v>0</v>
      </c>
      <c r="M194" s="3513"/>
      <c r="Q194" s="935">
        <f>+J194-J209</f>
        <v>0</v>
      </c>
    </row>
    <row r="195" spans="1:17" ht="15" hidden="1" customHeight="1" thickBot="1">
      <c r="A195" s="1121"/>
      <c r="B195" s="1122">
        <f>SUM(B184:B194)</f>
        <v>-88558</v>
      </c>
      <c r="C195" s="1972">
        <f t="shared" ref="C195:J195" si="145">SUM(C184:C194)</f>
        <v>-666327</v>
      </c>
      <c r="D195" s="2024">
        <f t="shared" si="145"/>
        <v>-104831482</v>
      </c>
      <c r="E195" s="1123">
        <f>SUM(E184:E194)</f>
        <v>108728930</v>
      </c>
      <c r="F195" s="1122">
        <f>SUM(F184:F194)</f>
        <v>162583411</v>
      </c>
      <c r="G195" s="1122">
        <f>SUM(G184:G194)</f>
        <v>43417579</v>
      </c>
      <c r="H195" s="1122">
        <f>SUM(H184:H194)</f>
        <v>33544</v>
      </c>
      <c r="I195" s="1122">
        <f>SUM(I184:I194)</f>
        <v>-33956</v>
      </c>
      <c r="J195" s="1122">
        <f t="shared" si="145"/>
        <v>208472019</v>
      </c>
      <c r="K195" s="1124"/>
      <c r="L195" s="1124"/>
      <c r="M195" s="3513"/>
    </row>
    <row r="196" spans="1:17" ht="14.25" hidden="1" customHeight="1" thickBot="1">
      <c r="A196" s="2807" t="s">
        <v>42</v>
      </c>
      <c r="B196" s="1127">
        <f t="shared" ref="B196:J196" si="146">+B121-B152</f>
        <v>-88558</v>
      </c>
      <c r="C196" s="1126">
        <f t="shared" si="146"/>
        <v>-666327</v>
      </c>
      <c r="D196" s="2025">
        <f t="shared" si="146"/>
        <v>-104831482</v>
      </c>
      <c r="E196" s="1126">
        <f t="shared" si="146"/>
        <v>108728930</v>
      </c>
      <c r="F196" s="1126">
        <f t="shared" si="146"/>
        <v>162583411</v>
      </c>
      <c r="G196" s="1126">
        <f t="shared" si="146"/>
        <v>43417579</v>
      </c>
      <c r="H196" s="1126">
        <f t="shared" si="146"/>
        <v>33544</v>
      </c>
      <c r="I196" s="1126">
        <f t="shared" si="146"/>
        <v>-33956</v>
      </c>
      <c r="J196" s="1126">
        <f t="shared" si="146"/>
        <v>208472019</v>
      </c>
      <c r="K196" s="1126"/>
      <c r="L196" s="1126"/>
      <c r="M196" s="3513"/>
    </row>
    <row r="197" spans="1:17" ht="16.5" hidden="1" customHeight="1" thickBot="1">
      <c r="A197" s="3522" t="s">
        <v>60</v>
      </c>
      <c r="B197" s="1128">
        <f>+B135-B167</f>
        <v>-82060</v>
      </c>
      <c r="C197" s="1973">
        <f t="shared" ref="C197:J209" si="147">+C135-C167</f>
        <v>-100000</v>
      </c>
      <c r="D197" s="2026">
        <f t="shared" si="147"/>
        <v>-64587092</v>
      </c>
      <c r="E197" s="1129">
        <f t="shared" ref="E197:I209" si="148">+E135-E167</f>
        <v>106659358</v>
      </c>
      <c r="F197" s="1128">
        <f t="shared" si="148"/>
        <v>130784434</v>
      </c>
      <c r="G197" s="1128">
        <f t="shared" si="148"/>
        <v>33917774</v>
      </c>
      <c r="H197" s="1128">
        <f t="shared" si="148"/>
        <v>0</v>
      </c>
      <c r="I197" s="1128">
        <f t="shared" si="148"/>
        <v>0</v>
      </c>
      <c r="J197" s="1128">
        <f>SUM(J198:J209)</f>
        <v>210344240</v>
      </c>
      <c r="K197" s="1130"/>
      <c r="L197" s="1130"/>
      <c r="M197" s="3513"/>
    </row>
    <row r="198" spans="1:17" ht="13.5" hidden="1" thickBot="1">
      <c r="A198" s="2806" t="s">
        <v>54</v>
      </c>
      <c r="B198" s="1113">
        <f t="shared" ref="B198:B209" si="149">+B136-B168</f>
        <v>0</v>
      </c>
      <c r="C198" s="1969">
        <f t="shared" si="147"/>
        <v>0</v>
      </c>
      <c r="D198" s="2021">
        <f t="shared" si="147"/>
        <v>0</v>
      </c>
      <c r="E198" s="1114">
        <f t="shared" si="148"/>
        <v>0</v>
      </c>
      <c r="F198" s="1113">
        <f t="shared" si="148"/>
        <v>0</v>
      </c>
      <c r="G198" s="1113">
        <f t="shared" si="148"/>
        <v>0</v>
      </c>
      <c r="H198" s="1113">
        <f t="shared" si="148"/>
        <v>0</v>
      </c>
      <c r="I198" s="1113">
        <f t="shared" si="148"/>
        <v>0</v>
      </c>
      <c r="J198" s="1131">
        <f>+J136-J168</f>
        <v>0</v>
      </c>
      <c r="K198" s="1132"/>
      <c r="L198" s="1132"/>
      <c r="M198" s="3513"/>
    </row>
    <row r="199" spans="1:17" ht="13.5" hidden="1" thickBot="1">
      <c r="A199" s="2806" t="s">
        <v>13</v>
      </c>
      <c r="B199" s="1115">
        <f t="shared" si="149"/>
        <v>0</v>
      </c>
      <c r="C199" s="1970">
        <f t="shared" si="147"/>
        <v>0</v>
      </c>
      <c r="D199" s="2022">
        <f t="shared" si="147"/>
        <v>25617887</v>
      </c>
      <c r="E199" s="1985">
        <f t="shared" si="148"/>
        <v>300</v>
      </c>
      <c r="F199" s="1115">
        <f t="shared" si="148"/>
        <v>0</v>
      </c>
      <c r="G199" s="1115">
        <f t="shared" si="148"/>
        <v>0</v>
      </c>
      <c r="H199" s="1115">
        <f t="shared" si="148"/>
        <v>0</v>
      </c>
      <c r="I199" s="1115">
        <f t="shared" si="148"/>
        <v>0</v>
      </c>
      <c r="J199" s="1133">
        <f t="shared" si="147"/>
        <v>25618187</v>
      </c>
      <c r="K199" s="1132"/>
      <c r="L199" s="1132"/>
      <c r="M199" s="3513"/>
    </row>
    <row r="200" spans="1:17" ht="13.5" hidden="1" thickBot="1">
      <c r="A200" s="2806" t="s">
        <v>15</v>
      </c>
      <c r="B200" s="1115">
        <f t="shared" si="149"/>
        <v>0</v>
      </c>
      <c r="C200" s="1970">
        <f t="shared" si="147"/>
        <v>0</v>
      </c>
      <c r="D200" s="2022">
        <f t="shared" si="147"/>
        <v>3107852</v>
      </c>
      <c r="E200" s="1985">
        <f t="shared" si="148"/>
        <v>2426653</v>
      </c>
      <c r="F200" s="1115">
        <f t="shared" si="148"/>
        <v>0</v>
      </c>
      <c r="G200" s="1115">
        <f t="shared" si="148"/>
        <v>0</v>
      </c>
      <c r="H200" s="1115">
        <f t="shared" si="148"/>
        <v>0</v>
      </c>
      <c r="I200" s="1115">
        <f t="shared" si="148"/>
        <v>0</v>
      </c>
      <c r="J200" s="1133">
        <f t="shared" si="147"/>
        <v>5534505</v>
      </c>
      <c r="K200" s="1132"/>
      <c r="L200" s="1132"/>
      <c r="M200" s="3513"/>
      <c r="N200" s="1145"/>
      <c r="O200" s="1145"/>
    </row>
    <row r="201" spans="1:17" ht="13.5" hidden="1" thickBot="1">
      <c r="A201" s="2806" t="s">
        <v>62</v>
      </c>
      <c r="B201" s="1115">
        <f t="shared" si="149"/>
        <v>0</v>
      </c>
      <c r="C201" s="1971">
        <f t="shared" si="147"/>
        <v>-100000</v>
      </c>
      <c r="D201" s="2022">
        <f t="shared" si="147"/>
        <v>-580000</v>
      </c>
      <c r="E201" s="1985">
        <f t="shared" si="148"/>
        <v>0</v>
      </c>
      <c r="F201" s="1115">
        <f t="shared" si="148"/>
        <v>0</v>
      </c>
      <c r="G201" s="1115">
        <f t="shared" si="148"/>
        <v>0</v>
      </c>
      <c r="H201" s="1115">
        <f t="shared" si="148"/>
        <v>0</v>
      </c>
      <c r="I201" s="1115">
        <f t="shared" si="148"/>
        <v>0</v>
      </c>
      <c r="J201" s="1133">
        <f t="shared" si="147"/>
        <v>-680000</v>
      </c>
      <c r="K201" s="1132"/>
      <c r="L201" s="1132"/>
      <c r="M201" s="3513"/>
      <c r="N201" s="2762"/>
      <c r="O201" s="2762"/>
    </row>
    <row r="202" spans="1:17" ht="13.5" hidden="1" thickBot="1">
      <c r="A202" s="2806" t="s">
        <v>12</v>
      </c>
      <c r="B202" s="1115">
        <f t="shared" si="149"/>
        <v>0</v>
      </c>
      <c r="C202" s="2813">
        <f t="shared" si="147"/>
        <v>0</v>
      </c>
      <c r="D202" s="2022">
        <f t="shared" si="147"/>
        <v>1894836</v>
      </c>
      <c r="E202" s="1985">
        <f t="shared" si="148"/>
        <v>28468</v>
      </c>
      <c r="F202" s="1115">
        <f t="shared" si="148"/>
        <v>23142</v>
      </c>
      <c r="G202" s="1115">
        <f t="shared" si="148"/>
        <v>0</v>
      </c>
      <c r="H202" s="1115">
        <f t="shared" si="148"/>
        <v>0</v>
      </c>
      <c r="I202" s="1115">
        <f t="shared" si="148"/>
        <v>0</v>
      </c>
      <c r="J202" s="1133">
        <f t="shared" si="147"/>
        <v>1946446</v>
      </c>
      <c r="K202" s="1132"/>
      <c r="L202" s="1132"/>
      <c r="M202" s="3513"/>
      <c r="N202" s="2762"/>
      <c r="O202" s="2762"/>
    </row>
    <row r="203" spans="1:17" ht="13.5" hidden="1" thickBot="1">
      <c r="A203" s="2806" t="s">
        <v>57</v>
      </c>
      <c r="B203" s="1115">
        <f t="shared" si="149"/>
        <v>0</v>
      </c>
      <c r="C203" s="2813">
        <f t="shared" si="147"/>
        <v>0</v>
      </c>
      <c r="D203" s="2022">
        <f t="shared" si="147"/>
        <v>0</v>
      </c>
      <c r="E203" s="1985">
        <f t="shared" si="148"/>
        <v>0</v>
      </c>
      <c r="F203" s="1115">
        <f t="shared" si="148"/>
        <v>0</v>
      </c>
      <c r="G203" s="1115">
        <f t="shared" si="148"/>
        <v>0</v>
      </c>
      <c r="H203" s="1115">
        <f t="shared" si="148"/>
        <v>0</v>
      </c>
      <c r="I203" s="1115">
        <f t="shared" si="148"/>
        <v>0</v>
      </c>
      <c r="J203" s="1133">
        <f t="shared" si="147"/>
        <v>0</v>
      </c>
      <c r="K203" s="1116"/>
      <c r="L203" s="1116"/>
      <c r="M203" s="3513"/>
      <c r="N203" s="2762"/>
      <c r="O203" s="2762"/>
    </row>
    <row r="204" spans="1:17" ht="13.5" hidden="1" thickBot="1">
      <c r="A204" s="2808" t="s">
        <v>58</v>
      </c>
      <c r="B204" s="1115">
        <f t="shared" si="149"/>
        <v>0</v>
      </c>
      <c r="C204" s="2813">
        <f t="shared" si="147"/>
        <v>0</v>
      </c>
      <c r="D204" s="2023">
        <f t="shared" si="147"/>
        <v>0</v>
      </c>
      <c r="E204" s="2815">
        <f t="shared" si="148"/>
        <v>0</v>
      </c>
      <c r="F204" s="2812">
        <f t="shared" si="148"/>
        <v>0</v>
      </c>
      <c r="G204" s="2812">
        <f t="shared" si="148"/>
        <v>0</v>
      </c>
      <c r="H204" s="2812">
        <f t="shared" si="148"/>
        <v>0</v>
      </c>
      <c r="I204" s="2812">
        <f t="shared" si="148"/>
        <v>0</v>
      </c>
      <c r="J204" s="2816">
        <f t="shared" si="147"/>
        <v>0</v>
      </c>
      <c r="K204" s="2817"/>
      <c r="L204" s="2817"/>
      <c r="M204" s="3513"/>
      <c r="N204" s="2762"/>
      <c r="O204" s="2762"/>
    </row>
    <row r="205" spans="1:17" ht="13.5" hidden="1" thickBot="1">
      <c r="A205" s="1117" t="s">
        <v>17</v>
      </c>
      <c r="B205" s="1115">
        <f t="shared" si="149"/>
        <v>0</v>
      </c>
      <c r="C205" s="1969">
        <f t="shared" si="147"/>
        <v>0</v>
      </c>
      <c r="D205" s="2021">
        <f t="shared" si="147"/>
        <v>6472758</v>
      </c>
      <c r="E205" s="1114">
        <f t="shared" si="148"/>
        <v>3189386</v>
      </c>
      <c r="F205" s="1113">
        <f t="shared" si="148"/>
        <v>4581649</v>
      </c>
      <c r="G205" s="1113">
        <f t="shared" si="148"/>
        <v>886081</v>
      </c>
      <c r="H205" s="1113">
        <f t="shared" si="148"/>
        <v>0</v>
      </c>
      <c r="I205" s="1113">
        <f t="shared" si="148"/>
        <v>0</v>
      </c>
      <c r="J205" s="1131">
        <f t="shared" si="147"/>
        <v>15129874</v>
      </c>
      <c r="K205" s="2818"/>
      <c r="L205" s="2818"/>
      <c r="M205" s="3513"/>
      <c r="N205" s="1144"/>
      <c r="O205" s="2762"/>
    </row>
    <row r="206" spans="1:17" ht="24.75" hidden="1" thickBot="1">
      <c r="A206" s="1117" t="s">
        <v>26</v>
      </c>
      <c r="B206" s="1134">
        <f t="shared" si="149"/>
        <v>0</v>
      </c>
      <c r="C206" s="1974">
        <f t="shared" si="147"/>
        <v>0</v>
      </c>
      <c r="D206" s="2027">
        <f t="shared" si="147"/>
        <v>0</v>
      </c>
      <c r="E206" s="1987">
        <f t="shared" si="148"/>
        <v>0</v>
      </c>
      <c r="F206" s="1134">
        <f t="shared" si="148"/>
        <v>0</v>
      </c>
      <c r="G206" s="1134">
        <f t="shared" si="148"/>
        <v>0</v>
      </c>
      <c r="H206" s="1134">
        <f t="shared" si="148"/>
        <v>0</v>
      </c>
      <c r="I206" s="1134">
        <f t="shared" si="148"/>
        <v>0</v>
      </c>
      <c r="J206" s="1133">
        <f>+J144-J176</f>
        <v>0</v>
      </c>
      <c r="K206" s="1135"/>
      <c r="L206" s="1135"/>
      <c r="M206" s="3513"/>
      <c r="O206" s="2762"/>
    </row>
    <row r="207" spans="1:17" ht="13.5" hidden="1" customHeight="1" thickBot="1">
      <c r="A207" s="1117" t="s">
        <v>20</v>
      </c>
      <c r="B207" s="1115">
        <f t="shared" si="149"/>
        <v>0</v>
      </c>
      <c r="C207" s="1970">
        <f t="shared" si="147"/>
        <v>0</v>
      </c>
      <c r="D207" s="2022">
        <f t="shared" si="147"/>
        <v>8321</v>
      </c>
      <c r="E207" s="1985">
        <f t="shared" si="148"/>
        <v>13303303</v>
      </c>
      <c r="F207" s="1115">
        <f t="shared" si="148"/>
        <v>25753636</v>
      </c>
      <c r="G207" s="1115">
        <f t="shared" si="148"/>
        <v>5606076</v>
      </c>
      <c r="H207" s="1115">
        <f t="shared" si="148"/>
        <v>0</v>
      </c>
      <c r="I207" s="1115">
        <f t="shared" si="148"/>
        <v>0</v>
      </c>
      <c r="J207" s="1133">
        <f>+J145-J177</f>
        <v>44671336</v>
      </c>
      <c r="K207" s="1132"/>
      <c r="L207" s="1132"/>
      <c r="M207" s="3513"/>
      <c r="O207" s="2762"/>
    </row>
    <row r="208" spans="1:17" ht="13.5" hidden="1" customHeight="1" thickBot="1">
      <c r="A208" s="1118" t="s">
        <v>19</v>
      </c>
      <c r="B208" s="1115">
        <f t="shared" si="149"/>
        <v>0</v>
      </c>
      <c r="C208" s="1970">
        <f t="shared" si="147"/>
        <v>0</v>
      </c>
      <c r="D208" s="2022">
        <f t="shared" si="147"/>
        <v>0</v>
      </c>
      <c r="E208" s="1985">
        <f t="shared" si="148"/>
        <v>0</v>
      </c>
      <c r="F208" s="1115">
        <f t="shared" si="148"/>
        <v>0</v>
      </c>
      <c r="G208" s="1115">
        <f t="shared" si="148"/>
        <v>0</v>
      </c>
      <c r="H208" s="1115">
        <f t="shared" si="148"/>
        <v>0</v>
      </c>
      <c r="I208" s="1115">
        <f t="shared" si="148"/>
        <v>0</v>
      </c>
      <c r="J208" s="1133">
        <f>+J146-J178</f>
        <v>0</v>
      </c>
      <c r="K208" s="1132"/>
      <c r="L208" s="1132"/>
      <c r="M208" s="3513"/>
      <c r="O208" s="2762"/>
    </row>
    <row r="209" spans="1:15" ht="13.5" hidden="1" thickBot="1">
      <c r="A209" s="1119" t="s">
        <v>21</v>
      </c>
      <c r="B209" s="1120">
        <f t="shared" si="149"/>
        <v>-82060</v>
      </c>
      <c r="C209" s="1971">
        <f t="shared" si="147"/>
        <v>0</v>
      </c>
      <c r="D209" s="2023">
        <f t="shared" si="147"/>
        <v>-101108746</v>
      </c>
      <c r="E209" s="1986">
        <f t="shared" si="148"/>
        <v>87711248</v>
      </c>
      <c r="F209" s="1120">
        <f t="shared" si="148"/>
        <v>100426007</v>
      </c>
      <c r="G209" s="1120">
        <f t="shared" si="148"/>
        <v>27425617</v>
      </c>
      <c r="H209" s="1120">
        <f t="shared" si="148"/>
        <v>0</v>
      </c>
      <c r="I209" s="1120">
        <f t="shared" si="148"/>
        <v>0</v>
      </c>
      <c r="J209" s="1133">
        <f>+J147-J179</f>
        <v>118123892</v>
      </c>
      <c r="K209" s="1132"/>
      <c r="L209" s="1132"/>
      <c r="M209" s="3513"/>
      <c r="O209" s="2762"/>
    </row>
    <row r="210" spans="1:15" ht="13.5" hidden="1" thickBot="1">
      <c r="A210" s="1136"/>
      <c r="B210" s="1138">
        <f>SUM(B198:B209)</f>
        <v>-82060</v>
      </c>
      <c r="C210" s="1137">
        <f t="shared" ref="C210:J210" si="150">SUM(C198:C209)</f>
        <v>-100000</v>
      </c>
      <c r="D210" s="2028">
        <f t="shared" si="150"/>
        <v>-64587092</v>
      </c>
      <c r="E210" s="1137">
        <f t="shared" si="150"/>
        <v>106659358</v>
      </c>
      <c r="F210" s="1137">
        <f t="shared" si="150"/>
        <v>130784434</v>
      </c>
      <c r="G210" s="1137">
        <f t="shared" si="150"/>
        <v>33917774</v>
      </c>
      <c r="H210" s="1137">
        <f t="shared" si="150"/>
        <v>0</v>
      </c>
      <c r="I210" s="1137">
        <f t="shared" si="150"/>
        <v>0</v>
      </c>
      <c r="J210" s="1137">
        <f t="shared" si="150"/>
        <v>210344240</v>
      </c>
      <c r="K210" s="1139"/>
      <c r="L210" s="1139"/>
      <c r="M210" s="3513"/>
      <c r="O210" s="2762"/>
    </row>
    <row r="211" spans="1:15" ht="2.25" hidden="1" customHeight="1" thickBot="1">
      <c r="A211" s="923"/>
      <c r="B211" s="1140"/>
      <c r="J211" s="923"/>
      <c r="K211" s="3513"/>
      <c r="L211" s="3513"/>
      <c r="M211" s="3513"/>
      <c r="O211" s="2762"/>
    </row>
    <row r="212" spans="1:15" ht="13.5" hidden="1" thickBot="1">
      <c r="A212" s="1125" t="s">
        <v>42</v>
      </c>
      <c r="B212" s="1142">
        <f>+B135-B167</f>
        <v>-82060</v>
      </c>
      <c r="C212" s="1141">
        <f t="shared" ref="C212:J212" si="151">+C135-C167</f>
        <v>-100000</v>
      </c>
      <c r="D212" s="1141">
        <f t="shared" si="151"/>
        <v>-64587092</v>
      </c>
      <c r="E212" s="1141">
        <f>+E135-E167</f>
        <v>106659358</v>
      </c>
      <c r="F212" s="1141">
        <f>+F135-F167</f>
        <v>130784434</v>
      </c>
      <c r="G212" s="1141">
        <f>+G135-G167</f>
        <v>33917774</v>
      </c>
      <c r="H212" s="1141">
        <f>+H135-H167</f>
        <v>0</v>
      </c>
      <c r="I212" s="1141">
        <f>+I135-I167</f>
        <v>0</v>
      </c>
      <c r="J212" s="1141">
        <f t="shared" si="151"/>
        <v>210344240</v>
      </c>
      <c r="K212" s="3513"/>
      <c r="L212" s="3513"/>
      <c r="M212" s="3513"/>
      <c r="O212" s="2762"/>
    </row>
    <row r="213" spans="1:15" ht="14.25" hidden="1" customHeight="1" thickBot="1">
      <c r="A213" s="923"/>
      <c r="B213" s="930">
        <f>+B212-B210</f>
        <v>0</v>
      </c>
      <c r="C213" s="930">
        <f t="shared" ref="C213:J213" si="152">+C212-C210</f>
        <v>0</v>
      </c>
      <c r="D213" s="930">
        <f t="shared" si="152"/>
        <v>0</v>
      </c>
      <c r="E213" s="930">
        <f>+E212-E210</f>
        <v>0</v>
      </c>
      <c r="F213" s="930">
        <f>+F212-F210</f>
        <v>0</v>
      </c>
      <c r="G213" s="930">
        <f>+G212-G210</f>
        <v>0</v>
      </c>
      <c r="H213" s="930">
        <f>+H212-H210</f>
        <v>0</v>
      </c>
      <c r="I213" s="930">
        <f>+I212-I210</f>
        <v>0</v>
      </c>
      <c r="J213" s="930">
        <f t="shared" si="152"/>
        <v>0</v>
      </c>
      <c r="K213" s="3513"/>
      <c r="L213" s="3513"/>
      <c r="M213" s="3513"/>
      <c r="O213" s="2762"/>
    </row>
    <row r="214" spans="1:15" ht="12" hidden="1" customHeight="1">
      <c r="A214" s="923"/>
      <c r="J214" s="930"/>
      <c r="K214" s="3513"/>
      <c r="L214" s="3513"/>
      <c r="M214" s="3513"/>
      <c r="O214" s="1144"/>
    </row>
    <row r="215" spans="1:15" hidden="1">
      <c r="A215" s="923"/>
      <c r="J215" s="923"/>
      <c r="K215" s="3513"/>
      <c r="L215" s="3513"/>
      <c r="M215" s="3513"/>
    </row>
    <row r="216" spans="1:15" hidden="1">
      <c r="A216" s="923"/>
      <c r="K216" s="3513"/>
      <c r="L216" s="3513"/>
      <c r="M216" s="3513"/>
    </row>
    <row r="217" spans="1:15" hidden="1">
      <c r="A217" s="923"/>
      <c r="J217" s="923"/>
      <c r="K217" s="3513"/>
      <c r="L217" s="3513"/>
      <c r="M217" s="3513"/>
    </row>
    <row r="218" spans="1:15" hidden="1">
      <c r="A218" s="923"/>
      <c r="J218" s="923"/>
      <c r="K218" s="3513"/>
      <c r="L218" s="3513"/>
      <c r="M218" s="3513"/>
    </row>
    <row r="219" spans="1:15" ht="41.25" hidden="1" customHeight="1">
      <c r="A219" s="923"/>
      <c r="K219" s="3513"/>
      <c r="L219" s="3513"/>
      <c r="M219" s="3513"/>
    </row>
    <row r="220" spans="1:15" hidden="1">
      <c r="A220" s="923"/>
      <c r="J220" s="923"/>
      <c r="K220" s="3513"/>
      <c r="L220" s="3513"/>
      <c r="M220" s="3513"/>
    </row>
    <row r="221" spans="1:15" hidden="1">
      <c r="A221" s="923"/>
      <c r="J221" s="923"/>
      <c r="K221" s="3513"/>
      <c r="L221" s="3513"/>
      <c r="M221" s="3513"/>
    </row>
    <row r="222" spans="1:15" hidden="1">
      <c r="A222" s="923"/>
      <c r="J222" s="923"/>
      <c r="K222" s="3513"/>
      <c r="L222" s="3513"/>
      <c r="M222" s="3513"/>
    </row>
    <row r="223" spans="1:15" hidden="1">
      <c r="A223" s="923"/>
      <c r="J223" s="923"/>
      <c r="K223" s="3513"/>
      <c r="L223" s="3513"/>
      <c r="M223" s="3513"/>
    </row>
    <row r="224" spans="1:15" hidden="1">
      <c r="A224" s="923"/>
      <c r="J224" s="923"/>
      <c r="K224" s="3513"/>
      <c r="L224" s="3513"/>
      <c r="M224" s="3513"/>
    </row>
    <row r="225" spans="1:13" hidden="1">
      <c r="A225" s="923"/>
      <c r="J225" s="923"/>
      <c r="K225" s="3513"/>
      <c r="L225" s="3513"/>
      <c r="M225" s="3513"/>
    </row>
    <row r="226" spans="1:13" hidden="1">
      <c r="A226" s="923"/>
      <c r="J226" s="923"/>
      <c r="K226" s="3513"/>
      <c r="L226" s="3513"/>
      <c r="M226" s="3513"/>
    </row>
    <row r="227" spans="1:13" hidden="1">
      <c r="A227" s="923"/>
      <c r="J227" s="923"/>
      <c r="K227" s="3513"/>
      <c r="L227" s="3513"/>
      <c r="M227" s="3513"/>
    </row>
    <row r="228" spans="1:13" hidden="1">
      <c r="A228" s="923"/>
      <c r="J228" s="923"/>
      <c r="K228" s="3513"/>
      <c r="L228" s="3513"/>
      <c r="M228" s="3513"/>
    </row>
    <row r="229" spans="1:13" hidden="1">
      <c r="A229" s="923"/>
      <c r="J229" s="923"/>
      <c r="K229" s="3513"/>
      <c r="L229" s="3513"/>
      <c r="M229" s="3513"/>
    </row>
    <row r="230" spans="1:13" hidden="1">
      <c r="A230" s="923"/>
      <c r="J230" s="923"/>
      <c r="K230" s="3513"/>
      <c r="L230" s="3513"/>
      <c r="M230" s="3513"/>
    </row>
    <row r="231" spans="1:13" hidden="1">
      <c r="A231" s="923"/>
      <c r="J231" s="923"/>
      <c r="K231" s="3513"/>
      <c r="L231" s="3513"/>
      <c r="M231" s="3513"/>
    </row>
    <row r="232" spans="1:13" hidden="1">
      <c r="A232" s="923"/>
      <c r="J232" s="923"/>
      <c r="K232" s="3513"/>
      <c r="L232" s="3513"/>
      <c r="M232" s="3513"/>
    </row>
    <row r="233" spans="1:13" hidden="1">
      <c r="A233" s="923"/>
      <c r="J233" s="923"/>
      <c r="K233" s="3513"/>
      <c r="L233" s="3513"/>
      <c r="M233" s="3513"/>
    </row>
    <row r="234" spans="1:13" hidden="1">
      <c r="A234" s="923"/>
      <c r="J234" s="923"/>
      <c r="K234" s="3513"/>
      <c r="L234" s="3513"/>
      <c r="M234" s="3513"/>
    </row>
    <row r="235" spans="1:13" hidden="1">
      <c r="A235" s="923"/>
      <c r="J235" s="923"/>
      <c r="K235" s="3513"/>
      <c r="L235" s="3513"/>
      <c r="M235" s="3513"/>
    </row>
    <row r="236" spans="1:13" hidden="1">
      <c r="A236" s="923"/>
      <c r="J236" s="923"/>
      <c r="K236" s="3513"/>
      <c r="L236" s="3513"/>
      <c r="M236" s="3513"/>
    </row>
    <row r="237" spans="1:13" hidden="1">
      <c r="A237" s="923"/>
      <c r="J237" s="923"/>
      <c r="K237" s="3513"/>
      <c r="L237" s="3513"/>
      <c r="M237" s="3513"/>
    </row>
    <row r="238" spans="1:13" hidden="1">
      <c r="A238" s="923"/>
      <c r="J238" s="923"/>
      <c r="K238" s="3513"/>
      <c r="L238" s="3513"/>
      <c r="M238" s="3513"/>
    </row>
    <row r="239" spans="1:13" hidden="1">
      <c r="A239" s="923"/>
      <c r="J239" s="923"/>
      <c r="K239" s="3513"/>
      <c r="L239" s="3513"/>
      <c r="M239" s="3513"/>
    </row>
    <row r="240" spans="1:13" hidden="1">
      <c r="A240" s="923"/>
      <c r="J240" s="923"/>
      <c r="K240" s="3513"/>
      <c r="L240" s="3513"/>
      <c r="M240" s="3513"/>
    </row>
    <row r="241" spans="1:15" hidden="1">
      <c r="A241" s="923"/>
      <c r="J241" s="923"/>
      <c r="K241" s="3513"/>
      <c r="L241" s="3513"/>
      <c r="M241" s="3513"/>
    </row>
    <row r="242" spans="1:15" hidden="1">
      <c r="A242" s="923"/>
      <c r="J242" s="923"/>
      <c r="K242" s="3513"/>
      <c r="L242" s="3513"/>
      <c r="M242" s="3513"/>
    </row>
    <row r="243" spans="1:15" hidden="1">
      <c r="A243" s="923"/>
      <c r="J243" s="923"/>
      <c r="K243" s="3513"/>
      <c r="L243" s="3513"/>
      <c r="M243" s="3513"/>
    </row>
    <row r="244" spans="1:15" hidden="1">
      <c r="A244" s="923"/>
      <c r="J244" s="923"/>
      <c r="K244" s="3513"/>
      <c r="L244" s="3513"/>
      <c r="M244" s="3513"/>
    </row>
    <row r="245" spans="1:15" hidden="1">
      <c r="A245" s="923"/>
      <c r="J245" s="923"/>
      <c r="K245" s="3513"/>
      <c r="L245" s="3513"/>
      <c r="M245" s="3513"/>
    </row>
    <row r="246" spans="1:15" hidden="1">
      <c r="A246" s="923"/>
      <c r="J246" s="923"/>
      <c r="K246" s="3513"/>
      <c r="L246" s="3513"/>
      <c r="M246" s="3513"/>
    </row>
    <row r="247" spans="1:15" hidden="1">
      <c r="A247" s="923"/>
      <c r="J247" s="923"/>
      <c r="K247" s="3513"/>
      <c r="L247" s="3513"/>
      <c r="M247" s="3513"/>
    </row>
    <row r="248" spans="1:15" ht="13.5" hidden="1" thickBot="1">
      <c r="A248" s="923"/>
      <c r="J248" s="923"/>
      <c r="K248" s="3513"/>
      <c r="L248" s="3513"/>
      <c r="M248" s="3513"/>
      <c r="O248" s="1145"/>
    </row>
    <row r="249" spans="1:15" ht="13.5" hidden="1" thickBot="1">
      <c r="A249" s="923"/>
      <c r="J249" s="923"/>
      <c r="K249" s="3513"/>
      <c r="L249" s="3513"/>
      <c r="M249" s="3513"/>
      <c r="O249" s="2762"/>
    </row>
    <row r="250" spans="1:15" ht="13.5" thickBot="1">
      <c r="A250" s="923"/>
      <c r="J250" s="923"/>
      <c r="K250" s="3513"/>
      <c r="L250" s="3513"/>
      <c r="M250" s="3513"/>
      <c r="O250" s="2762"/>
    </row>
    <row r="251" spans="1:15" ht="13.5" thickBot="1">
      <c r="A251" s="923"/>
      <c r="J251" s="923"/>
      <c r="K251" s="3513"/>
      <c r="L251" s="3513"/>
      <c r="M251" s="3513"/>
      <c r="O251" s="2762"/>
    </row>
    <row r="252" spans="1:15" ht="13.5" thickBot="1">
      <c r="A252" s="923"/>
      <c r="J252" s="923"/>
      <c r="K252" s="3513"/>
      <c r="L252" s="3513"/>
      <c r="M252" s="3513"/>
      <c r="O252" s="2762"/>
    </row>
    <row r="253" spans="1:15" ht="13.5" thickBot="1">
      <c r="A253" s="923"/>
      <c r="J253" s="923"/>
      <c r="K253" s="3513"/>
      <c r="L253" s="3513"/>
      <c r="M253" s="3513"/>
      <c r="O253" s="2762"/>
    </row>
    <row r="254" spans="1:15" ht="13.5" thickBot="1">
      <c r="A254" s="923"/>
      <c r="J254" s="923"/>
      <c r="K254" s="3513"/>
      <c r="L254" s="3513"/>
      <c r="M254" s="3513"/>
      <c r="O254" s="2762"/>
    </row>
    <row r="255" spans="1:15" ht="13.5" thickBot="1">
      <c r="A255" s="923"/>
      <c r="J255" s="923"/>
      <c r="K255" s="3513"/>
      <c r="L255" s="3513"/>
      <c r="M255" s="3513"/>
      <c r="O255" s="2762"/>
    </row>
    <row r="256" spans="1:15" ht="13.5" thickBot="1">
      <c r="A256" s="923"/>
      <c r="J256" s="923"/>
      <c r="K256" s="3513"/>
      <c r="L256" s="3513"/>
      <c r="M256" s="3513"/>
      <c r="O256" s="2762"/>
    </row>
    <row r="257" spans="1:15" ht="13.5" thickBot="1">
      <c r="A257" s="923"/>
      <c r="J257" s="923"/>
      <c r="K257" s="3513"/>
      <c r="L257" s="3513"/>
      <c r="M257" s="3513"/>
      <c r="O257" s="2762"/>
    </row>
    <row r="258" spans="1:15" ht="13.5" thickBot="1">
      <c r="A258" s="923"/>
      <c r="J258" s="923"/>
      <c r="K258" s="3513"/>
      <c r="L258" s="3513"/>
      <c r="M258" s="3513"/>
      <c r="O258" s="2762"/>
    </row>
    <row r="259" spans="1:15" ht="13.5" thickBot="1">
      <c r="A259" s="923"/>
      <c r="J259" s="923"/>
      <c r="K259" s="3513"/>
      <c r="L259" s="3513"/>
      <c r="M259" s="3513"/>
      <c r="O259" s="2762"/>
    </row>
    <row r="260" spans="1:15" ht="13.5" thickBot="1">
      <c r="A260" s="923"/>
      <c r="J260" s="923"/>
      <c r="K260" s="3513"/>
      <c r="L260" s="3513"/>
      <c r="M260" s="3513"/>
      <c r="O260" s="2762"/>
    </row>
    <row r="261" spans="1:15" ht="13.5" thickBot="1">
      <c r="A261" s="923"/>
      <c r="J261" s="923"/>
      <c r="K261" s="3513"/>
      <c r="L261" s="3513"/>
      <c r="M261" s="3513"/>
      <c r="O261" s="2762"/>
    </row>
    <row r="262" spans="1:15">
      <c r="A262" s="923"/>
      <c r="J262" s="923"/>
      <c r="K262" s="3513"/>
      <c r="L262" s="3513"/>
      <c r="M262" s="3513"/>
      <c r="O262" s="1144"/>
    </row>
    <row r="263" spans="1:15">
      <c r="A263" s="923"/>
      <c r="J263" s="923"/>
      <c r="K263" s="3513"/>
      <c r="L263" s="3513"/>
      <c r="M263" s="3513"/>
    </row>
    <row r="264" spans="1:15">
      <c r="A264" s="923"/>
      <c r="J264" s="923"/>
      <c r="K264" s="3513"/>
      <c r="L264" s="3513"/>
      <c r="M264" s="3513"/>
    </row>
    <row r="265" spans="1:15">
      <c r="A265" s="923"/>
      <c r="J265" s="923"/>
      <c r="K265" s="3513"/>
      <c r="L265" s="3513"/>
      <c r="M265" s="3513"/>
    </row>
    <row r="266" spans="1:15">
      <c r="A266" s="923"/>
      <c r="J266" s="923"/>
      <c r="K266" s="3513"/>
      <c r="L266" s="3513"/>
      <c r="M266" s="3513"/>
    </row>
    <row r="267" spans="1:15">
      <c r="A267" s="923"/>
      <c r="J267" s="923"/>
      <c r="K267" s="3513"/>
      <c r="L267" s="3513"/>
      <c r="M267" s="3513"/>
    </row>
    <row r="268" spans="1:15">
      <c r="A268" s="923"/>
      <c r="J268" s="923"/>
      <c r="K268" s="3513"/>
      <c r="L268" s="3513"/>
      <c r="M268" s="3513"/>
    </row>
    <row r="269" spans="1:15">
      <c r="A269" s="923"/>
      <c r="J269" s="923"/>
      <c r="K269" s="3513"/>
      <c r="L269" s="3513"/>
      <c r="M269" s="3513"/>
    </row>
    <row r="270" spans="1:15">
      <c r="A270" s="923"/>
      <c r="J270" s="923"/>
      <c r="K270" s="3513"/>
      <c r="L270" s="3513"/>
      <c r="M270" s="3513"/>
    </row>
    <row r="271" spans="1:15">
      <c r="A271" s="923"/>
      <c r="J271" s="923"/>
      <c r="K271" s="3513"/>
      <c r="L271" s="3513"/>
      <c r="M271" s="3513"/>
    </row>
    <row r="272" spans="1:15">
      <c r="A272" s="923"/>
      <c r="J272" s="923"/>
      <c r="K272" s="3513"/>
      <c r="L272" s="3513"/>
      <c r="M272" s="3513"/>
    </row>
    <row r="273" spans="1:13">
      <c r="A273" s="923"/>
      <c r="J273" s="923"/>
      <c r="K273" s="3513"/>
      <c r="L273" s="3513"/>
      <c r="M273" s="3513"/>
    </row>
    <row r="274" spans="1:13">
      <c r="A274" s="923"/>
      <c r="J274" s="923"/>
      <c r="K274" s="3513"/>
      <c r="L274" s="3513"/>
      <c r="M274" s="3513"/>
    </row>
    <row r="275" spans="1:13">
      <c r="A275" s="923"/>
      <c r="J275" s="923"/>
      <c r="K275" s="3513"/>
      <c r="L275" s="3513"/>
      <c r="M275" s="3513"/>
    </row>
    <row r="276" spans="1:13">
      <c r="A276" s="923"/>
      <c r="J276" s="923"/>
      <c r="K276" s="3513"/>
      <c r="L276" s="3513"/>
      <c r="M276" s="3513"/>
    </row>
    <row r="277" spans="1:13">
      <c r="A277" s="923"/>
      <c r="J277" s="923"/>
      <c r="K277" s="3513"/>
      <c r="L277" s="3513"/>
      <c r="M277" s="3513"/>
    </row>
    <row r="278" spans="1:13">
      <c r="A278" s="923"/>
      <c r="J278" s="923"/>
      <c r="K278" s="3513"/>
      <c r="L278" s="3513"/>
      <c r="M278" s="3513"/>
    </row>
    <row r="279" spans="1:13">
      <c r="A279" s="923"/>
      <c r="J279" s="923"/>
      <c r="K279" s="3513"/>
      <c r="L279" s="3513"/>
      <c r="M279" s="3513"/>
    </row>
    <row r="280" spans="1:13">
      <c r="A280" s="923"/>
      <c r="J280" s="923"/>
      <c r="K280" s="3513"/>
      <c r="L280" s="3513"/>
      <c r="M280" s="3513"/>
    </row>
    <row r="281" spans="1:13">
      <c r="A281" s="923"/>
      <c r="J281" s="923"/>
      <c r="K281" s="3513"/>
      <c r="L281" s="3513"/>
      <c r="M281" s="3513"/>
    </row>
    <row r="282" spans="1:13">
      <c r="A282" s="923"/>
      <c r="J282" s="923"/>
      <c r="K282" s="3513"/>
      <c r="L282" s="3513"/>
      <c r="M282" s="3513"/>
    </row>
    <row r="283" spans="1:13">
      <c r="A283" s="923"/>
      <c r="J283" s="923"/>
      <c r="K283" s="3513"/>
      <c r="L283" s="3513"/>
      <c r="M283" s="3513"/>
    </row>
    <row r="284" spans="1:13">
      <c r="A284" s="923"/>
      <c r="J284" s="923"/>
      <c r="K284" s="3513"/>
      <c r="L284" s="3513"/>
      <c r="M284" s="3513"/>
    </row>
    <row r="285" spans="1:13">
      <c r="A285" s="923"/>
      <c r="J285" s="923"/>
      <c r="K285" s="3513"/>
      <c r="L285" s="3513"/>
      <c r="M285" s="3513"/>
    </row>
    <row r="286" spans="1:13">
      <c r="A286" s="923"/>
      <c r="J286" s="923"/>
      <c r="K286" s="3513"/>
      <c r="L286" s="3513"/>
      <c r="M286" s="3513"/>
    </row>
    <row r="287" spans="1:13">
      <c r="A287" s="923"/>
      <c r="J287" s="923"/>
      <c r="K287" s="3513"/>
      <c r="L287" s="3513"/>
      <c r="M287" s="3513"/>
    </row>
    <row r="288" spans="1:13">
      <c r="A288" s="923"/>
      <c r="J288" s="923"/>
      <c r="K288" s="3513"/>
      <c r="L288" s="3513"/>
      <c r="M288" s="3513"/>
    </row>
    <row r="289" spans="1:13">
      <c r="A289" s="923"/>
      <c r="J289" s="923"/>
      <c r="K289" s="3513"/>
      <c r="L289" s="3513"/>
      <c r="M289" s="3513"/>
    </row>
    <row r="290" spans="1:13">
      <c r="A290" s="923"/>
      <c r="J290" s="923"/>
      <c r="K290" s="3513"/>
      <c r="L290" s="3513"/>
      <c r="M290" s="3513"/>
    </row>
    <row r="291" spans="1:13">
      <c r="A291" s="923"/>
      <c r="J291" s="923"/>
      <c r="K291" s="3513"/>
      <c r="L291" s="3513"/>
      <c r="M291" s="3513"/>
    </row>
    <row r="292" spans="1:13">
      <c r="A292" s="923"/>
      <c r="J292" s="923"/>
      <c r="K292" s="3513"/>
      <c r="L292" s="3513"/>
      <c r="M292" s="3513"/>
    </row>
    <row r="293" spans="1:13">
      <c r="A293" s="923"/>
      <c r="J293" s="923"/>
      <c r="K293" s="3513"/>
      <c r="L293" s="3513"/>
      <c r="M293" s="3513"/>
    </row>
    <row r="294" spans="1:13">
      <c r="A294" s="923"/>
      <c r="J294" s="923"/>
      <c r="K294" s="3513"/>
      <c r="L294" s="3513"/>
      <c r="M294" s="3513"/>
    </row>
    <row r="295" spans="1:13">
      <c r="A295" s="923"/>
      <c r="J295" s="923"/>
      <c r="K295" s="3513"/>
      <c r="L295" s="3513"/>
      <c r="M295" s="3513"/>
    </row>
    <row r="296" spans="1:13">
      <c r="A296" s="923"/>
      <c r="J296" s="923"/>
      <c r="K296" s="3513"/>
      <c r="L296" s="3513"/>
      <c r="M296" s="3513"/>
    </row>
    <row r="297" spans="1:13">
      <c r="A297" s="923"/>
      <c r="J297" s="923"/>
      <c r="K297" s="3513"/>
      <c r="L297" s="3513"/>
      <c r="M297" s="3513"/>
    </row>
    <row r="298" spans="1:13">
      <c r="A298" s="923"/>
      <c r="J298" s="923"/>
      <c r="K298" s="3513"/>
      <c r="L298" s="3513"/>
      <c r="M298" s="3513"/>
    </row>
    <row r="299" spans="1:13">
      <c r="A299" s="923"/>
      <c r="J299" s="923"/>
      <c r="K299" s="3513"/>
      <c r="L299" s="3513"/>
      <c r="M299" s="3513"/>
    </row>
    <row r="300" spans="1:13">
      <c r="A300" s="923"/>
      <c r="J300" s="923"/>
      <c r="K300" s="3513"/>
      <c r="L300" s="3513"/>
      <c r="M300" s="3513"/>
    </row>
    <row r="301" spans="1:13">
      <c r="A301" s="923"/>
      <c r="J301" s="923"/>
      <c r="K301" s="3513"/>
      <c r="L301" s="3513"/>
      <c r="M301" s="3513"/>
    </row>
    <row r="302" spans="1:13">
      <c r="A302" s="923"/>
      <c r="J302" s="923"/>
      <c r="K302" s="3513"/>
      <c r="L302" s="3513"/>
      <c r="M302" s="3513"/>
    </row>
    <row r="303" spans="1:13">
      <c r="A303" s="923"/>
      <c r="J303" s="923"/>
      <c r="K303" s="3513"/>
      <c r="L303" s="3513"/>
      <c r="M303" s="3513"/>
    </row>
    <row r="304" spans="1:13">
      <c r="A304" s="923"/>
      <c r="J304" s="923"/>
      <c r="K304" s="3513"/>
      <c r="L304" s="3513"/>
      <c r="M304" s="3513"/>
    </row>
    <row r="305" spans="1:13">
      <c r="A305" s="923"/>
      <c r="J305" s="923"/>
      <c r="K305" s="3513"/>
      <c r="L305" s="3513"/>
      <c r="M305" s="3513"/>
    </row>
    <row r="306" spans="1:13">
      <c r="A306" s="923"/>
      <c r="J306" s="923"/>
      <c r="K306" s="3513"/>
      <c r="L306" s="3513"/>
      <c r="M306" s="3513"/>
    </row>
    <row r="307" spans="1:13">
      <c r="A307" s="923"/>
      <c r="J307" s="923"/>
      <c r="K307" s="3513"/>
      <c r="L307" s="3513"/>
      <c r="M307" s="3513"/>
    </row>
    <row r="308" spans="1:13">
      <c r="A308" s="923"/>
      <c r="J308" s="923"/>
      <c r="K308" s="3513"/>
      <c r="L308" s="3513"/>
      <c r="M308" s="3513"/>
    </row>
    <row r="309" spans="1:13">
      <c r="A309" s="923"/>
      <c r="J309" s="923"/>
      <c r="K309" s="3513"/>
      <c r="L309" s="3513"/>
      <c r="M309" s="3513"/>
    </row>
    <row r="310" spans="1:13">
      <c r="A310" s="923"/>
      <c r="J310" s="923"/>
      <c r="K310" s="3513"/>
      <c r="L310" s="3513"/>
      <c r="M310" s="3513"/>
    </row>
    <row r="311" spans="1:13">
      <c r="A311" s="923"/>
      <c r="J311" s="923"/>
      <c r="K311" s="3513"/>
      <c r="L311" s="3513"/>
      <c r="M311" s="3513"/>
    </row>
    <row r="312" spans="1:13">
      <c r="A312" s="923"/>
      <c r="J312" s="923"/>
      <c r="K312" s="3513"/>
      <c r="L312" s="3513"/>
      <c r="M312" s="3513"/>
    </row>
    <row r="313" spans="1:13">
      <c r="A313" s="923"/>
      <c r="J313" s="923"/>
      <c r="K313" s="3513"/>
      <c r="L313" s="3513"/>
      <c r="M313" s="3513"/>
    </row>
    <row r="314" spans="1:13">
      <c r="A314" s="923"/>
      <c r="J314" s="923"/>
      <c r="K314" s="3513"/>
      <c r="L314" s="3513"/>
      <c r="M314" s="3513"/>
    </row>
    <row r="315" spans="1:13">
      <c r="A315" s="923"/>
      <c r="J315" s="923"/>
      <c r="K315" s="3513"/>
      <c r="L315" s="3513"/>
      <c r="M315" s="3513"/>
    </row>
    <row r="316" spans="1:13">
      <c r="A316" s="923"/>
      <c r="J316" s="923"/>
      <c r="K316" s="3513"/>
      <c r="L316" s="3513"/>
      <c r="M316" s="3513"/>
    </row>
    <row r="317" spans="1:13">
      <c r="A317" s="923"/>
      <c r="J317" s="923"/>
      <c r="K317" s="3513"/>
      <c r="L317" s="3513"/>
      <c r="M317" s="3513"/>
    </row>
    <row r="318" spans="1:13">
      <c r="A318" s="923"/>
      <c r="J318" s="923"/>
      <c r="K318" s="3513"/>
      <c r="L318" s="3513"/>
      <c r="M318" s="3513"/>
    </row>
    <row r="319" spans="1:13">
      <c r="A319" s="923"/>
      <c r="J319" s="923"/>
      <c r="K319" s="3513"/>
      <c r="L319" s="3513"/>
      <c r="M319" s="3513"/>
    </row>
    <row r="320" spans="1:13">
      <c r="A320" s="923"/>
      <c r="J320" s="923"/>
      <c r="K320" s="3513"/>
      <c r="L320" s="3513"/>
      <c r="M320" s="3513"/>
    </row>
    <row r="321" spans="1:13">
      <c r="A321" s="923"/>
      <c r="J321" s="923"/>
      <c r="K321" s="3513"/>
      <c r="L321" s="3513"/>
      <c r="M321" s="3513"/>
    </row>
    <row r="322" spans="1:13">
      <c r="A322" s="923"/>
      <c r="J322" s="923"/>
      <c r="K322" s="3513"/>
      <c r="L322" s="3513"/>
      <c r="M322" s="3513"/>
    </row>
    <row r="323" spans="1:13">
      <c r="A323" s="923"/>
      <c r="J323" s="923"/>
      <c r="K323" s="3513"/>
      <c r="L323" s="3513"/>
      <c r="M323" s="3513"/>
    </row>
    <row r="324" spans="1:13">
      <c r="A324" s="923"/>
      <c r="J324" s="923"/>
      <c r="K324" s="3513"/>
      <c r="L324" s="3513"/>
      <c r="M324" s="3513"/>
    </row>
    <row r="325" spans="1:13">
      <c r="A325" s="923"/>
      <c r="J325" s="923"/>
      <c r="K325" s="3513"/>
      <c r="L325" s="3513"/>
      <c r="M325" s="3513"/>
    </row>
    <row r="326" spans="1:13">
      <c r="A326" s="923"/>
      <c r="J326" s="923"/>
      <c r="K326" s="3513"/>
      <c r="L326" s="3513"/>
      <c r="M326" s="3513"/>
    </row>
    <row r="327" spans="1:13">
      <c r="A327" s="923"/>
      <c r="J327" s="923"/>
      <c r="K327" s="3513"/>
      <c r="L327" s="3513"/>
      <c r="M327" s="3513"/>
    </row>
    <row r="328" spans="1:13">
      <c r="A328" s="923"/>
      <c r="J328" s="923"/>
      <c r="K328" s="3513"/>
      <c r="L328" s="3513"/>
      <c r="M328" s="3513"/>
    </row>
    <row r="329" spans="1:13">
      <c r="A329" s="923"/>
      <c r="J329" s="923"/>
      <c r="K329" s="3513"/>
      <c r="L329" s="3513"/>
      <c r="M329" s="3513"/>
    </row>
    <row r="330" spans="1:13">
      <c r="A330" s="923"/>
      <c r="J330" s="923"/>
      <c r="K330" s="3513"/>
      <c r="L330" s="3513"/>
      <c r="M330" s="3513"/>
    </row>
    <row r="331" spans="1:13">
      <c r="A331" s="923"/>
      <c r="J331" s="923"/>
      <c r="K331" s="3513"/>
      <c r="L331" s="3513"/>
      <c r="M331" s="3513"/>
    </row>
    <row r="332" spans="1:13">
      <c r="A332" s="923"/>
      <c r="J332" s="923"/>
      <c r="K332" s="3513"/>
      <c r="L332" s="3513"/>
      <c r="M332" s="3513"/>
    </row>
    <row r="333" spans="1:13">
      <c r="A333" s="923"/>
      <c r="J333" s="923"/>
      <c r="K333" s="3513"/>
      <c r="L333" s="3513"/>
      <c r="M333" s="3513"/>
    </row>
    <row r="334" spans="1:13">
      <c r="A334" s="923"/>
      <c r="J334" s="923"/>
      <c r="K334" s="3513"/>
      <c r="L334" s="3513"/>
      <c r="M334" s="3513"/>
    </row>
    <row r="335" spans="1:13">
      <c r="A335" s="923"/>
      <c r="J335" s="923"/>
      <c r="K335" s="3513"/>
      <c r="L335" s="3513"/>
      <c r="M335" s="3513"/>
    </row>
    <row r="336" spans="1:13">
      <c r="A336" s="923"/>
      <c r="J336" s="923"/>
      <c r="K336" s="3513"/>
      <c r="L336" s="3513"/>
      <c r="M336" s="3513"/>
    </row>
    <row r="337" spans="1:13">
      <c r="A337" s="923"/>
      <c r="J337" s="923"/>
      <c r="K337" s="3513"/>
      <c r="L337" s="3513"/>
      <c r="M337" s="3513"/>
    </row>
    <row r="338" spans="1:13">
      <c r="A338" s="923"/>
      <c r="J338" s="923"/>
      <c r="K338" s="3513"/>
      <c r="L338" s="3513"/>
      <c r="M338" s="3513"/>
    </row>
    <row r="339" spans="1:13">
      <c r="A339" s="923"/>
      <c r="J339" s="923"/>
      <c r="K339" s="3513"/>
      <c r="L339" s="3513"/>
      <c r="M339" s="3513"/>
    </row>
    <row r="340" spans="1:13">
      <c r="A340" s="923"/>
      <c r="J340" s="923"/>
      <c r="K340" s="3513"/>
      <c r="L340" s="3513"/>
      <c r="M340" s="3513"/>
    </row>
    <row r="341" spans="1:13">
      <c r="A341" s="923"/>
      <c r="J341" s="923"/>
      <c r="K341" s="3513"/>
      <c r="L341" s="3513"/>
      <c r="M341" s="3513"/>
    </row>
    <row r="342" spans="1:13">
      <c r="A342" s="923"/>
      <c r="J342" s="923"/>
      <c r="K342" s="3513"/>
      <c r="L342" s="3513"/>
      <c r="M342" s="3513"/>
    </row>
    <row r="343" spans="1:13">
      <c r="A343" s="923"/>
      <c r="J343" s="923"/>
      <c r="K343" s="3513"/>
      <c r="L343" s="3513"/>
      <c r="M343" s="3513"/>
    </row>
    <row r="344" spans="1:13">
      <c r="A344" s="923"/>
      <c r="J344" s="923"/>
      <c r="K344" s="3513"/>
      <c r="L344" s="3513"/>
      <c r="M344" s="3513"/>
    </row>
    <row r="345" spans="1:13">
      <c r="A345" s="923"/>
      <c r="J345" s="923"/>
      <c r="K345" s="3513"/>
      <c r="L345" s="3513"/>
      <c r="M345" s="3513"/>
    </row>
    <row r="346" spans="1:13">
      <c r="A346" s="923"/>
      <c r="J346" s="923"/>
      <c r="K346" s="3513"/>
      <c r="L346" s="3513"/>
      <c r="M346" s="3513"/>
    </row>
    <row r="347" spans="1:13">
      <c r="A347" s="923"/>
      <c r="J347" s="923"/>
      <c r="K347" s="3513"/>
      <c r="L347" s="3513"/>
      <c r="M347" s="3513"/>
    </row>
    <row r="348" spans="1:13">
      <c r="A348" s="923"/>
      <c r="J348" s="923"/>
      <c r="K348" s="3513"/>
      <c r="L348" s="3513"/>
      <c r="M348" s="3513"/>
    </row>
    <row r="349" spans="1:13">
      <c r="A349" s="923"/>
      <c r="J349" s="923"/>
      <c r="K349" s="3513"/>
      <c r="L349" s="3513"/>
      <c r="M349" s="3513"/>
    </row>
    <row r="350" spans="1:13">
      <c r="A350" s="923"/>
      <c r="J350" s="923"/>
      <c r="K350" s="3513"/>
      <c r="L350" s="3513"/>
      <c r="M350" s="3513"/>
    </row>
    <row r="351" spans="1:13">
      <c r="A351" s="923"/>
      <c r="J351" s="923"/>
      <c r="K351" s="3513"/>
      <c r="L351" s="3513"/>
      <c r="M351" s="3513"/>
    </row>
    <row r="352" spans="1:13">
      <c r="A352" s="923"/>
      <c r="J352" s="923"/>
      <c r="K352" s="3513"/>
      <c r="L352" s="3513"/>
      <c r="M352" s="3513"/>
    </row>
    <row r="353" spans="1:13">
      <c r="A353" s="923"/>
      <c r="J353" s="923"/>
      <c r="K353" s="3513"/>
      <c r="L353" s="3513"/>
      <c r="M353" s="3513"/>
    </row>
    <row r="354" spans="1:13">
      <c r="A354" s="923"/>
      <c r="J354" s="923"/>
      <c r="K354" s="3513"/>
      <c r="L354" s="3513"/>
      <c r="M354" s="3513"/>
    </row>
    <row r="355" spans="1:13">
      <c r="A355" s="923"/>
      <c r="J355" s="923"/>
      <c r="K355" s="3513"/>
      <c r="L355" s="3513"/>
      <c r="M355" s="3513"/>
    </row>
    <row r="356" spans="1:13">
      <c r="A356" s="923"/>
      <c r="J356" s="923"/>
      <c r="K356" s="3513"/>
      <c r="L356" s="3513"/>
      <c r="M356" s="3513"/>
    </row>
    <row r="357" spans="1:13">
      <c r="A357" s="923"/>
      <c r="J357" s="923"/>
      <c r="K357" s="3513"/>
      <c r="L357" s="3513"/>
      <c r="M357" s="3513"/>
    </row>
    <row r="358" spans="1:13">
      <c r="A358" s="923"/>
      <c r="J358" s="923"/>
      <c r="K358" s="3513"/>
      <c r="L358" s="3513"/>
      <c r="M358" s="3513"/>
    </row>
    <row r="359" spans="1:13">
      <c r="A359" s="923"/>
      <c r="J359" s="923"/>
      <c r="K359" s="3513"/>
      <c r="L359" s="3513"/>
      <c r="M359" s="3513"/>
    </row>
    <row r="360" spans="1:13">
      <c r="A360" s="923"/>
      <c r="J360" s="923"/>
      <c r="K360" s="3513"/>
      <c r="L360" s="3513"/>
      <c r="M360" s="3513"/>
    </row>
    <row r="361" spans="1:13">
      <c r="A361" s="923"/>
      <c r="J361" s="923"/>
      <c r="K361" s="3513"/>
      <c r="L361" s="3513"/>
      <c r="M361" s="3513"/>
    </row>
    <row r="362" spans="1:13">
      <c r="A362" s="923"/>
      <c r="J362" s="923"/>
      <c r="K362" s="3513"/>
      <c r="L362" s="3513"/>
      <c r="M362" s="3513"/>
    </row>
    <row r="363" spans="1:13">
      <c r="A363" s="923"/>
      <c r="J363" s="923"/>
      <c r="K363" s="3513"/>
      <c r="L363" s="3513"/>
      <c r="M363" s="3513"/>
    </row>
    <row r="364" spans="1:13">
      <c r="A364" s="923"/>
      <c r="J364" s="923"/>
      <c r="K364" s="3513"/>
      <c r="L364" s="3513"/>
      <c r="M364" s="3513"/>
    </row>
    <row r="365" spans="1:13">
      <c r="A365" s="923"/>
      <c r="J365" s="923"/>
      <c r="K365" s="3513"/>
      <c r="L365" s="3513"/>
      <c r="M365" s="3513"/>
    </row>
    <row r="366" spans="1:13">
      <c r="A366" s="923"/>
      <c r="J366" s="923"/>
      <c r="K366" s="3513"/>
      <c r="L366" s="3513"/>
      <c r="M366" s="3513"/>
    </row>
    <row r="367" spans="1:13">
      <c r="A367" s="923"/>
      <c r="J367" s="923"/>
      <c r="K367" s="3513"/>
      <c r="L367" s="3513"/>
      <c r="M367" s="3513"/>
    </row>
    <row r="368" spans="1:13">
      <c r="A368" s="923"/>
      <c r="J368" s="923"/>
      <c r="K368" s="3513"/>
      <c r="L368" s="3513"/>
      <c r="M368" s="3513"/>
    </row>
    <row r="369" spans="1:13">
      <c r="A369" s="923"/>
      <c r="J369" s="923"/>
      <c r="K369" s="3513"/>
      <c r="L369" s="3513"/>
      <c r="M369" s="3513"/>
    </row>
    <row r="370" spans="1:13">
      <c r="A370" s="923"/>
      <c r="J370" s="923"/>
      <c r="K370" s="3513"/>
      <c r="L370" s="3513"/>
      <c r="M370" s="3513"/>
    </row>
    <row r="371" spans="1:13">
      <c r="A371" s="923"/>
      <c r="J371" s="923"/>
      <c r="K371" s="3513"/>
      <c r="L371" s="3513"/>
      <c r="M371" s="3513"/>
    </row>
    <row r="372" spans="1:13">
      <c r="A372" s="923"/>
      <c r="J372" s="923"/>
      <c r="K372" s="3513"/>
      <c r="L372" s="3513"/>
      <c r="M372" s="3513"/>
    </row>
    <row r="373" spans="1:13">
      <c r="A373" s="923"/>
      <c r="J373" s="923"/>
      <c r="K373" s="3513"/>
      <c r="L373" s="3513"/>
      <c r="M373" s="3513"/>
    </row>
    <row r="374" spans="1:13">
      <c r="A374" s="923"/>
      <c r="J374" s="923"/>
      <c r="K374" s="3513"/>
      <c r="L374" s="3513"/>
      <c r="M374" s="3513"/>
    </row>
    <row r="375" spans="1:13">
      <c r="A375" s="923"/>
      <c r="J375" s="923"/>
      <c r="K375" s="3513"/>
      <c r="L375" s="3513"/>
      <c r="M375" s="3513"/>
    </row>
    <row r="376" spans="1:13">
      <c r="A376" s="923"/>
      <c r="J376" s="923"/>
      <c r="K376" s="3513"/>
      <c r="L376" s="3513"/>
      <c r="M376" s="3513"/>
    </row>
    <row r="377" spans="1:13">
      <c r="A377" s="923"/>
      <c r="J377" s="923"/>
      <c r="K377" s="3513"/>
      <c r="L377" s="3513"/>
      <c r="M377" s="3513"/>
    </row>
    <row r="378" spans="1:13">
      <c r="A378" s="923"/>
      <c r="J378" s="923"/>
      <c r="K378" s="3513"/>
      <c r="L378" s="3513"/>
      <c r="M378" s="3513"/>
    </row>
    <row r="379" spans="1:13">
      <c r="A379" s="923"/>
      <c r="J379" s="923"/>
      <c r="K379" s="3513"/>
      <c r="L379" s="3513"/>
      <c r="M379" s="3513"/>
    </row>
    <row r="380" spans="1:13">
      <c r="A380" s="923"/>
      <c r="J380" s="923"/>
      <c r="K380" s="3513"/>
      <c r="L380" s="3513"/>
      <c r="M380" s="3513"/>
    </row>
    <row r="381" spans="1:13">
      <c r="A381" s="923"/>
      <c r="J381" s="923"/>
      <c r="K381" s="3513"/>
      <c r="L381" s="3513"/>
      <c r="M381" s="3513"/>
    </row>
    <row r="382" spans="1:13">
      <c r="A382" s="923"/>
      <c r="J382" s="923"/>
      <c r="K382" s="3513"/>
      <c r="L382" s="3513"/>
      <c r="M382" s="3513"/>
    </row>
    <row r="383" spans="1:13">
      <c r="A383" s="923"/>
      <c r="J383" s="923"/>
      <c r="K383" s="3513"/>
      <c r="L383" s="3513"/>
      <c r="M383" s="3513"/>
    </row>
    <row r="384" spans="1:13">
      <c r="A384" s="923"/>
      <c r="J384" s="923"/>
      <c r="K384" s="3513"/>
      <c r="L384" s="3513"/>
      <c r="M384" s="3513"/>
    </row>
    <row r="385" spans="1:13">
      <c r="A385" s="923"/>
      <c r="J385" s="923"/>
      <c r="K385" s="3513"/>
      <c r="L385" s="3513"/>
      <c r="M385" s="3513"/>
    </row>
    <row r="386" spans="1:13">
      <c r="A386" s="923"/>
      <c r="J386" s="923"/>
      <c r="K386" s="3513"/>
      <c r="L386" s="3513"/>
      <c r="M386" s="3513"/>
    </row>
    <row r="387" spans="1:13" ht="13.5" thickBot="1">
      <c r="A387" s="923"/>
      <c r="J387" s="923"/>
      <c r="K387" s="3513"/>
      <c r="L387" s="3513"/>
      <c r="M387" s="3513"/>
    </row>
    <row r="388" spans="1:13" ht="45">
      <c r="A388" s="1143" t="s">
        <v>69</v>
      </c>
      <c r="B388" s="1144"/>
      <c r="C388" s="1144"/>
      <c r="D388" s="1144"/>
      <c r="E388" s="1144"/>
      <c r="F388" s="1144"/>
      <c r="G388" s="1144"/>
      <c r="H388" s="1144"/>
      <c r="I388" s="1144"/>
      <c r="J388" s="1144"/>
      <c r="K388" s="3523"/>
      <c r="L388" s="3523"/>
      <c r="M388" s="3523"/>
    </row>
    <row r="389" spans="1:13">
      <c r="A389" s="923"/>
      <c r="J389" s="923"/>
      <c r="K389" s="2907"/>
      <c r="L389" s="2907"/>
      <c r="M389" s="2907"/>
    </row>
    <row r="390" spans="1:13">
      <c r="A390" s="923"/>
      <c r="J390" s="923"/>
      <c r="K390" s="2907"/>
      <c r="L390" s="2907"/>
      <c r="M390" s="2907"/>
    </row>
    <row r="391" spans="1:13">
      <c r="A391" s="923"/>
      <c r="J391" s="923"/>
      <c r="K391" s="2907"/>
      <c r="L391" s="2907"/>
      <c r="M391" s="2907"/>
    </row>
    <row r="392" spans="1:13">
      <c r="A392" s="923"/>
      <c r="J392" s="923"/>
      <c r="K392" s="2907"/>
      <c r="L392" s="2907"/>
      <c r="M392" s="2907"/>
    </row>
    <row r="393" spans="1:13">
      <c r="A393" s="923"/>
      <c r="J393" s="923"/>
      <c r="K393" s="2907"/>
      <c r="L393" s="2907"/>
      <c r="M393" s="2907"/>
    </row>
    <row r="394" spans="1:13">
      <c r="A394" s="923"/>
      <c r="J394" s="923"/>
      <c r="K394" s="2907"/>
      <c r="L394" s="2907"/>
      <c r="M394" s="2907"/>
    </row>
    <row r="395" spans="1:13">
      <c r="A395" s="923"/>
      <c r="J395" s="923"/>
      <c r="K395" s="2907"/>
      <c r="L395" s="2907"/>
      <c r="M395" s="2907"/>
    </row>
    <row r="396" spans="1:13">
      <c r="A396" s="923"/>
      <c r="J396" s="923"/>
      <c r="K396" s="2907"/>
      <c r="L396" s="2907"/>
      <c r="M396" s="2907"/>
    </row>
    <row r="397" spans="1:13">
      <c r="A397" s="923"/>
      <c r="J397" s="923"/>
      <c r="K397" s="2907"/>
      <c r="L397" s="2907"/>
      <c r="M397" s="2907"/>
    </row>
    <row r="398" spans="1:13">
      <c r="A398" s="923"/>
      <c r="J398" s="923"/>
      <c r="K398" s="2907"/>
      <c r="L398" s="2907"/>
      <c r="M398" s="2907"/>
    </row>
    <row r="399" spans="1:13" ht="13.5" thickBot="1">
      <c r="A399" s="1145"/>
      <c r="B399" s="1145"/>
      <c r="C399" s="1145"/>
      <c r="D399" s="1145"/>
      <c r="E399" s="1145"/>
      <c r="F399" s="1145"/>
      <c r="G399" s="1145"/>
      <c r="H399" s="1145"/>
      <c r="I399" s="1145"/>
      <c r="J399" s="1145"/>
      <c r="K399" s="3434"/>
      <c r="L399" s="3434"/>
      <c r="M399" s="3434"/>
    </row>
    <row r="400" spans="1:13">
      <c r="A400" s="923"/>
      <c r="J400" s="923"/>
      <c r="K400" s="3513"/>
      <c r="L400" s="3513"/>
      <c r="M400" s="3513"/>
    </row>
    <row r="401" spans="1:15" ht="13.5" thickBot="1">
      <c r="A401" s="1145"/>
      <c r="J401" s="923"/>
      <c r="K401" s="3513"/>
      <c r="L401" s="3513"/>
      <c r="M401" s="3513"/>
    </row>
    <row r="402" spans="1:15" ht="13.5" thickBot="1">
      <c r="A402" s="2762"/>
      <c r="J402" s="923"/>
      <c r="K402" s="3513"/>
      <c r="L402" s="3513"/>
      <c r="M402" s="3513"/>
    </row>
    <row r="403" spans="1:15" ht="13.5" thickBot="1">
      <c r="A403" s="2762"/>
      <c r="J403" s="923"/>
      <c r="K403" s="3513"/>
      <c r="L403" s="3513"/>
      <c r="M403" s="3513"/>
    </row>
    <row r="404" spans="1:15" ht="13.5" thickBot="1">
      <c r="A404" s="2762"/>
      <c r="J404" s="923"/>
      <c r="K404" s="3513"/>
      <c r="L404" s="3513"/>
      <c r="M404" s="3513"/>
    </row>
    <row r="405" spans="1:15" ht="13.5" thickBot="1">
      <c r="A405" s="2762"/>
      <c r="J405" s="923"/>
      <c r="K405" s="3513"/>
      <c r="L405" s="3513"/>
      <c r="M405" s="3513"/>
    </row>
    <row r="406" spans="1:15" ht="13.5" thickBot="1">
      <c r="A406" s="2762"/>
      <c r="J406" s="923"/>
      <c r="K406" s="3513"/>
      <c r="L406" s="3513"/>
      <c r="M406" s="3513"/>
    </row>
    <row r="407" spans="1:15" ht="13.5" thickBot="1">
      <c r="A407" s="2762"/>
      <c r="J407" s="923"/>
      <c r="K407" s="3513"/>
      <c r="L407" s="3513"/>
      <c r="M407" s="3513"/>
      <c r="N407" s="1145"/>
      <c r="O407" s="1145"/>
    </row>
    <row r="408" spans="1:15" ht="13.5" thickBot="1">
      <c r="A408" s="2762"/>
      <c r="C408" s="1145"/>
      <c r="J408" s="923"/>
      <c r="K408" s="3513"/>
      <c r="L408" s="3513"/>
      <c r="M408" s="3513"/>
      <c r="N408" s="2762"/>
      <c r="O408" s="2762"/>
    </row>
    <row r="409" spans="1:15" ht="13.5" thickBot="1">
      <c r="A409" s="2762"/>
      <c r="C409" s="2762"/>
      <c r="D409" s="1145"/>
      <c r="E409" s="1145"/>
      <c r="F409" s="1145"/>
      <c r="G409" s="1145"/>
      <c r="H409" s="1145"/>
      <c r="I409" s="1145"/>
      <c r="J409" s="1145"/>
      <c r="K409" s="3434"/>
      <c r="L409" s="3434"/>
      <c r="M409" s="3513"/>
      <c r="N409" s="2762"/>
      <c r="O409" s="2762"/>
    </row>
    <row r="410" spans="1:15" ht="13.5" thickBot="1">
      <c r="A410" s="2762"/>
      <c r="C410" s="1144"/>
      <c r="D410" s="1144"/>
      <c r="E410" s="1144"/>
      <c r="F410" s="1144"/>
      <c r="G410" s="1144"/>
      <c r="H410" s="1144"/>
      <c r="I410" s="1144"/>
      <c r="J410" s="1144"/>
      <c r="K410" s="3523"/>
      <c r="L410" s="3523"/>
      <c r="M410" s="3513"/>
      <c r="N410" s="1144"/>
      <c r="O410" s="2762"/>
    </row>
    <row r="411" spans="1:15" ht="13.5" thickBot="1">
      <c r="A411" s="2762"/>
      <c r="J411" s="923"/>
      <c r="K411" s="3513"/>
      <c r="L411" s="3513"/>
      <c r="M411" s="3513"/>
      <c r="O411" s="2762"/>
    </row>
    <row r="412" spans="1:15" ht="13.5" thickBot="1">
      <c r="A412" s="2762"/>
      <c r="J412" s="923"/>
      <c r="K412" s="3513"/>
      <c r="L412" s="3513"/>
      <c r="M412" s="3513"/>
      <c r="O412" s="2762"/>
    </row>
    <row r="413" spans="1:15" ht="13.5" thickBot="1">
      <c r="A413" s="2762"/>
      <c r="J413" s="923"/>
      <c r="K413" s="3513"/>
      <c r="L413" s="3513"/>
      <c r="M413" s="3513"/>
      <c r="O413" s="2762"/>
    </row>
    <row r="414" spans="1:15" ht="13.5" thickBot="1">
      <c r="A414" s="2762"/>
      <c r="J414" s="923"/>
      <c r="K414" s="3513"/>
      <c r="L414" s="3513"/>
      <c r="M414" s="3513"/>
      <c r="O414" s="2762"/>
    </row>
    <row r="415" spans="1:15" ht="13.5" thickBot="1">
      <c r="A415" s="2762"/>
      <c r="J415" s="923"/>
      <c r="K415" s="3513"/>
      <c r="L415" s="3513"/>
      <c r="M415" s="3513"/>
      <c r="O415" s="1144"/>
    </row>
    <row r="416" spans="1:15" ht="13.5" thickBot="1">
      <c r="A416" s="2762"/>
      <c r="J416" s="923"/>
      <c r="K416" s="3513"/>
      <c r="L416" s="3513"/>
      <c r="M416" s="3513"/>
    </row>
    <row r="417" spans="1:13" ht="13.5" thickBot="1">
      <c r="A417" s="2762"/>
      <c r="J417" s="923"/>
      <c r="K417" s="3513"/>
      <c r="L417" s="3513"/>
      <c r="M417" s="3513"/>
    </row>
    <row r="418" spans="1:13">
      <c r="A418" s="1144"/>
      <c r="J418" s="923"/>
      <c r="K418" s="3513"/>
      <c r="L418" s="3513"/>
      <c r="M418" s="3513"/>
    </row>
    <row r="419" spans="1:13">
      <c r="A419" s="923"/>
      <c r="J419" s="923"/>
      <c r="K419" s="3513"/>
      <c r="L419" s="3513"/>
      <c r="M419" s="3513"/>
    </row>
    <row r="420" spans="1:13">
      <c r="A420" s="923"/>
      <c r="J420" s="923"/>
      <c r="K420" s="3513"/>
      <c r="L420" s="3513"/>
      <c r="M420" s="3513"/>
    </row>
    <row r="421" spans="1:13">
      <c r="A421" s="923"/>
      <c r="J421" s="923"/>
      <c r="K421" s="3513"/>
      <c r="L421" s="3513"/>
      <c r="M421" s="3513"/>
    </row>
    <row r="422" spans="1:13">
      <c r="A422" s="923"/>
      <c r="J422" s="923"/>
      <c r="K422" s="3513"/>
      <c r="L422" s="3513"/>
      <c r="M422" s="3513"/>
    </row>
    <row r="423" spans="1:13">
      <c r="A423" s="923"/>
      <c r="J423" s="923"/>
      <c r="K423" s="3513"/>
      <c r="L423" s="3513"/>
      <c r="M423" s="3513"/>
    </row>
    <row r="424" spans="1:13">
      <c r="A424" s="923"/>
      <c r="J424" s="923"/>
      <c r="K424" s="3513"/>
      <c r="L424" s="3513"/>
      <c r="M424" s="3513"/>
    </row>
    <row r="425" spans="1:13">
      <c r="A425" s="923"/>
      <c r="J425" s="923"/>
      <c r="K425" s="3513"/>
      <c r="L425" s="3513"/>
      <c r="M425" s="3513"/>
    </row>
    <row r="426" spans="1:13">
      <c r="A426" s="923"/>
      <c r="J426" s="923"/>
      <c r="K426" s="3513"/>
      <c r="L426" s="3513"/>
      <c r="M426" s="3513"/>
    </row>
    <row r="427" spans="1:13">
      <c r="A427" s="923"/>
      <c r="J427" s="923"/>
      <c r="K427" s="3513"/>
      <c r="L427" s="3513"/>
      <c r="M427" s="3513"/>
    </row>
    <row r="428" spans="1:13">
      <c r="A428" s="923"/>
      <c r="J428" s="923"/>
      <c r="K428" s="3513"/>
      <c r="L428" s="3513"/>
      <c r="M428" s="3513"/>
    </row>
    <row r="429" spans="1:13">
      <c r="A429" s="923"/>
      <c r="J429" s="923"/>
      <c r="K429" s="3513"/>
      <c r="L429" s="3513"/>
      <c r="M429" s="3513"/>
    </row>
    <row r="430" spans="1:13">
      <c r="A430" s="923"/>
      <c r="J430" s="923"/>
      <c r="K430" s="3513"/>
      <c r="L430" s="3513"/>
      <c r="M430" s="3513"/>
    </row>
    <row r="431" spans="1:13">
      <c r="A431" s="923"/>
      <c r="J431" s="923"/>
      <c r="K431" s="3513"/>
      <c r="L431" s="3513"/>
      <c r="M431" s="3513"/>
    </row>
    <row r="432" spans="1:13">
      <c r="A432" s="923"/>
      <c r="J432" s="923"/>
      <c r="K432" s="3513"/>
      <c r="L432" s="3513"/>
      <c r="M432" s="3513"/>
    </row>
    <row r="433" spans="1:13">
      <c r="A433" s="923"/>
      <c r="J433" s="923"/>
      <c r="K433" s="3513"/>
      <c r="L433" s="3513"/>
      <c r="M433" s="3513"/>
    </row>
    <row r="434" spans="1:13">
      <c r="A434" s="923"/>
      <c r="J434" s="923"/>
      <c r="K434" s="3513"/>
      <c r="L434" s="3513"/>
      <c r="M434" s="3513"/>
    </row>
    <row r="435" spans="1:13">
      <c r="A435" s="923"/>
      <c r="J435" s="923"/>
      <c r="K435" s="3513"/>
      <c r="L435" s="3513"/>
      <c r="M435" s="3513"/>
    </row>
    <row r="436" spans="1:13">
      <c r="A436" s="923"/>
      <c r="J436" s="923"/>
      <c r="K436" s="3513"/>
      <c r="L436" s="3513"/>
      <c r="M436" s="3513"/>
    </row>
    <row r="437" spans="1:13">
      <c r="A437" s="923"/>
      <c r="J437" s="923"/>
      <c r="K437" s="3513"/>
      <c r="L437" s="3513"/>
      <c r="M437" s="3513"/>
    </row>
    <row r="438" spans="1:13">
      <c r="A438" s="923"/>
      <c r="J438" s="923"/>
      <c r="K438" s="3513"/>
      <c r="L438" s="3513"/>
      <c r="M438" s="3513"/>
    </row>
    <row r="439" spans="1:13">
      <c r="A439" s="923"/>
      <c r="J439" s="923"/>
      <c r="K439" s="3513"/>
      <c r="L439" s="3513"/>
      <c r="M439" s="3513"/>
    </row>
    <row r="440" spans="1:13">
      <c r="A440" s="923"/>
      <c r="J440" s="923"/>
      <c r="K440" s="3513"/>
      <c r="L440" s="3513"/>
      <c r="M440" s="3513"/>
    </row>
    <row r="441" spans="1:13">
      <c r="A441" s="923"/>
      <c r="J441" s="923"/>
      <c r="K441" s="3513"/>
      <c r="L441" s="3513"/>
      <c r="M441" s="3513"/>
    </row>
    <row r="442" spans="1:13">
      <c r="A442" s="923"/>
      <c r="J442" s="923"/>
      <c r="K442" s="3513"/>
      <c r="L442" s="3513"/>
      <c r="M442" s="3513"/>
    </row>
    <row r="443" spans="1:13">
      <c r="A443" s="923"/>
      <c r="J443" s="923"/>
      <c r="K443" s="3513"/>
      <c r="L443" s="3513"/>
      <c r="M443" s="3513"/>
    </row>
    <row r="444" spans="1:13">
      <c r="A444" s="923"/>
      <c r="J444" s="923"/>
      <c r="K444" s="3513"/>
      <c r="L444" s="3513"/>
      <c r="M444" s="3513"/>
    </row>
    <row r="445" spans="1:13">
      <c r="A445" s="923"/>
      <c r="J445" s="923"/>
      <c r="K445" s="3513"/>
      <c r="L445" s="3513"/>
      <c r="M445" s="3513"/>
    </row>
    <row r="446" spans="1:13">
      <c r="A446" s="923"/>
      <c r="J446" s="923"/>
      <c r="K446" s="3513"/>
      <c r="L446" s="3513"/>
      <c r="M446" s="3513"/>
    </row>
    <row r="447" spans="1:13">
      <c r="A447" s="923"/>
      <c r="J447" s="923"/>
      <c r="K447" s="3513"/>
      <c r="L447" s="3513"/>
      <c r="M447" s="3513"/>
    </row>
    <row r="448" spans="1:13">
      <c r="A448" s="923"/>
      <c r="J448" s="923"/>
      <c r="K448" s="3513"/>
      <c r="L448" s="3513"/>
      <c r="M448" s="3513"/>
    </row>
    <row r="449" spans="1:13">
      <c r="A449" s="923"/>
      <c r="J449" s="923"/>
      <c r="K449" s="3513"/>
      <c r="L449" s="3513"/>
      <c r="M449" s="3513"/>
    </row>
    <row r="450" spans="1:13">
      <c r="A450" s="923"/>
      <c r="J450" s="923"/>
      <c r="K450" s="3513"/>
      <c r="L450" s="3513"/>
      <c r="M450" s="3513"/>
    </row>
    <row r="451" spans="1:13">
      <c r="A451" s="923"/>
      <c r="J451" s="923"/>
      <c r="K451" s="3513"/>
      <c r="L451" s="3513"/>
      <c r="M451" s="3513"/>
    </row>
    <row r="452" spans="1:13">
      <c r="A452" s="923"/>
      <c r="J452" s="923"/>
      <c r="K452" s="3513"/>
      <c r="L452" s="3513"/>
      <c r="M452" s="3513"/>
    </row>
    <row r="453" spans="1:13">
      <c r="A453" s="923"/>
      <c r="J453" s="923"/>
      <c r="K453" s="3513"/>
      <c r="L453" s="3513"/>
      <c r="M453" s="3513"/>
    </row>
    <row r="454" spans="1:13">
      <c r="A454" s="923"/>
      <c r="J454" s="923"/>
      <c r="K454" s="3513"/>
      <c r="L454" s="3513"/>
      <c r="M454" s="3513"/>
    </row>
    <row r="455" spans="1:13">
      <c r="A455" s="923"/>
      <c r="J455" s="923"/>
      <c r="K455" s="3513"/>
      <c r="L455" s="3513"/>
      <c r="M455" s="3513"/>
    </row>
    <row r="456" spans="1:13">
      <c r="A456" s="923"/>
      <c r="J456" s="923"/>
      <c r="K456" s="3513"/>
      <c r="L456" s="3513"/>
      <c r="M456" s="3513"/>
    </row>
    <row r="457" spans="1:13">
      <c r="A457" s="923"/>
      <c r="J457" s="923"/>
      <c r="K457" s="3513"/>
      <c r="L457" s="3513"/>
      <c r="M457" s="3513"/>
    </row>
    <row r="458" spans="1:13">
      <c r="A458" s="923"/>
      <c r="J458" s="923"/>
      <c r="K458" s="3513"/>
      <c r="L458" s="3513"/>
      <c r="M458" s="3513"/>
    </row>
    <row r="459" spans="1:13">
      <c r="A459" s="923"/>
      <c r="J459" s="923"/>
      <c r="K459" s="3513"/>
      <c r="L459" s="3513"/>
      <c r="M459" s="3513"/>
    </row>
    <row r="460" spans="1:13">
      <c r="A460" s="923"/>
      <c r="J460" s="923"/>
      <c r="K460" s="3513"/>
      <c r="L460" s="3513"/>
      <c r="M460" s="3513"/>
    </row>
    <row r="461" spans="1:13">
      <c r="A461" s="923"/>
      <c r="J461" s="923"/>
      <c r="K461" s="3513"/>
      <c r="L461" s="3513"/>
      <c r="M461" s="3513"/>
    </row>
    <row r="462" spans="1:13">
      <c r="A462" s="923"/>
      <c r="J462" s="923"/>
      <c r="K462" s="3513"/>
      <c r="L462" s="3513"/>
      <c r="M462" s="3513"/>
    </row>
    <row r="463" spans="1:13">
      <c r="A463" s="923"/>
      <c r="J463" s="923"/>
      <c r="K463" s="3513"/>
      <c r="L463" s="3513"/>
      <c r="M463" s="3513"/>
    </row>
    <row r="464" spans="1:13">
      <c r="A464" s="923"/>
      <c r="J464" s="923"/>
      <c r="K464" s="3513"/>
      <c r="L464" s="3513"/>
      <c r="M464" s="3513"/>
    </row>
    <row r="465" spans="1:13">
      <c r="A465" s="923"/>
      <c r="J465" s="923"/>
      <c r="K465" s="3513"/>
      <c r="L465" s="3513"/>
      <c r="M465" s="3513"/>
    </row>
    <row r="466" spans="1:13">
      <c r="A466" s="923"/>
      <c r="J466" s="923"/>
      <c r="K466" s="3513"/>
      <c r="L466" s="3513"/>
      <c r="M466" s="3513"/>
    </row>
    <row r="467" spans="1:13">
      <c r="A467" s="923"/>
      <c r="J467" s="923"/>
      <c r="K467" s="3513"/>
      <c r="L467" s="3513"/>
      <c r="M467" s="3513"/>
    </row>
    <row r="468" spans="1:13">
      <c r="A468" s="923"/>
      <c r="J468" s="923"/>
      <c r="K468" s="3513"/>
      <c r="L468" s="3513"/>
      <c r="M468" s="3513"/>
    </row>
    <row r="469" spans="1:13">
      <c r="A469" s="923"/>
      <c r="J469" s="923"/>
      <c r="K469" s="3513"/>
      <c r="L469" s="3513"/>
      <c r="M469" s="3513"/>
    </row>
    <row r="470" spans="1:13">
      <c r="A470" s="923"/>
      <c r="J470" s="923"/>
      <c r="K470" s="3513"/>
      <c r="L470" s="3513"/>
      <c r="M470" s="3513"/>
    </row>
    <row r="471" spans="1:13">
      <c r="A471" s="923"/>
      <c r="J471" s="923"/>
      <c r="K471" s="3513"/>
      <c r="L471" s="3513"/>
      <c r="M471" s="3513"/>
    </row>
    <row r="472" spans="1:13">
      <c r="A472" s="923"/>
      <c r="J472" s="923"/>
      <c r="K472" s="3513"/>
      <c r="L472" s="3513"/>
      <c r="M472" s="3513"/>
    </row>
    <row r="473" spans="1:13">
      <c r="A473" s="923"/>
      <c r="J473" s="923"/>
      <c r="K473" s="3513"/>
      <c r="L473" s="3513"/>
      <c r="M473" s="3513"/>
    </row>
    <row r="474" spans="1:13">
      <c r="A474" s="923"/>
      <c r="J474" s="923"/>
      <c r="K474" s="3513"/>
      <c r="L474" s="3513"/>
      <c r="M474" s="3513"/>
    </row>
    <row r="475" spans="1:13">
      <c r="A475" s="923"/>
      <c r="J475" s="923"/>
      <c r="K475" s="3513"/>
      <c r="L475" s="3513"/>
      <c r="M475" s="3513"/>
    </row>
    <row r="476" spans="1:13">
      <c r="A476" s="923"/>
      <c r="J476" s="923"/>
      <c r="K476" s="3513"/>
      <c r="L476" s="3513"/>
      <c r="M476" s="3513"/>
    </row>
    <row r="477" spans="1:13">
      <c r="A477" s="923"/>
      <c r="J477" s="923"/>
      <c r="K477" s="3513"/>
      <c r="L477" s="3513"/>
      <c r="M477" s="3513"/>
    </row>
    <row r="478" spans="1:13">
      <c r="A478" s="923"/>
      <c r="J478" s="923"/>
      <c r="K478" s="3513"/>
      <c r="L478" s="3513"/>
      <c r="M478" s="3513"/>
    </row>
    <row r="479" spans="1:13">
      <c r="A479" s="923"/>
      <c r="J479" s="923"/>
      <c r="K479" s="3513"/>
      <c r="L479" s="3513"/>
      <c r="M479" s="3513"/>
    </row>
    <row r="480" spans="1:13">
      <c r="A480" s="923"/>
      <c r="J480" s="923"/>
      <c r="K480" s="3513"/>
      <c r="L480" s="3513"/>
      <c r="M480" s="3513"/>
    </row>
    <row r="481" spans="1:13">
      <c r="A481" s="923"/>
      <c r="J481" s="923"/>
      <c r="K481" s="3513"/>
      <c r="L481" s="3513"/>
      <c r="M481" s="3513"/>
    </row>
    <row r="482" spans="1:13">
      <c r="A482" s="923"/>
      <c r="J482" s="923"/>
      <c r="K482" s="3513"/>
      <c r="L482" s="3513"/>
      <c r="M482" s="3513"/>
    </row>
    <row r="483" spans="1:13">
      <c r="A483" s="923"/>
      <c r="J483" s="923"/>
      <c r="K483" s="3513"/>
      <c r="L483" s="3513"/>
      <c r="M483" s="3513"/>
    </row>
    <row r="484" spans="1:13">
      <c r="A484" s="923"/>
      <c r="J484" s="923"/>
      <c r="K484" s="3513"/>
      <c r="L484" s="3513"/>
      <c r="M484" s="3513"/>
    </row>
    <row r="485" spans="1:13">
      <c r="A485" s="923"/>
      <c r="J485" s="923"/>
      <c r="K485" s="3513"/>
      <c r="L485" s="3513"/>
      <c r="M485" s="3513"/>
    </row>
    <row r="486" spans="1:13">
      <c r="A486" s="923"/>
      <c r="J486" s="923"/>
      <c r="K486" s="3513"/>
      <c r="L486" s="3513"/>
      <c r="M486" s="3513"/>
    </row>
    <row r="487" spans="1:13">
      <c r="A487" s="923"/>
      <c r="J487" s="923"/>
      <c r="K487" s="3513"/>
      <c r="L487" s="3513"/>
      <c r="M487" s="3513"/>
    </row>
    <row r="488" spans="1:13">
      <c r="A488" s="923"/>
      <c r="J488" s="923"/>
      <c r="K488" s="3513"/>
      <c r="L488" s="3513"/>
      <c r="M488" s="3513"/>
    </row>
    <row r="489" spans="1:13">
      <c r="A489" s="923"/>
      <c r="J489" s="923"/>
      <c r="K489" s="3513"/>
      <c r="L489" s="3513"/>
      <c r="M489" s="3513"/>
    </row>
    <row r="490" spans="1:13">
      <c r="A490" s="923"/>
      <c r="J490" s="923"/>
      <c r="K490" s="3513"/>
      <c r="L490" s="3513"/>
      <c r="M490" s="3513"/>
    </row>
    <row r="491" spans="1:13">
      <c r="A491" s="923"/>
      <c r="J491" s="923"/>
      <c r="K491" s="3513"/>
      <c r="L491" s="3513"/>
      <c r="M491" s="3513"/>
    </row>
    <row r="492" spans="1:13">
      <c r="A492" s="923"/>
      <c r="J492" s="923"/>
      <c r="K492" s="3513"/>
      <c r="L492" s="3513"/>
      <c r="M492" s="3513"/>
    </row>
    <row r="493" spans="1:13">
      <c r="A493" s="923"/>
      <c r="J493" s="923"/>
      <c r="K493" s="3513"/>
      <c r="L493" s="3513"/>
      <c r="M493" s="3513"/>
    </row>
    <row r="494" spans="1:13">
      <c r="A494" s="923"/>
      <c r="J494" s="923"/>
      <c r="K494" s="3513"/>
      <c r="L494" s="3513"/>
      <c r="M494" s="3513"/>
    </row>
    <row r="495" spans="1:13">
      <c r="A495" s="923"/>
      <c r="J495" s="923"/>
      <c r="K495" s="3513"/>
      <c r="L495" s="3513"/>
      <c r="M495" s="3513"/>
    </row>
    <row r="496" spans="1:13">
      <c r="A496" s="923"/>
      <c r="J496" s="923"/>
      <c r="K496" s="3513"/>
      <c r="L496" s="3513"/>
      <c r="M496" s="3513"/>
    </row>
    <row r="497" spans="1:13">
      <c r="A497" s="923"/>
      <c r="J497" s="923"/>
      <c r="K497" s="3513"/>
      <c r="L497" s="3513"/>
      <c r="M497" s="3513"/>
    </row>
    <row r="498" spans="1:13">
      <c r="A498" s="923"/>
      <c r="J498" s="923"/>
      <c r="K498" s="3513"/>
      <c r="L498" s="3513"/>
      <c r="M498" s="3513"/>
    </row>
    <row r="499" spans="1:13">
      <c r="A499" s="923"/>
      <c r="J499" s="923"/>
      <c r="K499" s="3513"/>
      <c r="L499" s="3513"/>
      <c r="M499" s="3513"/>
    </row>
    <row r="500" spans="1:13">
      <c r="A500" s="923"/>
      <c r="J500" s="923"/>
      <c r="K500" s="3513"/>
      <c r="L500" s="3513"/>
      <c r="M500" s="3513"/>
    </row>
    <row r="501" spans="1:13">
      <c r="A501" s="923"/>
      <c r="J501" s="923"/>
      <c r="K501" s="3513"/>
      <c r="L501" s="3513"/>
      <c r="M501" s="3513"/>
    </row>
    <row r="502" spans="1:13">
      <c r="A502" s="923"/>
      <c r="J502" s="923"/>
      <c r="K502" s="3513"/>
      <c r="L502" s="3513"/>
      <c r="M502" s="3513"/>
    </row>
    <row r="503" spans="1:13">
      <c r="A503" s="923"/>
      <c r="J503" s="923"/>
      <c r="K503" s="3513"/>
      <c r="L503" s="3513"/>
      <c r="M503" s="3513"/>
    </row>
    <row r="504" spans="1:13">
      <c r="A504" s="923"/>
      <c r="J504" s="923"/>
      <c r="K504" s="3513"/>
      <c r="L504" s="3513"/>
      <c r="M504" s="3513"/>
    </row>
    <row r="505" spans="1:13">
      <c r="A505" s="923"/>
      <c r="J505" s="923"/>
      <c r="K505" s="3513"/>
      <c r="L505" s="3513"/>
      <c r="M505" s="3513"/>
    </row>
    <row r="506" spans="1:13">
      <c r="A506" s="923"/>
      <c r="J506" s="923"/>
      <c r="K506" s="3513"/>
      <c r="L506" s="3513"/>
      <c r="M506" s="3513"/>
    </row>
    <row r="507" spans="1:13">
      <c r="A507" s="923"/>
      <c r="J507" s="923"/>
      <c r="K507" s="3513"/>
      <c r="L507" s="3513"/>
      <c r="M507" s="3513"/>
    </row>
    <row r="508" spans="1:13">
      <c r="A508" s="923"/>
      <c r="J508" s="923"/>
      <c r="K508" s="3513"/>
      <c r="L508" s="3513"/>
      <c r="M508" s="3513"/>
    </row>
    <row r="509" spans="1:13">
      <c r="A509" s="923"/>
      <c r="J509" s="923"/>
      <c r="K509" s="3513"/>
      <c r="L509" s="3513"/>
      <c r="M509" s="3513"/>
    </row>
    <row r="510" spans="1:13">
      <c r="A510" s="923"/>
      <c r="J510" s="923"/>
      <c r="K510" s="3513"/>
      <c r="L510" s="3513"/>
      <c r="M510" s="3513"/>
    </row>
    <row r="511" spans="1:13">
      <c r="A511" s="923"/>
      <c r="J511" s="923"/>
      <c r="K511" s="3513"/>
      <c r="L511" s="3513"/>
      <c r="M511" s="3513"/>
    </row>
    <row r="512" spans="1:13">
      <c r="A512" s="923"/>
      <c r="J512" s="923"/>
      <c r="K512" s="3513"/>
      <c r="L512" s="3513"/>
      <c r="M512" s="3513"/>
    </row>
    <row r="513" spans="1:15">
      <c r="A513" s="923"/>
      <c r="J513" s="923"/>
      <c r="K513" s="3513"/>
      <c r="L513" s="3513"/>
      <c r="M513" s="3513"/>
    </row>
    <row r="514" spans="1:15">
      <c r="A514" s="923"/>
      <c r="J514" s="923"/>
      <c r="K514" s="3513"/>
      <c r="L514" s="3513"/>
      <c r="M514" s="3513"/>
    </row>
    <row r="515" spans="1:15">
      <c r="A515" s="923"/>
      <c r="J515" s="923"/>
      <c r="K515" s="3513"/>
      <c r="L515" s="3513"/>
      <c r="M515" s="3513"/>
    </row>
    <row r="516" spans="1:15" ht="13.5" thickBot="1">
      <c r="A516" s="923"/>
      <c r="J516" s="923"/>
      <c r="K516" s="3513"/>
      <c r="L516" s="3513"/>
      <c r="M516" s="3513"/>
      <c r="O516" s="1145"/>
    </row>
    <row r="517" spans="1:15" ht="13.5" thickBot="1">
      <c r="A517" s="923"/>
      <c r="J517" s="923"/>
      <c r="K517" s="3513"/>
      <c r="L517" s="3513"/>
      <c r="M517" s="3513"/>
      <c r="O517" s="2762"/>
    </row>
    <row r="518" spans="1:15" ht="13.5" thickBot="1">
      <c r="A518" s="923"/>
      <c r="J518" s="923"/>
      <c r="K518" s="3513"/>
      <c r="L518" s="3513"/>
      <c r="M518" s="3513"/>
      <c r="O518" s="2762"/>
    </row>
    <row r="519" spans="1:15" ht="13.5" thickBot="1">
      <c r="A519" s="923"/>
      <c r="J519" s="923"/>
      <c r="K519" s="3513"/>
      <c r="L519" s="3513"/>
      <c r="M519" s="3513"/>
      <c r="O519" s="2762"/>
    </row>
    <row r="520" spans="1:15" ht="13.5" thickBot="1">
      <c r="A520" s="923"/>
      <c r="J520" s="923"/>
      <c r="K520" s="3513"/>
      <c r="L520" s="3513"/>
      <c r="M520" s="3513"/>
      <c r="N520" s="1145"/>
      <c r="O520" s="2762"/>
    </row>
    <row r="521" spans="1:15" ht="13.5" thickBot="1">
      <c r="A521" s="923"/>
      <c r="J521" s="923"/>
      <c r="K521" s="3513"/>
      <c r="L521" s="3513"/>
      <c r="M521" s="3513"/>
      <c r="N521" s="2762"/>
      <c r="O521" s="2762"/>
    </row>
    <row r="522" spans="1:15" ht="13.5" thickBot="1">
      <c r="A522" s="923"/>
      <c r="J522" s="923"/>
      <c r="K522" s="3513"/>
      <c r="L522" s="3513"/>
      <c r="M522" s="3513"/>
      <c r="N522" s="2762"/>
      <c r="O522" s="2762"/>
    </row>
    <row r="523" spans="1:15" ht="13.5" thickBot="1">
      <c r="A523" s="923"/>
      <c r="J523" s="923"/>
      <c r="K523" s="3513"/>
      <c r="L523" s="3513"/>
      <c r="M523" s="3513"/>
      <c r="N523" s="2762"/>
      <c r="O523" s="2762"/>
    </row>
    <row r="524" spans="1:15" ht="13.5" thickBot="1">
      <c r="A524" s="923"/>
      <c r="J524" s="923"/>
      <c r="K524" s="3513"/>
      <c r="L524" s="3513"/>
      <c r="M524" s="3513"/>
      <c r="N524" s="2762"/>
      <c r="O524" s="2762"/>
    </row>
    <row r="525" spans="1:15" ht="13.5" thickBot="1">
      <c r="A525" s="1145"/>
      <c r="B525" s="1145"/>
      <c r="C525" s="1145"/>
      <c r="D525" s="1145"/>
      <c r="E525" s="1145"/>
      <c r="F525" s="1145"/>
      <c r="G525" s="1145"/>
      <c r="H525" s="1145"/>
      <c r="I525" s="1145"/>
      <c r="J525" s="1145"/>
      <c r="K525" s="3434"/>
      <c r="L525" s="3434"/>
      <c r="M525" s="3513"/>
      <c r="N525" s="2762"/>
      <c r="O525" s="2762"/>
    </row>
    <row r="526" spans="1:15" ht="13.5" thickBot="1">
      <c r="A526" s="2762"/>
      <c r="B526" s="1144"/>
      <c r="C526" s="1144"/>
      <c r="D526" s="1144"/>
      <c r="E526" s="1144"/>
      <c r="F526" s="1144"/>
      <c r="G526" s="1144"/>
      <c r="H526" s="1144"/>
      <c r="I526" s="1144"/>
      <c r="J526" s="1144"/>
      <c r="K526" s="3523"/>
      <c r="L526" s="3523"/>
      <c r="M526" s="3513"/>
      <c r="N526" s="1144"/>
      <c r="O526" s="2762"/>
    </row>
    <row r="527" spans="1:15" ht="13.5" thickBot="1">
      <c r="A527" s="2762"/>
      <c r="J527" s="923"/>
      <c r="K527" s="3513"/>
      <c r="L527" s="3513"/>
      <c r="M527" s="3513"/>
      <c r="O527" s="2762"/>
    </row>
    <row r="528" spans="1:15" ht="13.5" thickBot="1">
      <c r="A528" s="2762"/>
      <c r="J528" s="923"/>
      <c r="K528" s="3513"/>
      <c r="L528" s="3513"/>
      <c r="M528" s="3513"/>
      <c r="O528" s="2762"/>
    </row>
    <row r="529" spans="1:15" ht="13.5" thickBot="1">
      <c r="A529" s="2762"/>
      <c r="J529" s="923"/>
      <c r="K529" s="3513"/>
      <c r="L529" s="3513"/>
      <c r="M529" s="3513"/>
      <c r="O529" s="2762"/>
    </row>
    <row r="530" spans="1:15" ht="13.5" thickBot="1">
      <c r="A530" s="2762"/>
      <c r="J530" s="923"/>
      <c r="K530" s="3513"/>
      <c r="L530" s="3513"/>
      <c r="M530" s="3513"/>
      <c r="O530" s="2762"/>
    </row>
    <row r="531" spans="1:15" ht="13.5" thickBot="1">
      <c r="A531" s="2762"/>
      <c r="J531" s="923"/>
      <c r="K531" s="3513"/>
      <c r="L531" s="3513"/>
      <c r="M531" s="3513"/>
      <c r="O531" s="2762"/>
    </row>
    <row r="532" spans="1:15" ht="13.5" thickBot="1">
      <c r="A532" s="2762"/>
      <c r="J532" s="923"/>
      <c r="K532" s="3513"/>
      <c r="L532" s="3513"/>
      <c r="M532" s="3513"/>
      <c r="O532" s="2762"/>
    </row>
    <row r="533" spans="1:15">
      <c r="A533" s="1144"/>
      <c r="J533" s="923"/>
      <c r="K533" s="3513"/>
      <c r="L533" s="3513"/>
      <c r="M533" s="3513"/>
      <c r="O533" s="1144"/>
    </row>
    <row r="534" spans="1:15">
      <c r="A534" s="923"/>
      <c r="J534" s="923"/>
    </row>
    <row r="535" spans="1:15">
      <c r="A535" s="923"/>
      <c r="J535" s="923"/>
    </row>
    <row r="536" spans="1:15">
      <c r="A536" s="923"/>
      <c r="J536" s="923"/>
    </row>
    <row r="537" spans="1:15">
      <c r="A537" s="923"/>
      <c r="J537" s="923"/>
    </row>
    <row r="538" spans="1:15">
      <c r="A538" s="923"/>
      <c r="J538" s="923"/>
    </row>
    <row r="539" spans="1:15">
      <c r="A539" s="923"/>
      <c r="J539" s="923"/>
    </row>
    <row r="540" spans="1:15">
      <c r="A540" s="923"/>
      <c r="J540" s="923"/>
    </row>
    <row r="541" spans="1:15">
      <c r="A541" s="923"/>
      <c r="J541" s="923"/>
    </row>
    <row r="542" spans="1:15">
      <c r="A542" s="923"/>
      <c r="J542" s="923"/>
    </row>
    <row r="543" spans="1:15">
      <c r="A543" s="923"/>
      <c r="J543" s="923"/>
    </row>
    <row r="544" spans="1:15">
      <c r="A544" s="923"/>
      <c r="J544" s="923"/>
    </row>
    <row r="545" spans="1:10">
      <c r="A545" s="923"/>
      <c r="J545" s="923"/>
    </row>
    <row r="546" spans="1:10">
      <c r="A546" s="923"/>
      <c r="J546" s="923"/>
    </row>
    <row r="547" spans="1:10">
      <c r="A547" s="923"/>
      <c r="J547" s="923"/>
    </row>
    <row r="548" spans="1:10">
      <c r="A548" s="923"/>
      <c r="J548" s="923"/>
    </row>
    <row r="549" spans="1:10">
      <c r="A549" s="923"/>
      <c r="J549" s="923"/>
    </row>
    <row r="550" spans="1:10">
      <c r="A550" s="923"/>
      <c r="J550" s="923"/>
    </row>
    <row r="551" spans="1:10">
      <c r="A551" s="923"/>
      <c r="J551" s="923"/>
    </row>
    <row r="552" spans="1:10">
      <c r="A552" s="923"/>
      <c r="J552" s="923"/>
    </row>
    <row r="553" spans="1:10">
      <c r="A553" s="923"/>
      <c r="J553" s="923"/>
    </row>
    <row r="554" spans="1:10">
      <c r="A554" s="923"/>
      <c r="J554" s="923"/>
    </row>
    <row r="555" spans="1:10">
      <c r="A555" s="923"/>
      <c r="J555" s="923"/>
    </row>
    <row r="556" spans="1:10">
      <c r="A556" s="923"/>
      <c r="J556" s="923"/>
    </row>
    <row r="557" spans="1:10">
      <c r="A557" s="923"/>
      <c r="J557" s="923"/>
    </row>
    <row r="558" spans="1:10">
      <c r="A558" s="923"/>
      <c r="J558" s="923"/>
    </row>
    <row r="559" spans="1:10">
      <c r="A559" s="923"/>
      <c r="J559" s="923"/>
    </row>
    <row r="560" spans="1:10">
      <c r="A560" s="923"/>
      <c r="J560" s="923"/>
    </row>
    <row r="561" spans="1:10">
      <c r="A561" s="923"/>
      <c r="J561" s="923"/>
    </row>
    <row r="562" spans="1:10">
      <c r="A562" s="923"/>
      <c r="J562" s="923"/>
    </row>
    <row r="563" spans="1:10">
      <c r="A563" s="923"/>
      <c r="J563" s="923"/>
    </row>
    <row r="564" spans="1:10">
      <c r="A564" s="923"/>
      <c r="J564" s="923"/>
    </row>
    <row r="565" spans="1:10">
      <c r="A565" s="923"/>
      <c r="J565" s="923"/>
    </row>
    <row r="566" spans="1:10">
      <c r="A566" s="923"/>
      <c r="J566" s="923"/>
    </row>
    <row r="567" spans="1:10">
      <c r="A567" s="923"/>
      <c r="J567" s="923"/>
    </row>
    <row r="568" spans="1:10">
      <c r="A568" s="923"/>
      <c r="J568" s="923"/>
    </row>
    <row r="569" spans="1:10">
      <c r="A569" s="923"/>
      <c r="J569" s="923"/>
    </row>
    <row r="570" spans="1:10">
      <c r="A570" s="923"/>
      <c r="J570" s="923"/>
    </row>
    <row r="571" spans="1:10">
      <c r="A571" s="923"/>
      <c r="J571" s="923"/>
    </row>
    <row r="572" spans="1:10">
      <c r="A572" s="923"/>
      <c r="J572" s="923"/>
    </row>
    <row r="573" spans="1:10">
      <c r="A573" s="923"/>
      <c r="J573" s="923"/>
    </row>
    <row r="574" spans="1:10">
      <c r="A574" s="923"/>
      <c r="J574" s="923"/>
    </row>
    <row r="575" spans="1:10">
      <c r="A575" s="923"/>
      <c r="J575" s="923"/>
    </row>
    <row r="576" spans="1:10">
      <c r="A576" s="923"/>
      <c r="J576" s="923"/>
    </row>
    <row r="577" spans="1:10">
      <c r="A577" s="923"/>
      <c r="J577" s="923"/>
    </row>
    <row r="578" spans="1:10">
      <c r="A578" s="923"/>
      <c r="J578" s="923"/>
    </row>
    <row r="579" spans="1:10">
      <c r="A579" s="923"/>
      <c r="J579" s="923"/>
    </row>
    <row r="580" spans="1:10">
      <c r="A580" s="923"/>
      <c r="J580" s="923"/>
    </row>
    <row r="581" spans="1:10">
      <c r="A581" s="923"/>
      <c r="J581" s="923"/>
    </row>
    <row r="582" spans="1:10">
      <c r="A582" s="923"/>
      <c r="J582" s="923"/>
    </row>
    <row r="583" spans="1:10">
      <c r="A583" s="923"/>
      <c r="J583" s="923"/>
    </row>
    <row r="584" spans="1:10">
      <c r="A584" s="923"/>
      <c r="J584" s="923"/>
    </row>
    <row r="585" spans="1:10">
      <c r="A585" s="923"/>
      <c r="J585" s="923"/>
    </row>
    <row r="586" spans="1:10">
      <c r="A586" s="923"/>
      <c r="J586" s="923"/>
    </row>
    <row r="587" spans="1:10">
      <c r="A587" s="923"/>
      <c r="J587" s="923"/>
    </row>
    <row r="588" spans="1:10">
      <c r="A588" s="923"/>
      <c r="J588" s="923"/>
    </row>
    <row r="589" spans="1:10">
      <c r="A589" s="923"/>
      <c r="J589" s="923"/>
    </row>
    <row r="590" spans="1:10">
      <c r="A590" s="923"/>
      <c r="J590" s="923"/>
    </row>
    <row r="591" spans="1:10">
      <c r="A591" s="923"/>
      <c r="J591" s="923"/>
    </row>
    <row r="592" spans="1:10">
      <c r="A592" s="923"/>
      <c r="J592" s="923"/>
    </row>
    <row r="593" spans="1:10">
      <c r="A593" s="923"/>
      <c r="J593" s="923"/>
    </row>
    <row r="594" spans="1:10">
      <c r="A594" s="923"/>
      <c r="J594" s="923"/>
    </row>
    <row r="595" spans="1:10">
      <c r="A595" s="923"/>
      <c r="J595" s="923"/>
    </row>
    <row r="596" spans="1:10">
      <c r="A596" s="923"/>
      <c r="J596" s="923"/>
    </row>
    <row r="597" spans="1:10">
      <c r="A597" s="923"/>
      <c r="J597" s="923"/>
    </row>
    <row r="598" spans="1:10">
      <c r="A598" s="923"/>
      <c r="J598" s="923"/>
    </row>
    <row r="599" spans="1:10">
      <c r="A599" s="923"/>
      <c r="J599" s="923"/>
    </row>
    <row r="600" spans="1:10">
      <c r="A600" s="923"/>
      <c r="J600" s="923"/>
    </row>
    <row r="601" spans="1:10">
      <c r="A601" s="923"/>
      <c r="J601" s="923"/>
    </row>
    <row r="602" spans="1:10">
      <c r="A602" s="923"/>
      <c r="J602" s="923"/>
    </row>
    <row r="603" spans="1:10">
      <c r="A603" s="923"/>
      <c r="J603" s="923"/>
    </row>
    <row r="604" spans="1:10">
      <c r="A604" s="923"/>
      <c r="J604" s="923"/>
    </row>
    <row r="605" spans="1:10">
      <c r="A605" s="923"/>
      <c r="J605" s="923"/>
    </row>
    <row r="606" spans="1:10">
      <c r="A606" s="923"/>
      <c r="J606" s="923"/>
    </row>
    <row r="607" spans="1:10">
      <c r="A607" s="923"/>
      <c r="J607" s="923"/>
    </row>
    <row r="608" spans="1:10">
      <c r="A608" s="923"/>
      <c r="J608" s="923"/>
    </row>
    <row r="609" spans="1:10">
      <c r="A609" s="923"/>
      <c r="J609" s="923"/>
    </row>
    <row r="610" spans="1:10">
      <c r="A610" s="923"/>
      <c r="J610" s="923"/>
    </row>
    <row r="611" spans="1:10">
      <c r="A611" s="923"/>
      <c r="J611" s="923"/>
    </row>
    <row r="612" spans="1:10">
      <c r="A612" s="923"/>
      <c r="J612" s="923"/>
    </row>
    <row r="613" spans="1:10">
      <c r="A613" s="923"/>
      <c r="J613" s="923"/>
    </row>
    <row r="614" spans="1:10">
      <c r="A614" s="923"/>
      <c r="J614" s="923"/>
    </row>
    <row r="615" spans="1:10">
      <c r="A615" s="923"/>
      <c r="J615" s="923"/>
    </row>
    <row r="616" spans="1:10">
      <c r="A616" s="923"/>
      <c r="J616" s="923"/>
    </row>
    <row r="617" spans="1:10">
      <c r="A617" s="923"/>
      <c r="J617" s="923"/>
    </row>
    <row r="618" spans="1:10">
      <c r="A618" s="923"/>
      <c r="J618" s="923"/>
    </row>
    <row r="619" spans="1:10">
      <c r="A619" s="923"/>
      <c r="J619" s="923"/>
    </row>
    <row r="620" spans="1:10">
      <c r="A620" s="923"/>
      <c r="J620" s="923"/>
    </row>
    <row r="621" spans="1:10">
      <c r="A621" s="923"/>
      <c r="J621" s="923"/>
    </row>
    <row r="622" spans="1:10">
      <c r="A622" s="923"/>
      <c r="J622" s="923"/>
    </row>
    <row r="623" spans="1:10">
      <c r="A623" s="923"/>
      <c r="J623" s="923"/>
    </row>
    <row r="624" spans="1:10">
      <c r="A624" s="923"/>
      <c r="J624" s="923"/>
    </row>
    <row r="625" spans="1:10">
      <c r="A625" s="923"/>
      <c r="J625" s="923"/>
    </row>
    <row r="626" spans="1:10">
      <c r="A626" s="923"/>
      <c r="J626" s="923"/>
    </row>
    <row r="627" spans="1:10">
      <c r="A627" s="923"/>
      <c r="J627" s="923"/>
    </row>
    <row r="628" spans="1:10">
      <c r="A628" s="923"/>
      <c r="J628" s="923"/>
    </row>
    <row r="629" spans="1:10">
      <c r="A629" s="923"/>
      <c r="J629" s="923"/>
    </row>
    <row r="630" spans="1:10">
      <c r="A630" s="923"/>
      <c r="J630" s="923"/>
    </row>
    <row r="631" spans="1:10">
      <c r="A631" s="923"/>
      <c r="J631" s="923"/>
    </row>
    <row r="632" spans="1:10">
      <c r="A632" s="923"/>
      <c r="J632" s="923"/>
    </row>
    <row r="633" spans="1:10">
      <c r="A633" s="923"/>
      <c r="J633" s="923"/>
    </row>
    <row r="634" spans="1:10">
      <c r="A634" s="923"/>
      <c r="J634" s="923"/>
    </row>
    <row r="635" spans="1:10">
      <c r="A635" s="923"/>
      <c r="J635" s="923"/>
    </row>
    <row r="636" spans="1:10">
      <c r="A636" s="923"/>
      <c r="J636" s="923"/>
    </row>
    <row r="637" spans="1:10">
      <c r="A637" s="923"/>
      <c r="J637" s="923"/>
    </row>
    <row r="638" spans="1:10">
      <c r="A638" s="923"/>
      <c r="J638" s="923"/>
    </row>
    <row r="639" spans="1:10">
      <c r="A639" s="923"/>
      <c r="J639" s="923"/>
    </row>
    <row r="640" spans="1:10">
      <c r="A640" s="923"/>
      <c r="J640" s="923"/>
    </row>
    <row r="641" spans="1:10">
      <c r="A641" s="923"/>
      <c r="J641" s="923"/>
    </row>
    <row r="642" spans="1:10">
      <c r="A642" s="923"/>
      <c r="J642" s="923"/>
    </row>
    <row r="643" spans="1:10">
      <c r="A643" s="923"/>
      <c r="J643" s="923"/>
    </row>
    <row r="644" spans="1:10">
      <c r="A644" s="923"/>
      <c r="J644" s="923"/>
    </row>
    <row r="645" spans="1:10">
      <c r="A645" s="923"/>
      <c r="J645" s="923"/>
    </row>
    <row r="646" spans="1:10">
      <c r="A646" s="923"/>
      <c r="J646" s="923"/>
    </row>
    <row r="647" spans="1:10">
      <c r="A647" s="923"/>
      <c r="J647" s="923"/>
    </row>
    <row r="648" spans="1:10">
      <c r="A648" s="923"/>
      <c r="J648" s="923"/>
    </row>
    <row r="649" spans="1:10">
      <c r="A649" s="923"/>
      <c r="J649" s="923"/>
    </row>
    <row r="650" spans="1:10">
      <c r="A650" s="923"/>
      <c r="J650" s="923"/>
    </row>
    <row r="651" spans="1:10">
      <c r="A651" s="923"/>
      <c r="J651" s="923"/>
    </row>
    <row r="652" spans="1:10">
      <c r="A652" s="923"/>
      <c r="J652" s="923"/>
    </row>
    <row r="653" spans="1:10">
      <c r="A653" s="923"/>
      <c r="J653" s="923"/>
    </row>
    <row r="654" spans="1:10">
      <c r="A654" s="923"/>
      <c r="J654" s="923"/>
    </row>
    <row r="655" spans="1:10">
      <c r="A655" s="923"/>
      <c r="J655" s="923"/>
    </row>
    <row r="656" spans="1:10">
      <c r="A656" s="923"/>
      <c r="J656" s="923"/>
    </row>
    <row r="657" spans="1:10">
      <c r="A657" s="923"/>
      <c r="J657" s="923"/>
    </row>
    <row r="658" spans="1:10">
      <c r="A658" s="923"/>
      <c r="J658" s="923"/>
    </row>
    <row r="659" spans="1:10">
      <c r="A659" s="923"/>
      <c r="J659" s="923"/>
    </row>
    <row r="660" spans="1:10">
      <c r="A660" s="923"/>
      <c r="J660" s="923"/>
    </row>
    <row r="661" spans="1:10">
      <c r="A661" s="923"/>
      <c r="J661" s="923"/>
    </row>
    <row r="662" spans="1:10">
      <c r="A662" s="923"/>
      <c r="J662" s="923"/>
    </row>
    <row r="663" spans="1:10">
      <c r="A663" s="923"/>
      <c r="J663" s="923"/>
    </row>
    <row r="664" spans="1:10">
      <c r="A664" s="923"/>
      <c r="J664" s="923"/>
    </row>
    <row r="665" spans="1:10">
      <c r="A665" s="923"/>
      <c r="J665" s="923"/>
    </row>
    <row r="666" spans="1:10">
      <c r="A666" s="923"/>
      <c r="J666" s="923"/>
    </row>
    <row r="667" spans="1:10">
      <c r="A667" s="923"/>
      <c r="J667" s="923"/>
    </row>
    <row r="668" spans="1:10">
      <c r="A668" s="923"/>
      <c r="J668" s="923"/>
    </row>
    <row r="669" spans="1:10">
      <c r="A669" s="923"/>
      <c r="J669" s="923"/>
    </row>
    <row r="670" spans="1:10">
      <c r="A670" s="923"/>
      <c r="J670" s="923"/>
    </row>
    <row r="671" spans="1:10">
      <c r="A671" s="923"/>
      <c r="J671" s="923"/>
    </row>
    <row r="672" spans="1:10">
      <c r="A672" s="923"/>
      <c r="J672" s="923"/>
    </row>
    <row r="673" spans="1:10">
      <c r="A673" s="923"/>
      <c r="J673" s="923"/>
    </row>
    <row r="674" spans="1:10">
      <c r="A674" s="923"/>
      <c r="J674" s="923"/>
    </row>
    <row r="675" spans="1:10">
      <c r="A675" s="923"/>
      <c r="J675" s="923"/>
    </row>
    <row r="676" spans="1:10">
      <c r="A676" s="923"/>
      <c r="J676" s="923"/>
    </row>
    <row r="677" spans="1:10">
      <c r="A677" s="923"/>
      <c r="J677" s="923"/>
    </row>
    <row r="678" spans="1:10">
      <c r="A678" s="923"/>
      <c r="J678" s="923"/>
    </row>
    <row r="679" spans="1:10">
      <c r="A679" s="923"/>
      <c r="J679" s="923"/>
    </row>
    <row r="680" spans="1:10">
      <c r="A680" s="923"/>
      <c r="J680" s="923"/>
    </row>
    <row r="681" spans="1:10">
      <c r="A681" s="923"/>
      <c r="J681" s="923"/>
    </row>
    <row r="682" spans="1:10">
      <c r="A682" s="923"/>
      <c r="J682" s="923"/>
    </row>
    <row r="683" spans="1:10">
      <c r="A683" s="923"/>
      <c r="J683" s="923"/>
    </row>
    <row r="684" spans="1:10">
      <c r="A684" s="923"/>
      <c r="J684" s="923"/>
    </row>
    <row r="685" spans="1:10">
      <c r="A685" s="923"/>
      <c r="J685" s="923"/>
    </row>
    <row r="686" spans="1:10">
      <c r="A686" s="923"/>
      <c r="J686" s="923"/>
    </row>
    <row r="687" spans="1:10">
      <c r="A687" s="923"/>
      <c r="J687" s="923"/>
    </row>
    <row r="688" spans="1:10">
      <c r="A688" s="923"/>
      <c r="J688" s="923"/>
    </row>
    <row r="689" spans="1:10">
      <c r="A689" s="923"/>
      <c r="J689" s="923"/>
    </row>
    <row r="690" spans="1:10">
      <c r="A690" s="923"/>
      <c r="J690" s="923"/>
    </row>
    <row r="691" spans="1:10">
      <c r="A691" s="923"/>
      <c r="J691" s="923"/>
    </row>
    <row r="692" spans="1:10">
      <c r="A692" s="923"/>
      <c r="J692" s="923"/>
    </row>
    <row r="693" spans="1:10">
      <c r="A693" s="923"/>
      <c r="J693" s="923"/>
    </row>
    <row r="694" spans="1:10">
      <c r="A694" s="923"/>
      <c r="J694" s="923"/>
    </row>
    <row r="695" spans="1:10">
      <c r="A695" s="923"/>
      <c r="J695" s="923"/>
    </row>
    <row r="696" spans="1:10">
      <c r="A696" s="923"/>
      <c r="J696" s="923"/>
    </row>
    <row r="697" spans="1:10">
      <c r="A697" s="923"/>
      <c r="J697" s="923"/>
    </row>
    <row r="698" spans="1:10">
      <c r="A698" s="923"/>
      <c r="J698" s="923"/>
    </row>
    <row r="699" spans="1:10">
      <c r="A699" s="923"/>
      <c r="J699" s="923"/>
    </row>
    <row r="700" spans="1:10">
      <c r="A700" s="923"/>
      <c r="J700" s="923"/>
    </row>
    <row r="701" spans="1:10">
      <c r="A701" s="923"/>
      <c r="J701" s="923"/>
    </row>
    <row r="702" spans="1:10">
      <c r="A702" s="923"/>
      <c r="J702" s="923"/>
    </row>
    <row r="703" spans="1:10">
      <c r="A703" s="923"/>
      <c r="J703" s="923"/>
    </row>
    <row r="704" spans="1:10">
      <c r="A704" s="923"/>
      <c r="J704" s="923"/>
    </row>
    <row r="705" spans="1:10">
      <c r="A705" s="923"/>
      <c r="J705" s="923"/>
    </row>
    <row r="706" spans="1:10">
      <c r="A706" s="923"/>
      <c r="J706" s="923"/>
    </row>
    <row r="707" spans="1:10">
      <c r="A707" s="923"/>
      <c r="J707" s="923"/>
    </row>
    <row r="708" spans="1:10">
      <c r="A708" s="923"/>
      <c r="J708" s="923"/>
    </row>
    <row r="709" spans="1:10">
      <c r="A709" s="923"/>
      <c r="J709" s="923"/>
    </row>
    <row r="710" spans="1:10">
      <c r="A710" s="923"/>
      <c r="J710" s="923"/>
    </row>
    <row r="711" spans="1:10">
      <c r="A711" s="923"/>
      <c r="J711" s="923"/>
    </row>
    <row r="712" spans="1:10">
      <c r="A712" s="923"/>
      <c r="J712" s="923"/>
    </row>
    <row r="713" spans="1:10">
      <c r="A713" s="923"/>
      <c r="J713" s="923"/>
    </row>
    <row r="714" spans="1:10">
      <c r="A714" s="923"/>
      <c r="J714" s="923"/>
    </row>
    <row r="715" spans="1:10">
      <c r="A715" s="923"/>
      <c r="J715" s="923"/>
    </row>
    <row r="716" spans="1:10">
      <c r="A716" s="923"/>
      <c r="J716" s="923"/>
    </row>
    <row r="717" spans="1:10">
      <c r="A717" s="923"/>
      <c r="J717" s="923"/>
    </row>
    <row r="718" spans="1:10">
      <c r="A718" s="923"/>
      <c r="J718" s="923"/>
    </row>
    <row r="719" spans="1:10">
      <c r="A719" s="923"/>
      <c r="J719" s="923"/>
    </row>
    <row r="720" spans="1:10">
      <c r="A720" s="923"/>
      <c r="J720" s="923"/>
    </row>
    <row r="721" spans="1:10">
      <c r="A721" s="923"/>
      <c r="J721" s="923"/>
    </row>
    <row r="722" spans="1:10">
      <c r="A722" s="923"/>
      <c r="J722" s="923"/>
    </row>
    <row r="723" spans="1:10">
      <c r="A723" s="923"/>
      <c r="J723" s="923"/>
    </row>
    <row r="724" spans="1:10">
      <c r="A724" s="923"/>
      <c r="J724" s="923"/>
    </row>
    <row r="725" spans="1:10">
      <c r="A725" s="923"/>
      <c r="J725" s="923"/>
    </row>
    <row r="726" spans="1:10">
      <c r="A726" s="923"/>
      <c r="J726" s="923"/>
    </row>
    <row r="727" spans="1:10">
      <c r="A727" s="923"/>
      <c r="J727" s="923"/>
    </row>
    <row r="728" spans="1:10">
      <c r="A728" s="923"/>
      <c r="J728" s="923"/>
    </row>
    <row r="729" spans="1:10">
      <c r="A729" s="923"/>
      <c r="J729" s="923"/>
    </row>
    <row r="730" spans="1:10">
      <c r="A730" s="923"/>
      <c r="J730" s="923"/>
    </row>
    <row r="731" spans="1:10">
      <c r="A731" s="923"/>
      <c r="J731" s="923"/>
    </row>
    <row r="732" spans="1:10">
      <c r="A732" s="923"/>
      <c r="J732" s="923"/>
    </row>
    <row r="733" spans="1:10">
      <c r="A733" s="923"/>
      <c r="J733" s="923"/>
    </row>
    <row r="734" spans="1:10">
      <c r="A734" s="923"/>
      <c r="J734" s="923"/>
    </row>
    <row r="735" spans="1:10">
      <c r="A735" s="923"/>
      <c r="J735" s="923"/>
    </row>
    <row r="736" spans="1:10">
      <c r="A736" s="923"/>
      <c r="J736" s="923"/>
    </row>
    <row r="737" spans="1:10">
      <c r="A737" s="923"/>
      <c r="J737" s="923"/>
    </row>
    <row r="738" spans="1:10">
      <c r="A738" s="923"/>
      <c r="J738" s="923"/>
    </row>
    <row r="739" spans="1:10">
      <c r="A739" s="923"/>
      <c r="J739" s="923"/>
    </row>
    <row r="740" spans="1:10">
      <c r="A740" s="923"/>
      <c r="J740" s="923"/>
    </row>
    <row r="741" spans="1:10">
      <c r="A741" s="923"/>
      <c r="J741" s="923"/>
    </row>
    <row r="742" spans="1:10">
      <c r="A742" s="923"/>
      <c r="J742" s="923"/>
    </row>
    <row r="743" spans="1:10">
      <c r="A743" s="923"/>
      <c r="J743" s="923"/>
    </row>
    <row r="744" spans="1:10">
      <c r="A744" s="923"/>
      <c r="J744" s="923"/>
    </row>
    <row r="745" spans="1:10">
      <c r="A745" s="923"/>
      <c r="J745" s="923"/>
    </row>
    <row r="746" spans="1:10">
      <c r="A746" s="923"/>
      <c r="J746" s="923"/>
    </row>
    <row r="747" spans="1:10">
      <c r="A747" s="923"/>
      <c r="J747" s="923"/>
    </row>
    <row r="748" spans="1:10">
      <c r="A748" s="923"/>
      <c r="J748" s="923"/>
    </row>
    <row r="749" spans="1:10">
      <c r="A749" s="923"/>
      <c r="J749" s="923"/>
    </row>
    <row r="750" spans="1:10">
      <c r="A750" s="923"/>
      <c r="J750" s="923"/>
    </row>
    <row r="751" spans="1:10">
      <c r="A751" s="923"/>
      <c r="J751" s="923"/>
    </row>
    <row r="752" spans="1:10">
      <c r="A752" s="923"/>
      <c r="J752" s="923"/>
    </row>
    <row r="753" spans="1:10">
      <c r="A753" s="923"/>
      <c r="J753" s="923"/>
    </row>
    <row r="754" spans="1:10">
      <c r="A754" s="923"/>
      <c r="J754" s="923"/>
    </row>
    <row r="755" spans="1:10">
      <c r="A755" s="923"/>
      <c r="J755" s="923"/>
    </row>
    <row r="756" spans="1:10">
      <c r="A756" s="923"/>
      <c r="J756" s="923"/>
    </row>
    <row r="757" spans="1:10">
      <c r="A757" s="923"/>
      <c r="J757" s="923"/>
    </row>
    <row r="758" spans="1:10">
      <c r="A758" s="923"/>
      <c r="J758" s="923"/>
    </row>
    <row r="759" spans="1:10">
      <c r="A759" s="923"/>
      <c r="J759" s="923"/>
    </row>
    <row r="760" spans="1:10">
      <c r="A760" s="923"/>
      <c r="J760" s="923"/>
    </row>
    <row r="761" spans="1:10">
      <c r="A761" s="923"/>
      <c r="J761" s="923"/>
    </row>
    <row r="762" spans="1:10">
      <c r="A762" s="923"/>
      <c r="J762" s="923"/>
    </row>
    <row r="763" spans="1:10">
      <c r="A763" s="923"/>
      <c r="J763" s="923"/>
    </row>
    <row r="764" spans="1:10">
      <c r="A764" s="923"/>
      <c r="J764" s="923"/>
    </row>
    <row r="765" spans="1:10">
      <c r="A765" s="923"/>
      <c r="J765" s="923"/>
    </row>
    <row r="766" spans="1:10">
      <c r="A766" s="923"/>
      <c r="J766" s="923"/>
    </row>
    <row r="767" spans="1:10">
      <c r="A767" s="923"/>
      <c r="J767" s="923"/>
    </row>
    <row r="768" spans="1:10">
      <c r="A768" s="923"/>
      <c r="J768" s="923"/>
    </row>
    <row r="769" spans="1:10">
      <c r="A769" s="923"/>
      <c r="J769" s="923"/>
    </row>
    <row r="770" spans="1:10">
      <c r="A770" s="923"/>
      <c r="J770" s="923"/>
    </row>
    <row r="771" spans="1:10">
      <c r="A771" s="923"/>
      <c r="J771" s="923"/>
    </row>
    <row r="772" spans="1:10">
      <c r="A772" s="923"/>
      <c r="J772" s="923"/>
    </row>
    <row r="773" spans="1:10">
      <c r="A773" s="923"/>
      <c r="J773" s="923"/>
    </row>
    <row r="774" spans="1:10">
      <c r="A774" s="923"/>
      <c r="J774" s="923"/>
    </row>
    <row r="775" spans="1:10">
      <c r="A775" s="923"/>
      <c r="J775" s="923"/>
    </row>
    <row r="776" spans="1:10">
      <c r="A776" s="923"/>
      <c r="J776" s="923"/>
    </row>
    <row r="777" spans="1:10">
      <c r="A777" s="923"/>
      <c r="J777" s="923"/>
    </row>
    <row r="778" spans="1:10">
      <c r="A778" s="923"/>
      <c r="J778" s="923"/>
    </row>
    <row r="779" spans="1:10">
      <c r="A779" s="923"/>
      <c r="J779" s="923"/>
    </row>
    <row r="780" spans="1:10">
      <c r="A780" s="923"/>
      <c r="J780" s="923"/>
    </row>
    <row r="781" spans="1:10">
      <c r="A781" s="923"/>
      <c r="J781" s="923"/>
    </row>
    <row r="782" spans="1:10">
      <c r="A782" s="923"/>
      <c r="J782" s="923"/>
    </row>
    <row r="783" spans="1:10">
      <c r="A783" s="923"/>
      <c r="J783" s="923"/>
    </row>
    <row r="784" spans="1:10">
      <c r="A784" s="923"/>
      <c r="J784" s="923"/>
    </row>
    <row r="785" spans="1:10">
      <c r="A785" s="923"/>
      <c r="J785" s="923"/>
    </row>
    <row r="786" spans="1:10">
      <c r="A786" s="923"/>
      <c r="J786" s="923"/>
    </row>
    <row r="787" spans="1:10">
      <c r="A787" s="923"/>
      <c r="J787" s="923"/>
    </row>
    <row r="788" spans="1:10">
      <c r="A788" s="923"/>
      <c r="J788" s="923"/>
    </row>
    <row r="789" spans="1:10">
      <c r="A789" s="923"/>
      <c r="J789" s="923"/>
    </row>
    <row r="790" spans="1:10">
      <c r="A790" s="923"/>
      <c r="J790" s="923"/>
    </row>
    <row r="791" spans="1:10">
      <c r="A791" s="923"/>
      <c r="J791" s="923"/>
    </row>
    <row r="792" spans="1:10">
      <c r="A792" s="923"/>
      <c r="J792" s="923"/>
    </row>
    <row r="793" spans="1:10">
      <c r="A793" s="923"/>
      <c r="J793" s="923"/>
    </row>
    <row r="794" spans="1:10">
      <c r="A794" s="923"/>
      <c r="J794" s="923"/>
    </row>
    <row r="795" spans="1:10">
      <c r="A795" s="923"/>
      <c r="J795" s="923"/>
    </row>
    <row r="796" spans="1:10">
      <c r="A796" s="923"/>
      <c r="J796" s="923"/>
    </row>
    <row r="797" spans="1:10">
      <c r="A797" s="923"/>
      <c r="J797" s="923"/>
    </row>
    <row r="798" spans="1:10">
      <c r="A798" s="923"/>
      <c r="J798" s="923"/>
    </row>
    <row r="799" spans="1:10">
      <c r="A799" s="923"/>
      <c r="J799" s="923"/>
    </row>
    <row r="800" spans="1:10">
      <c r="A800" s="923"/>
      <c r="J800" s="923"/>
    </row>
    <row r="801" spans="1:10">
      <c r="A801" s="923"/>
      <c r="J801" s="923"/>
    </row>
    <row r="802" spans="1:10">
      <c r="A802" s="923"/>
      <c r="J802" s="923"/>
    </row>
    <row r="803" spans="1:10">
      <c r="A803" s="923"/>
      <c r="J803" s="923"/>
    </row>
    <row r="804" spans="1:10">
      <c r="A804" s="923"/>
      <c r="J804" s="923"/>
    </row>
    <row r="805" spans="1:10">
      <c r="A805" s="923"/>
      <c r="J805" s="923"/>
    </row>
    <row r="806" spans="1:10">
      <c r="A806" s="923"/>
      <c r="J806" s="923"/>
    </row>
    <row r="807" spans="1:10">
      <c r="A807" s="923"/>
      <c r="J807" s="923"/>
    </row>
    <row r="808" spans="1:10">
      <c r="A808" s="923"/>
      <c r="J808" s="923"/>
    </row>
    <row r="809" spans="1:10">
      <c r="A809" s="923"/>
      <c r="J809" s="923"/>
    </row>
    <row r="810" spans="1:10">
      <c r="A810" s="923"/>
      <c r="J810" s="923"/>
    </row>
    <row r="811" spans="1:10">
      <c r="A811" s="923"/>
      <c r="J811" s="923"/>
    </row>
    <row r="812" spans="1:10">
      <c r="A812" s="923"/>
      <c r="J812" s="923"/>
    </row>
    <row r="813" spans="1:10">
      <c r="A813" s="923"/>
      <c r="J813" s="923"/>
    </row>
    <row r="814" spans="1:10">
      <c r="A814" s="923"/>
      <c r="J814" s="923"/>
    </row>
    <row r="815" spans="1:10">
      <c r="A815" s="923"/>
      <c r="J815" s="923"/>
    </row>
    <row r="816" spans="1:10">
      <c r="A816" s="923"/>
      <c r="J816" s="923"/>
    </row>
    <row r="817" spans="1:10">
      <c r="A817" s="923"/>
      <c r="J817" s="923"/>
    </row>
    <row r="818" spans="1:10">
      <c r="A818" s="923"/>
      <c r="J818" s="923"/>
    </row>
    <row r="819" spans="1:10">
      <c r="A819" s="923"/>
      <c r="J819" s="923"/>
    </row>
    <row r="820" spans="1:10">
      <c r="A820" s="923"/>
      <c r="J820" s="923"/>
    </row>
    <row r="821" spans="1:10">
      <c r="A821" s="923"/>
      <c r="J821" s="923"/>
    </row>
    <row r="822" spans="1:10">
      <c r="A822" s="923"/>
      <c r="J822" s="923"/>
    </row>
    <row r="823" spans="1:10">
      <c r="A823" s="923"/>
      <c r="J823" s="923"/>
    </row>
    <row r="824" spans="1:10">
      <c r="A824" s="923"/>
      <c r="J824" s="923"/>
    </row>
    <row r="825" spans="1:10">
      <c r="A825" s="923"/>
      <c r="J825" s="923"/>
    </row>
    <row r="826" spans="1:10">
      <c r="A826" s="923"/>
      <c r="J826" s="923"/>
    </row>
    <row r="827" spans="1:10">
      <c r="A827" s="923"/>
      <c r="J827" s="923"/>
    </row>
    <row r="828" spans="1:10">
      <c r="A828" s="923"/>
      <c r="J828" s="923"/>
    </row>
    <row r="829" spans="1:10">
      <c r="A829" s="923"/>
      <c r="J829" s="923"/>
    </row>
    <row r="830" spans="1:10">
      <c r="A830" s="923"/>
      <c r="J830" s="923"/>
    </row>
    <row r="831" spans="1:10">
      <c r="A831" s="923"/>
      <c r="J831" s="923"/>
    </row>
    <row r="832" spans="1:10">
      <c r="A832" s="923"/>
      <c r="J832" s="923"/>
    </row>
    <row r="833" spans="1:10">
      <c r="A833" s="923"/>
      <c r="J833" s="923"/>
    </row>
    <row r="834" spans="1:10">
      <c r="A834" s="923"/>
      <c r="J834" s="923"/>
    </row>
    <row r="835" spans="1:10">
      <c r="A835" s="923"/>
      <c r="J835" s="923"/>
    </row>
    <row r="836" spans="1:10">
      <c r="A836" s="923"/>
      <c r="J836" s="923"/>
    </row>
    <row r="837" spans="1:10">
      <c r="A837" s="923"/>
      <c r="J837" s="923"/>
    </row>
    <row r="838" spans="1:10">
      <c r="A838" s="923"/>
      <c r="J838" s="923"/>
    </row>
    <row r="839" spans="1:10">
      <c r="A839" s="923"/>
      <c r="J839" s="923"/>
    </row>
    <row r="840" spans="1:10">
      <c r="A840" s="923"/>
      <c r="J840" s="923"/>
    </row>
    <row r="841" spans="1:10">
      <c r="A841" s="923"/>
      <c r="J841" s="923"/>
    </row>
    <row r="842" spans="1:10">
      <c r="A842" s="923"/>
      <c r="J842" s="923"/>
    </row>
    <row r="843" spans="1:10">
      <c r="A843" s="923"/>
      <c r="J843" s="923"/>
    </row>
    <row r="844" spans="1:10">
      <c r="A844" s="923"/>
      <c r="J844" s="923"/>
    </row>
    <row r="845" spans="1:10">
      <c r="A845" s="923"/>
      <c r="J845" s="923"/>
    </row>
    <row r="846" spans="1:10">
      <c r="A846" s="923"/>
      <c r="J846" s="923"/>
    </row>
    <row r="847" spans="1:10">
      <c r="A847" s="923"/>
      <c r="J847" s="923"/>
    </row>
    <row r="848" spans="1:10">
      <c r="A848" s="923"/>
      <c r="J848" s="923"/>
    </row>
    <row r="849" spans="1:10">
      <c r="A849" s="923"/>
      <c r="J849" s="923"/>
    </row>
    <row r="850" spans="1:10">
      <c r="A850" s="923"/>
      <c r="J850" s="923"/>
    </row>
    <row r="851" spans="1:10">
      <c r="A851" s="923"/>
      <c r="J851" s="923"/>
    </row>
    <row r="852" spans="1:10">
      <c r="A852" s="923"/>
      <c r="J852" s="923"/>
    </row>
    <row r="853" spans="1:10">
      <c r="A853" s="923"/>
      <c r="J853" s="923"/>
    </row>
    <row r="854" spans="1:10">
      <c r="A854" s="923"/>
      <c r="J854" s="923"/>
    </row>
    <row r="855" spans="1:10">
      <c r="A855" s="923"/>
      <c r="J855" s="923"/>
    </row>
    <row r="856" spans="1:10">
      <c r="A856" s="923"/>
      <c r="J856" s="923"/>
    </row>
    <row r="857" spans="1:10">
      <c r="A857" s="923"/>
      <c r="J857" s="923"/>
    </row>
    <row r="858" spans="1:10">
      <c r="A858" s="923"/>
      <c r="J858" s="923"/>
    </row>
    <row r="859" spans="1:10">
      <c r="A859" s="923"/>
      <c r="J859" s="923"/>
    </row>
    <row r="860" spans="1:10">
      <c r="A860" s="923"/>
      <c r="J860" s="923"/>
    </row>
    <row r="861" spans="1:10">
      <c r="A861" s="923"/>
      <c r="J861" s="923"/>
    </row>
    <row r="862" spans="1:10">
      <c r="A862" s="923"/>
      <c r="J862" s="923"/>
    </row>
    <row r="863" spans="1:10">
      <c r="A863" s="923"/>
      <c r="J863" s="923"/>
    </row>
    <row r="864" spans="1:10">
      <c r="A864" s="923"/>
      <c r="J864" s="923"/>
    </row>
    <row r="865" spans="1:10">
      <c r="A865" s="923"/>
      <c r="J865" s="923"/>
    </row>
    <row r="866" spans="1:10">
      <c r="A866" s="923"/>
      <c r="J866" s="923"/>
    </row>
    <row r="867" spans="1:10">
      <c r="A867" s="923"/>
      <c r="J867" s="923"/>
    </row>
    <row r="868" spans="1:10">
      <c r="A868" s="923"/>
      <c r="J868" s="923"/>
    </row>
    <row r="869" spans="1:10">
      <c r="A869" s="923"/>
      <c r="J869" s="923"/>
    </row>
    <row r="870" spans="1:10">
      <c r="A870" s="923"/>
      <c r="J870" s="923"/>
    </row>
    <row r="871" spans="1:10">
      <c r="A871" s="923"/>
      <c r="J871" s="923"/>
    </row>
    <row r="872" spans="1:10">
      <c r="A872" s="923"/>
      <c r="J872" s="923"/>
    </row>
    <row r="873" spans="1:10">
      <c r="A873" s="923"/>
      <c r="J873" s="923"/>
    </row>
    <row r="874" spans="1:10">
      <c r="A874" s="923"/>
      <c r="J874" s="923"/>
    </row>
    <row r="875" spans="1:10">
      <c r="A875" s="923"/>
      <c r="J875" s="923"/>
    </row>
    <row r="876" spans="1:10">
      <c r="A876" s="923"/>
      <c r="J876" s="923"/>
    </row>
    <row r="877" spans="1:10">
      <c r="A877" s="923"/>
      <c r="J877" s="923"/>
    </row>
    <row r="878" spans="1:10">
      <c r="A878" s="923"/>
      <c r="J878" s="923"/>
    </row>
    <row r="879" spans="1:10">
      <c r="A879" s="923"/>
      <c r="J879" s="923"/>
    </row>
    <row r="880" spans="1:10">
      <c r="A880" s="923"/>
      <c r="J880" s="923"/>
    </row>
    <row r="881" spans="1:10">
      <c r="A881" s="923"/>
      <c r="J881" s="923"/>
    </row>
    <row r="882" spans="1:10">
      <c r="A882" s="923"/>
      <c r="J882" s="923"/>
    </row>
    <row r="883" spans="1:10">
      <c r="A883" s="923"/>
      <c r="J883" s="923"/>
    </row>
    <row r="884" spans="1:10">
      <c r="A884" s="923"/>
      <c r="J884" s="923"/>
    </row>
    <row r="885" spans="1:10">
      <c r="A885" s="923"/>
      <c r="J885" s="923"/>
    </row>
    <row r="886" spans="1:10">
      <c r="A886" s="923"/>
      <c r="J886" s="923"/>
    </row>
    <row r="887" spans="1:10">
      <c r="A887" s="923"/>
      <c r="J887" s="923"/>
    </row>
    <row r="888" spans="1:10">
      <c r="A888" s="923"/>
      <c r="J888" s="923"/>
    </row>
    <row r="889" spans="1:10">
      <c r="A889" s="923"/>
      <c r="J889" s="923"/>
    </row>
    <row r="890" spans="1:10">
      <c r="A890" s="923"/>
      <c r="J890" s="923"/>
    </row>
    <row r="891" spans="1:10">
      <c r="A891" s="923"/>
      <c r="J891" s="923"/>
    </row>
    <row r="892" spans="1:10">
      <c r="A892" s="923"/>
      <c r="J892" s="923"/>
    </row>
    <row r="893" spans="1:10">
      <c r="A893" s="923"/>
      <c r="J893" s="923"/>
    </row>
    <row r="894" spans="1:10">
      <c r="A894" s="923"/>
      <c r="J894" s="923"/>
    </row>
    <row r="895" spans="1:10">
      <c r="A895" s="923"/>
      <c r="J895" s="923"/>
    </row>
    <row r="896" spans="1:10">
      <c r="A896" s="923"/>
      <c r="J896" s="923"/>
    </row>
    <row r="897" spans="1:10">
      <c r="A897" s="923"/>
      <c r="J897" s="923"/>
    </row>
    <row r="898" spans="1:10">
      <c r="A898" s="923"/>
      <c r="J898" s="923"/>
    </row>
    <row r="899" spans="1:10">
      <c r="A899" s="923"/>
      <c r="J899" s="923"/>
    </row>
    <row r="900" spans="1:10">
      <c r="A900" s="923"/>
      <c r="J900" s="923"/>
    </row>
    <row r="901" spans="1:10">
      <c r="A901" s="923"/>
      <c r="J901" s="923"/>
    </row>
    <row r="902" spans="1:10">
      <c r="A902" s="923"/>
      <c r="J902" s="923"/>
    </row>
    <row r="903" spans="1:10">
      <c r="A903" s="923"/>
      <c r="J903" s="923"/>
    </row>
    <row r="904" spans="1:10">
      <c r="A904" s="923"/>
      <c r="J904" s="923"/>
    </row>
    <row r="905" spans="1:10">
      <c r="A905" s="923"/>
      <c r="J905" s="923"/>
    </row>
    <row r="906" spans="1:10">
      <c r="A906" s="923"/>
      <c r="J906" s="923"/>
    </row>
    <row r="907" spans="1:10">
      <c r="A907" s="923"/>
      <c r="J907" s="923"/>
    </row>
    <row r="908" spans="1:10">
      <c r="A908" s="923"/>
      <c r="J908" s="923"/>
    </row>
    <row r="909" spans="1:10">
      <c r="A909" s="923"/>
      <c r="J909" s="923"/>
    </row>
    <row r="910" spans="1:10">
      <c r="A910" s="923"/>
      <c r="J910" s="923"/>
    </row>
    <row r="911" spans="1:10">
      <c r="A911" s="923"/>
      <c r="J911" s="923"/>
    </row>
    <row r="912" spans="1:10">
      <c r="A912" s="923"/>
      <c r="J912" s="923"/>
    </row>
    <row r="913" spans="1:10">
      <c r="A913" s="923"/>
      <c r="J913" s="923"/>
    </row>
    <row r="914" spans="1:10">
      <c r="A914" s="923"/>
      <c r="J914" s="923"/>
    </row>
    <row r="915" spans="1:10">
      <c r="A915" s="923"/>
      <c r="J915" s="923"/>
    </row>
    <row r="916" spans="1:10">
      <c r="A916" s="923"/>
      <c r="J916" s="923"/>
    </row>
    <row r="917" spans="1:10">
      <c r="A917" s="923"/>
      <c r="J917" s="923"/>
    </row>
    <row r="918" spans="1:10">
      <c r="A918" s="923"/>
      <c r="J918" s="923"/>
    </row>
    <row r="919" spans="1:10">
      <c r="A919" s="923"/>
      <c r="J919" s="923"/>
    </row>
    <row r="920" spans="1:10">
      <c r="A920" s="923"/>
      <c r="J920" s="923"/>
    </row>
    <row r="921" spans="1:10">
      <c r="A921" s="923"/>
      <c r="J921" s="923"/>
    </row>
    <row r="922" spans="1:10">
      <c r="A922" s="923"/>
      <c r="J922" s="923"/>
    </row>
    <row r="923" spans="1:10">
      <c r="A923" s="923"/>
      <c r="J923" s="923"/>
    </row>
    <row r="924" spans="1:10">
      <c r="A924" s="923"/>
      <c r="J924" s="923"/>
    </row>
    <row r="925" spans="1:10">
      <c r="A925" s="923"/>
      <c r="J925" s="923"/>
    </row>
    <row r="926" spans="1:10">
      <c r="A926" s="923"/>
      <c r="J926" s="923"/>
    </row>
    <row r="927" spans="1:10">
      <c r="A927" s="923"/>
      <c r="J927" s="923"/>
    </row>
    <row r="928" spans="1:10">
      <c r="A928" s="923"/>
      <c r="J928" s="923"/>
    </row>
    <row r="929" spans="1:10">
      <c r="A929" s="923"/>
      <c r="J929" s="923"/>
    </row>
    <row r="930" spans="1:10">
      <c r="A930" s="923"/>
      <c r="J930" s="923"/>
    </row>
    <row r="931" spans="1:10">
      <c r="A931" s="923"/>
      <c r="J931" s="923"/>
    </row>
    <row r="932" spans="1:10">
      <c r="A932" s="923"/>
      <c r="J932" s="923"/>
    </row>
    <row r="933" spans="1:10">
      <c r="A933" s="923"/>
      <c r="J933" s="923"/>
    </row>
    <row r="934" spans="1:10">
      <c r="A934" s="923"/>
      <c r="J934" s="923"/>
    </row>
    <row r="935" spans="1:10">
      <c r="A935" s="923"/>
      <c r="J935" s="923"/>
    </row>
    <row r="936" spans="1:10">
      <c r="A936" s="923"/>
      <c r="J936" s="923"/>
    </row>
    <row r="937" spans="1:10">
      <c r="A937" s="923"/>
      <c r="J937" s="923"/>
    </row>
    <row r="938" spans="1:10">
      <c r="A938" s="923"/>
      <c r="J938" s="923"/>
    </row>
    <row r="939" spans="1:10">
      <c r="A939" s="923"/>
      <c r="J939" s="923"/>
    </row>
    <row r="940" spans="1:10">
      <c r="A940" s="923"/>
      <c r="J940" s="923"/>
    </row>
    <row r="941" spans="1:10">
      <c r="A941" s="923"/>
      <c r="J941" s="923"/>
    </row>
    <row r="942" spans="1:10">
      <c r="A942" s="923"/>
      <c r="J942" s="923"/>
    </row>
    <row r="943" spans="1:10">
      <c r="A943" s="923"/>
      <c r="J943" s="923"/>
    </row>
    <row r="944" spans="1:10">
      <c r="A944" s="923"/>
      <c r="J944" s="923"/>
    </row>
    <row r="945" spans="1:10">
      <c r="A945" s="923"/>
      <c r="J945" s="923"/>
    </row>
    <row r="946" spans="1:10">
      <c r="A946" s="923"/>
      <c r="J946" s="923"/>
    </row>
    <row r="947" spans="1:10">
      <c r="A947" s="923"/>
      <c r="J947" s="923"/>
    </row>
    <row r="948" spans="1:10">
      <c r="A948" s="923"/>
      <c r="J948" s="923"/>
    </row>
    <row r="949" spans="1:10">
      <c r="A949" s="923"/>
      <c r="J949" s="923"/>
    </row>
    <row r="950" spans="1:10">
      <c r="A950" s="923"/>
      <c r="J950" s="923"/>
    </row>
    <row r="951" spans="1:10">
      <c r="A951" s="923"/>
      <c r="J951" s="923"/>
    </row>
    <row r="952" spans="1:10">
      <c r="A952" s="923"/>
      <c r="J952" s="923"/>
    </row>
    <row r="953" spans="1:10">
      <c r="A953" s="923"/>
      <c r="J953" s="923"/>
    </row>
    <row r="954" spans="1:10">
      <c r="A954" s="923"/>
      <c r="J954" s="923"/>
    </row>
    <row r="955" spans="1:10">
      <c r="A955" s="923"/>
      <c r="J955" s="923"/>
    </row>
    <row r="956" spans="1:10">
      <c r="A956" s="923"/>
      <c r="J956" s="923"/>
    </row>
    <row r="957" spans="1:10">
      <c r="A957" s="923"/>
      <c r="J957" s="923"/>
    </row>
    <row r="958" spans="1:10">
      <c r="A958" s="923"/>
      <c r="J958" s="923"/>
    </row>
    <row r="959" spans="1:10">
      <c r="A959" s="923"/>
      <c r="J959" s="923"/>
    </row>
    <row r="960" spans="1:10">
      <c r="A960" s="923"/>
      <c r="J960" s="923"/>
    </row>
    <row r="961" spans="1:10">
      <c r="A961" s="923"/>
      <c r="J961" s="923"/>
    </row>
    <row r="962" spans="1:10">
      <c r="A962" s="923"/>
      <c r="J962" s="923"/>
    </row>
    <row r="963" spans="1:10">
      <c r="A963" s="923"/>
      <c r="J963" s="923"/>
    </row>
    <row r="964" spans="1:10">
      <c r="A964" s="923"/>
      <c r="J964" s="923"/>
    </row>
    <row r="965" spans="1:10">
      <c r="A965" s="923"/>
      <c r="J965" s="923"/>
    </row>
    <row r="966" spans="1:10">
      <c r="A966" s="923"/>
      <c r="J966" s="923"/>
    </row>
    <row r="967" spans="1:10">
      <c r="A967" s="923"/>
      <c r="J967" s="923"/>
    </row>
    <row r="968" spans="1:10">
      <c r="A968" s="923"/>
      <c r="J968" s="923"/>
    </row>
    <row r="969" spans="1:10">
      <c r="A969" s="923"/>
      <c r="J969" s="923"/>
    </row>
    <row r="970" spans="1:10">
      <c r="A970" s="923"/>
      <c r="J970" s="923"/>
    </row>
    <row r="971" spans="1:10">
      <c r="A971" s="923"/>
      <c r="J971" s="923"/>
    </row>
    <row r="972" spans="1:10">
      <c r="A972" s="923"/>
      <c r="J972" s="923"/>
    </row>
    <row r="973" spans="1:10">
      <c r="A973" s="923"/>
      <c r="J973" s="923"/>
    </row>
    <row r="974" spans="1:10">
      <c r="A974" s="923"/>
      <c r="J974" s="923"/>
    </row>
    <row r="975" spans="1:10">
      <c r="A975" s="923"/>
      <c r="J975" s="923"/>
    </row>
    <row r="976" spans="1:10">
      <c r="A976" s="923"/>
      <c r="J976" s="923"/>
    </row>
    <row r="977" spans="1:10">
      <c r="A977" s="923"/>
      <c r="J977" s="923"/>
    </row>
    <row r="978" spans="1:10">
      <c r="A978" s="923"/>
      <c r="J978" s="923"/>
    </row>
    <row r="979" spans="1:10">
      <c r="A979" s="923"/>
      <c r="J979" s="923"/>
    </row>
    <row r="980" spans="1:10">
      <c r="A980" s="923"/>
      <c r="J980" s="923"/>
    </row>
    <row r="981" spans="1:10">
      <c r="A981" s="923"/>
      <c r="J981" s="923"/>
    </row>
    <row r="982" spans="1:10">
      <c r="A982" s="923"/>
      <c r="J982" s="923"/>
    </row>
    <row r="983" spans="1:10">
      <c r="A983" s="923"/>
      <c r="J983" s="923"/>
    </row>
    <row r="984" spans="1:10">
      <c r="A984" s="923"/>
      <c r="J984" s="923"/>
    </row>
    <row r="985" spans="1:10">
      <c r="A985" s="923"/>
      <c r="J985" s="923"/>
    </row>
    <row r="986" spans="1:10">
      <c r="A986" s="923"/>
      <c r="J986" s="923"/>
    </row>
    <row r="987" spans="1:10">
      <c r="A987" s="923"/>
      <c r="J987" s="923"/>
    </row>
    <row r="988" spans="1:10">
      <c r="A988" s="923"/>
      <c r="J988" s="923"/>
    </row>
    <row r="989" spans="1:10">
      <c r="A989" s="923"/>
      <c r="J989" s="923"/>
    </row>
    <row r="990" spans="1:10">
      <c r="A990" s="923"/>
      <c r="J990" s="923"/>
    </row>
    <row r="991" spans="1:10">
      <c r="A991" s="923"/>
      <c r="J991" s="923"/>
    </row>
    <row r="992" spans="1:10">
      <c r="A992" s="923"/>
      <c r="J992" s="923"/>
    </row>
    <row r="993" spans="1:10">
      <c r="A993" s="923"/>
      <c r="J993" s="923"/>
    </row>
    <row r="994" spans="1:10">
      <c r="A994" s="923"/>
      <c r="J994" s="923"/>
    </row>
    <row r="995" spans="1:10">
      <c r="A995" s="923"/>
      <c r="J995" s="923"/>
    </row>
    <row r="996" spans="1:10">
      <c r="A996" s="923"/>
      <c r="J996" s="923"/>
    </row>
    <row r="997" spans="1:10">
      <c r="A997" s="923"/>
      <c r="J997" s="923"/>
    </row>
    <row r="998" spans="1:10">
      <c r="A998" s="923"/>
      <c r="J998" s="923"/>
    </row>
    <row r="999" spans="1:10">
      <c r="A999" s="923"/>
      <c r="J999" s="923"/>
    </row>
    <row r="1000" spans="1:10">
      <c r="A1000" s="923"/>
      <c r="J1000" s="923"/>
    </row>
    <row r="1001" spans="1:10">
      <c r="A1001" s="923"/>
      <c r="J1001" s="923"/>
    </row>
    <row r="1002" spans="1:10">
      <c r="A1002" s="923"/>
      <c r="J1002" s="923"/>
    </row>
    <row r="1003" spans="1:10">
      <c r="A1003" s="923"/>
      <c r="J1003" s="923"/>
    </row>
    <row r="1004" spans="1:10">
      <c r="A1004" s="923"/>
      <c r="J1004" s="923"/>
    </row>
    <row r="1005" spans="1:10">
      <c r="A1005" s="923"/>
      <c r="J1005" s="923"/>
    </row>
    <row r="1006" spans="1:10">
      <c r="A1006" s="923"/>
      <c r="J1006" s="923"/>
    </row>
    <row r="1007" spans="1:10">
      <c r="A1007" s="923"/>
      <c r="J1007" s="923"/>
    </row>
    <row r="1008" spans="1:10">
      <c r="A1008" s="923"/>
      <c r="J1008" s="923"/>
    </row>
    <row r="1009" spans="1:10">
      <c r="A1009" s="923"/>
      <c r="J1009" s="923"/>
    </row>
    <row r="1010" spans="1:10">
      <c r="A1010" s="923"/>
      <c r="J1010" s="923"/>
    </row>
    <row r="1011" spans="1:10">
      <c r="A1011" s="923"/>
      <c r="J1011" s="923"/>
    </row>
    <row r="1012" spans="1:10">
      <c r="A1012" s="923"/>
      <c r="J1012" s="923"/>
    </row>
    <row r="1013" spans="1:10">
      <c r="A1013" s="923"/>
      <c r="J1013" s="923"/>
    </row>
    <row r="1014" spans="1:10">
      <c r="A1014" s="923"/>
      <c r="J1014" s="923"/>
    </row>
    <row r="1015" spans="1:10">
      <c r="A1015" s="923"/>
      <c r="J1015" s="923"/>
    </row>
    <row r="1016" spans="1:10">
      <c r="A1016" s="923"/>
      <c r="J1016" s="923"/>
    </row>
    <row r="1017" spans="1:10">
      <c r="A1017" s="923"/>
      <c r="J1017" s="923"/>
    </row>
    <row r="1018" spans="1:10">
      <c r="A1018" s="923"/>
      <c r="J1018" s="923"/>
    </row>
    <row r="1019" spans="1:10">
      <c r="A1019" s="923"/>
      <c r="J1019" s="923"/>
    </row>
    <row r="1020" spans="1:10">
      <c r="A1020" s="923"/>
      <c r="J1020" s="923"/>
    </row>
    <row r="1021" spans="1:10">
      <c r="A1021" s="923"/>
      <c r="J1021" s="923"/>
    </row>
    <row r="1022" spans="1:10">
      <c r="A1022" s="923"/>
      <c r="J1022" s="923"/>
    </row>
    <row r="1023" spans="1:10">
      <c r="A1023" s="923"/>
      <c r="J1023" s="923"/>
    </row>
    <row r="1024" spans="1:10">
      <c r="A1024" s="923"/>
      <c r="J1024" s="923"/>
    </row>
    <row r="1025" spans="1:10">
      <c r="A1025" s="923"/>
      <c r="J1025" s="923"/>
    </row>
    <row r="1026" spans="1:10">
      <c r="A1026" s="923"/>
      <c r="J1026" s="923"/>
    </row>
    <row r="1027" spans="1:10">
      <c r="A1027" s="923"/>
      <c r="J1027" s="923"/>
    </row>
    <row r="1028" spans="1:10">
      <c r="A1028" s="923"/>
      <c r="J1028" s="923"/>
    </row>
    <row r="1029" spans="1:10">
      <c r="A1029" s="923"/>
      <c r="J1029" s="923"/>
    </row>
    <row r="1030" spans="1:10">
      <c r="A1030" s="923"/>
      <c r="J1030" s="923"/>
    </row>
    <row r="1031" spans="1:10">
      <c r="A1031" s="923"/>
      <c r="J1031" s="923"/>
    </row>
    <row r="1032" spans="1:10">
      <c r="A1032" s="923"/>
      <c r="J1032" s="923"/>
    </row>
    <row r="1033" spans="1:10">
      <c r="A1033" s="923"/>
      <c r="J1033" s="923"/>
    </row>
    <row r="1034" spans="1:10">
      <c r="A1034" s="923"/>
      <c r="J1034" s="923"/>
    </row>
    <row r="1035" spans="1:10">
      <c r="A1035" s="923"/>
      <c r="J1035" s="923"/>
    </row>
    <row r="1036" spans="1:10">
      <c r="A1036" s="923"/>
      <c r="J1036" s="923"/>
    </row>
    <row r="1037" spans="1:10">
      <c r="A1037" s="923"/>
      <c r="J1037" s="923"/>
    </row>
    <row r="1038" spans="1:10">
      <c r="A1038" s="923"/>
      <c r="J1038" s="923"/>
    </row>
    <row r="1039" spans="1:10">
      <c r="A1039" s="923"/>
      <c r="J1039" s="923"/>
    </row>
    <row r="1040" spans="1:10">
      <c r="A1040" s="923"/>
      <c r="J1040" s="923"/>
    </row>
    <row r="1041" spans="1:10">
      <c r="A1041" s="923"/>
      <c r="J1041" s="923"/>
    </row>
    <row r="1042" spans="1:10">
      <c r="A1042" s="923"/>
      <c r="J1042" s="923"/>
    </row>
    <row r="1043" spans="1:10">
      <c r="A1043" s="923"/>
      <c r="J1043" s="923"/>
    </row>
  </sheetData>
  <mergeCells count="22">
    <mergeCell ref="K8:K10"/>
    <mergeCell ref="K32:K46"/>
    <mergeCell ref="K55:K57"/>
    <mergeCell ref="K75:K83"/>
    <mergeCell ref="N11:O11"/>
    <mergeCell ref="L8:L10"/>
    <mergeCell ref="L32:L46"/>
    <mergeCell ref="L55:L57"/>
    <mergeCell ref="L75:L83"/>
    <mergeCell ref="A120:A121"/>
    <mergeCell ref="A151:A152"/>
    <mergeCell ref="A5:J5"/>
    <mergeCell ref="A7:J7"/>
    <mergeCell ref="J8:J10"/>
    <mergeCell ref="B8:B9"/>
    <mergeCell ref="A54:J54"/>
    <mergeCell ref="J55:J57"/>
    <mergeCell ref="B55:B56"/>
    <mergeCell ref="D8:I9"/>
    <mergeCell ref="C8:C10"/>
    <mergeCell ref="C55:C57"/>
    <mergeCell ref="D55:I56"/>
  </mergeCells>
  <printOptions horizontalCentered="1"/>
  <pageMargins left="0.23622047244094491" right="0.19685039370078741" top="0.43307086614173229" bottom="0.31496062992125984" header="0.15748031496062992" footer="0.15748031496062992"/>
  <pageSetup paperSize="9" scale="70" firstPageNumber="25" orientation="landscape" useFirstPageNumber="1" r:id="rId1"/>
  <headerFooter alignWithMargins="0">
    <oddHeader>&amp;C&amp;"Arial,Kursywa"Wieloletnia prognoza finansowa Województwa Zachodniopomorskiego 
____________________________________________________________________________________________________________________</oddHeader>
    <oddFooter>&amp;C&amp;8&amp;P</oddFooter>
  </headerFooter>
  <rowBreaks count="1" manualBreakCount="1">
    <brk id="5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50"/>
  </sheetPr>
  <dimension ref="A1:S548"/>
  <sheetViews>
    <sheetView showGridLines="0" view="pageBreakPreview" topLeftCell="A4" zoomScaleSheetLayoutView="100" workbookViewId="0">
      <pane xSplit="2" ySplit="4" topLeftCell="C14" activePane="bottomRight" state="frozen"/>
      <selection activeCell="D14" sqref="D14"/>
      <selection pane="topRight" activeCell="D14" sqref="D14"/>
      <selection pane="bottomLeft" activeCell="D14" sqref="D14"/>
      <selection pane="bottomRight" activeCell="G117" sqref="G117:G123"/>
    </sheetView>
  </sheetViews>
  <sheetFormatPr defaultRowHeight="11.25"/>
  <cols>
    <col min="1" max="1" width="2.85546875" style="690" customWidth="1"/>
    <col min="2" max="2" width="60.42578125" style="539" customWidth="1"/>
    <col min="3" max="3" width="10.5703125" style="539" customWidth="1"/>
    <col min="4" max="5" width="13.28515625" style="539" customWidth="1"/>
    <col min="6" max="6" width="10.28515625" style="539" customWidth="1"/>
    <col min="7" max="7" width="9.7109375" style="539" customWidth="1"/>
    <col min="8" max="8" width="10.42578125" style="539" customWidth="1"/>
    <col min="9" max="9" width="10.5703125" style="539" customWidth="1"/>
    <col min="10" max="10" width="9.7109375" style="539" customWidth="1"/>
    <col min="11" max="12" width="9.28515625" style="539" customWidth="1"/>
    <col min="13" max="13" width="11.85546875" style="539" hidden="1" customWidth="1"/>
    <col min="14" max="14" width="11.42578125" style="539" customWidth="1"/>
    <col min="15" max="15" width="15.28515625" style="726" customWidth="1"/>
    <col min="16" max="16" width="11.85546875" style="539" hidden="1" customWidth="1"/>
    <col min="17" max="18" width="0" style="539" hidden="1" customWidth="1"/>
    <col min="19" max="251" width="9.140625" style="539"/>
    <col min="252" max="252" width="2.85546875" style="539" customWidth="1"/>
    <col min="253" max="253" width="50.7109375" style="539" customWidth="1"/>
    <col min="254" max="254" width="9.42578125" style="539" customWidth="1"/>
    <col min="255" max="255" width="11.85546875" style="539" customWidth="1"/>
    <col min="256" max="256" width="8.42578125" style="539" bestFit="1" customWidth="1"/>
    <col min="257" max="259" width="0" style="539" hidden="1" customWidth="1"/>
    <col min="260" max="260" width="6" style="539" bestFit="1" customWidth="1"/>
    <col min="261" max="261" width="9.5703125" style="539" customWidth="1"/>
    <col min="262" max="262" width="9.85546875" style="539" customWidth="1"/>
    <col min="263" max="263" width="9.7109375" style="539" customWidth="1"/>
    <col min="264" max="264" width="9.5703125" style="539" customWidth="1"/>
    <col min="265" max="265" width="9.85546875" style="539" customWidth="1"/>
    <col min="266" max="266" width="6.5703125" style="539" customWidth="1"/>
    <col min="267" max="267" width="6" style="539" bestFit="1" customWidth="1"/>
    <col min="268" max="268" width="6.28515625" style="539" customWidth="1"/>
    <col min="269" max="269" width="11.7109375" style="539" customWidth="1"/>
    <col min="270" max="270" width="0" style="539" hidden="1" customWidth="1"/>
    <col min="271" max="271" width="14.5703125" style="539" customWidth="1"/>
    <col min="272" max="272" width="11.85546875" style="539" customWidth="1"/>
    <col min="273" max="507" width="9.140625" style="539"/>
    <col min="508" max="508" width="2.85546875" style="539" customWidth="1"/>
    <col min="509" max="509" width="50.7109375" style="539" customWidth="1"/>
    <col min="510" max="510" width="9.42578125" style="539" customWidth="1"/>
    <col min="511" max="511" width="11.85546875" style="539" customWidth="1"/>
    <col min="512" max="512" width="8.42578125" style="539" bestFit="1" customWidth="1"/>
    <col min="513" max="515" width="0" style="539" hidden="1" customWidth="1"/>
    <col min="516" max="516" width="6" style="539" bestFit="1" customWidth="1"/>
    <col min="517" max="517" width="9.5703125" style="539" customWidth="1"/>
    <col min="518" max="518" width="9.85546875" style="539" customWidth="1"/>
    <col min="519" max="519" width="9.7109375" style="539" customWidth="1"/>
    <col min="520" max="520" width="9.5703125" style="539" customWidth="1"/>
    <col min="521" max="521" width="9.85546875" style="539" customWidth="1"/>
    <col min="522" max="522" width="6.5703125" style="539" customWidth="1"/>
    <col min="523" max="523" width="6" style="539" bestFit="1" customWidth="1"/>
    <col min="524" max="524" width="6.28515625" style="539" customWidth="1"/>
    <col min="525" max="525" width="11.7109375" style="539" customWidth="1"/>
    <col min="526" max="526" width="0" style="539" hidden="1" customWidth="1"/>
    <col min="527" max="527" width="14.5703125" style="539" customWidth="1"/>
    <col min="528" max="528" width="11.85546875" style="539" customWidth="1"/>
    <col min="529" max="763" width="9.140625" style="539"/>
    <col min="764" max="764" width="2.85546875" style="539" customWidth="1"/>
    <col min="765" max="765" width="50.7109375" style="539" customWidth="1"/>
    <col min="766" max="766" width="9.42578125" style="539" customWidth="1"/>
    <col min="767" max="767" width="11.85546875" style="539" customWidth="1"/>
    <col min="768" max="768" width="8.42578125" style="539" bestFit="1" customWidth="1"/>
    <col min="769" max="771" width="0" style="539" hidden="1" customWidth="1"/>
    <col min="772" max="772" width="6" style="539" bestFit="1" customWidth="1"/>
    <col min="773" max="773" width="9.5703125" style="539" customWidth="1"/>
    <col min="774" max="774" width="9.85546875" style="539" customWidth="1"/>
    <col min="775" max="775" width="9.7109375" style="539" customWidth="1"/>
    <col min="776" max="776" width="9.5703125" style="539" customWidth="1"/>
    <col min="777" max="777" width="9.85546875" style="539" customWidth="1"/>
    <col min="778" max="778" width="6.5703125" style="539" customWidth="1"/>
    <col min="779" max="779" width="6" style="539" bestFit="1" customWidth="1"/>
    <col min="780" max="780" width="6.28515625" style="539" customWidth="1"/>
    <col min="781" max="781" width="11.7109375" style="539" customWidth="1"/>
    <col min="782" max="782" width="0" style="539" hidden="1" customWidth="1"/>
    <col min="783" max="783" width="14.5703125" style="539" customWidth="1"/>
    <col min="784" max="784" width="11.85546875" style="539" customWidth="1"/>
    <col min="785" max="1019" width="9.140625" style="539"/>
    <col min="1020" max="1020" width="2.85546875" style="539" customWidth="1"/>
    <col min="1021" max="1021" width="50.7109375" style="539" customWidth="1"/>
    <col min="1022" max="1022" width="9.42578125" style="539" customWidth="1"/>
    <col min="1023" max="1023" width="11.85546875" style="539" customWidth="1"/>
    <col min="1024" max="1024" width="8.42578125" style="539" bestFit="1" customWidth="1"/>
    <col min="1025" max="1027" width="0" style="539" hidden="1" customWidth="1"/>
    <col min="1028" max="1028" width="6" style="539" bestFit="1" customWidth="1"/>
    <col min="1029" max="1029" width="9.5703125" style="539" customWidth="1"/>
    <col min="1030" max="1030" width="9.85546875" style="539" customWidth="1"/>
    <col min="1031" max="1031" width="9.7109375" style="539" customWidth="1"/>
    <col min="1032" max="1032" width="9.5703125" style="539" customWidth="1"/>
    <col min="1033" max="1033" width="9.85546875" style="539" customWidth="1"/>
    <col min="1034" max="1034" width="6.5703125" style="539" customWidth="1"/>
    <col min="1035" max="1035" width="6" style="539" bestFit="1" customWidth="1"/>
    <col min="1036" max="1036" width="6.28515625" style="539" customWidth="1"/>
    <col min="1037" max="1037" width="11.7109375" style="539" customWidth="1"/>
    <col min="1038" max="1038" width="0" style="539" hidden="1" customWidth="1"/>
    <col min="1039" max="1039" width="14.5703125" style="539" customWidth="1"/>
    <col min="1040" max="1040" width="11.85546875" style="539" customWidth="1"/>
    <col min="1041" max="1275" width="9.140625" style="539"/>
    <col min="1276" max="1276" width="2.85546875" style="539" customWidth="1"/>
    <col min="1277" max="1277" width="50.7109375" style="539" customWidth="1"/>
    <col min="1278" max="1278" width="9.42578125" style="539" customWidth="1"/>
    <col min="1279" max="1279" width="11.85546875" style="539" customWidth="1"/>
    <col min="1280" max="1280" width="8.42578125" style="539" bestFit="1" customWidth="1"/>
    <col min="1281" max="1283" width="0" style="539" hidden="1" customWidth="1"/>
    <col min="1284" max="1284" width="6" style="539" bestFit="1" customWidth="1"/>
    <col min="1285" max="1285" width="9.5703125" style="539" customWidth="1"/>
    <col min="1286" max="1286" width="9.85546875" style="539" customWidth="1"/>
    <col min="1287" max="1287" width="9.7109375" style="539" customWidth="1"/>
    <col min="1288" max="1288" width="9.5703125" style="539" customWidth="1"/>
    <col min="1289" max="1289" width="9.85546875" style="539" customWidth="1"/>
    <col min="1290" max="1290" width="6.5703125" style="539" customWidth="1"/>
    <col min="1291" max="1291" width="6" style="539" bestFit="1" customWidth="1"/>
    <col min="1292" max="1292" width="6.28515625" style="539" customWidth="1"/>
    <col min="1293" max="1293" width="11.7109375" style="539" customWidth="1"/>
    <col min="1294" max="1294" width="0" style="539" hidden="1" customWidth="1"/>
    <col min="1295" max="1295" width="14.5703125" style="539" customWidth="1"/>
    <col min="1296" max="1296" width="11.85546875" style="539" customWidth="1"/>
    <col min="1297" max="1531" width="9.140625" style="539"/>
    <col min="1532" max="1532" width="2.85546875" style="539" customWidth="1"/>
    <col min="1533" max="1533" width="50.7109375" style="539" customWidth="1"/>
    <col min="1534" max="1534" width="9.42578125" style="539" customWidth="1"/>
    <col min="1535" max="1535" width="11.85546875" style="539" customWidth="1"/>
    <col min="1536" max="1536" width="8.42578125" style="539" bestFit="1" customWidth="1"/>
    <col min="1537" max="1539" width="0" style="539" hidden="1" customWidth="1"/>
    <col min="1540" max="1540" width="6" style="539" bestFit="1" customWidth="1"/>
    <col min="1541" max="1541" width="9.5703125" style="539" customWidth="1"/>
    <col min="1542" max="1542" width="9.85546875" style="539" customWidth="1"/>
    <col min="1543" max="1543" width="9.7109375" style="539" customWidth="1"/>
    <col min="1544" max="1544" width="9.5703125" style="539" customWidth="1"/>
    <col min="1545" max="1545" width="9.85546875" style="539" customWidth="1"/>
    <col min="1546" max="1546" width="6.5703125" style="539" customWidth="1"/>
    <col min="1547" max="1547" width="6" style="539" bestFit="1" customWidth="1"/>
    <col min="1548" max="1548" width="6.28515625" style="539" customWidth="1"/>
    <col min="1549" max="1549" width="11.7109375" style="539" customWidth="1"/>
    <col min="1550" max="1550" width="0" style="539" hidden="1" customWidth="1"/>
    <col min="1551" max="1551" width="14.5703125" style="539" customWidth="1"/>
    <col min="1552" max="1552" width="11.85546875" style="539" customWidth="1"/>
    <col min="1553" max="1787" width="9.140625" style="539"/>
    <col min="1788" max="1788" width="2.85546875" style="539" customWidth="1"/>
    <col min="1789" max="1789" width="50.7109375" style="539" customWidth="1"/>
    <col min="1790" max="1790" width="9.42578125" style="539" customWidth="1"/>
    <col min="1791" max="1791" width="11.85546875" style="539" customWidth="1"/>
    <col min="1792" max="1792" width="8.42578125" style="539" bestFit="1" customWidth="1"/>
    <col min="1793" max="1795" width="0" style="539" hidden="1" customWidth="1"/>
    <col min="1796" max="1796" width="6" style="539" bestFit="1" customWidth="1"/>
    <col min="1797" max="1797" width="9.5703125" style="539" customWidth="1"/>
    <col min="1798" max="1798" width="9.85546875" style="539" customWidth="1"/>
    <col min="1799" max="1799" width="9.7109375" style="539" customWidth="1"/>
    <col min="1800" max="1800" width="9.5703125" style="539" customWidth="1"/>
    <col min="1801" max="1801" width="9.85546875" style="539" customWidth="1"/>
    <col min="1802" max="1802" width="6.5703125" style="539" customWidth="1"/>
    <col min="1803" max="1803" width="6" style="539" bestFit="1" customWidth="1"/>
    <col min="1804" max="1804" width="6.28515625" style="539" customWidth="1"/>
    <col min="1805" max="1805" width="11.7109375" style="539" customWidth="1"/>
    <col min="1806" max="1806" width="0" style="539" hidden="1" customWidth="1"/>
    <col min="1807" max="1807" width="14.5703125" style="539" customWidth="1"/>
    <col min="1808" max="1808" width="11.85546875" style="539" customWidth="1"/>
    <col min="1809" max="2043" width="9.140625" style="539"/>
    <col min="2044" max="2044" width="2.85546875" style="539" customWidth="1"/>
    <col min="2045" max="2045" width="50.7109375" style="539" customWidth="1"/>
    <col min="2046" max="2046" width="9.42578125" style="539" customWidth="1"/>
    <col min="2047" max="2047" width="11.85546875" style="539" customWidth="1"/>
    <col min="2048" max="2048" width="8.42578125" style="539" bestFit="1" customWidth="1"/>
    <col min="2049" max="2051" width="0" style="539" hidden="1" customWidth="1"/>
    <col min="2052" max="2052" width="6" style="539" bestFit="1" customWidth="1"/>
    <col min="2053" max="2053" width="9.5703125" style="539" customWidth="1"/>
    <col min="2054" max="2054" width="9.85546875" style="539" customWidth="1"/>
    <col min="2055" max="2055" width="9.7109375" style="539" customWidth="1"/>
    <col min="2056" max="2056" width="9.5703125" style="539" customWidth="1"/>
    <col min="2057" max="2057" width="9.85546875" style="539" customWidth="1"/>
    <col min="2058" max="2058" width="6.5703125" style="539" customWidth="1"/>
    <col min="2059" max="2059" width="6" style="539" bestFit="1" customWidth="1"/>
    <col min="2060" max="2060" width="6.28515625" style="539" customWidth="1"/>
    <col min="2061" max="2061" width="11.7109375" style="539" customWidth="1"/>
    <col min="2062" max="2062" width="0" style="539" hidden="1" customWidth="1"/>
    <col min="2063" max="2063" width="14.5703125" style="539" customWidth="1"/>
    <col min="2064" max="2064" width="11.85546875" style="539" customWidth="1"/>
    <col min="2065" max="2299" width="9.140625" style="539"/>
    <col min="2300" max="2300" width="2.85546875" style="539" customWidth="1"/>
    <col min="2301" max="2301" width="50.7109375" style="539" customWidth="1"/>
    <col min="2302" max="2302" width="9.42578125" style="539" customWidth="1"/>
    <col min="2303" max="2303" width="11.85546875" style="539" customWidth="1"/>
    <col min="2304" max="2304" width="8.42578125" style="539" bestFit="1" customWidth="1"/>
    <col min="2305" max="2307" width="0" style="539" hidden="1" customWidth="1"/>
    <col min="2308" max="2308" width="6" style="539" bestFit="1" customWidth="1"/>
    <col min="2309" max="2309" width="9.5703125" style="539" customWidth="1"/>
    <col min="2310" max="2310" width="9.85546875" style="539" customWidth="1"/>
    <col min="2311" max="2311" width="9.7109375" style="539" customWidth="1"/>
    <col min="2312" max="2312" width="9.5703125" style="539" customWidth="1"/>
    <col min="2313" max="2313" width="9.85546875" style="539" customWidth="1"/>
    <col min="2314" max="2314" width="6.5703125" style="539" customWidth="1"/>
    <col min="2315" max="2315" width="6" style="539" bestFit="1" customWidth="1"/>
    <col min="2316" max="2316" width="6.28515625" style="539" customWidth="1"/>
    <col min="2317" max="2317" width="11.7109375" style="539" customWidth="1"/>
    <col min="2318" max="2318" width="0" style="539" hidden="1" customWidth="1"/>
    <col min="2319" max="2319" width="14.5703125" style="539" customWidth="1"/>
    <col min="2320" max="2320" width="11.85546875" style="539" customWidth="1"/>
    <col min="2321" max="2555" width="9.140625" style="539"/>
    <col min="2556" max="2556" width="2.85546875" style="539" customWidth="1"/>
    <col min="2557" max="2557" width="50.7109375" style="539" customWidth="1"/>
    <col min="2558" max="2558" width="9.42578125" style="539" customWidth="1"/>
    <col min="2559" max="2559" width="11.85546875" style="539" customWidth="1"/>
    <col min="2560" max="2560" width="8.42578125" style="539" bestFit="1" customWidth="1"/>
    <col min="2561" max="2563" width="0" style="539" hidden="1" customWidth="1"/>
    <col min="2564" max="2564" width="6" style="539" bestFit="1" customWidth="1"/>
    <col min="2565" max="2565" width="9.5703125" style="539" customWidth="1"/>
    <col min="2566" max="2566" width="9.85546875" style="539" customWidth="1"/>
    <col min="2567" max="2567" width="9.7109375" style="539" customWidth="1"/>
    <col min="2568" max="2568" width="9.5703125" style="539" customWidth="1"/>
    <col min="2569" max="2569" width="9.85546875" style="539" customWidth="1"/>
    <col min="2570" max="2570" width="6.5703125" style="539" customWidth="1"/>
    <col min="2571" max="2571" width="6" style="539" bestFit="1" customWidth="1"/>
    <col min="2572" max="2572" width="6.28515625" style="539" customWidth="1"/>
    <col min="2573" max="2573" width="11.7109375" style="539" customWidth="1"/>
    <col min="2574" max="2574" width="0" style="539" hidden="1" customWidth="1"/>
    <col min="2575" max="2575" width="14.5703125" style="539" customWidth="1"/>
    <col min="2576" max="2576" width="11.85546875" style="539" customWidth="1"/>
    <col min="2577" max="2811" width="9.140625" style="539"/>
    <col min="2812" max="2812" width="2.85546875" style="539" customWidth="1"/>
    <col min="2813" max="2813" width="50.7109375" style="539" customWidth="1"/>
    <col min="2814" max="2814" width="9.42578125" style="539" customWidth="1"/>
    <col min="2815" max="2815" width="11.85546875" style="539" customWidth="1"/>
    <col min="2816" max="2816" width="8.42578125" style="539" bestFit="1" customWidth="1"/>
    <col min="2817" max="2819" width="0" style="539" hidden="1" customWidth="1"/>
    <col min="2820" max="2820" width="6" style="539" bestFit="1" customWidth="1"/>
    <col min="2821" max="2821" width="9.5703125" style="539" customWidth="1"/>
    <col min="2822" max="2822" width="9.85546875" style="539" customWidth="1"/>
    <col min="2823" max="2823" width="9.7109375" style="539" customWidth="1"/>
    <col min="2824" max="2824" width="9.5703125" style="539" customWidth="1"/>
    <col min="2825" max="2825" width="9.85546875" style="539" customWidth="1"/>
    <col min="2826" max="2826" width="6.5703125" style="539" customWidth="1"/>
    <col min="2827" max="2827" width="6" style="539" bestFit="1" customWidth="1"/>
    <col min="2828" max="2828" width="6.28515625" style="539" customWidth="1"/>
    <col min="2829" max="2829" width="11.7109375" style="539" customWidth="1"/>
    <col min="2830" max="2830" width="0" style="539" hidden="1" customWidth="1"/>
    <col min="2831" max="2831" width="14.5703125" style="539" customWidth="1"/>
    <col min="2832" max="2832" width="11.85546875" style="539" customWidth="1"/>
    <col min="2833" max="3067" width="9.140625" style="539"/>
    <col min="3068" max="3068" width="2.85546875" style="539" customWidth="1"/>
    <col min="3069" max="3069" width="50.7109375" style="539" customWidth="1"/>
    <col min="3070" max="3070" width="9.42578125" style="539" customWidth="1"/>
    <col min="3071" max="3071" width="11.85546875" style="539" customWidth="1"/>
    <col min="3072" max="3072" width="8.42578125" style="539" bestFit="1" customWidth="1"/>
    <col min="3073" max="3075" width="0" style="539" hidden="1" customWidth="1"/>
    <col min="3076" max="3076" width="6" style="539" bestFit="1" customWidth="1"/>
    <col min="3077" max="3077" width="9.5703125" style="539" customWidth="1"/>
    <col min="3078" max="3078" width="9.85546875" style="539" customWidth="1"/>
    <col min="3079" max="3079" width="9.7109375" style="539" customWidth="1"/>
    <col min="3080" max="3080" width="9.5703125" style="539" customWidth="1"/>
    <col min="3081" max="3081" width="9.85546875" style="539" customWidth="1"/>
    <col min="3082" max="3082" width="6.5703125" style="539" customWidth="1"/>
    <col min="3083" max="3083" width="6" style="539" bestFit="1" customWidth="1"/>
    <col min="3084" max="3084" width="6.28515625" style="539" customWidth="1"/>
    <col min="3085" max="3085" width="11.7109375" style="539" customWidth="1"/>
    <col min="3086" max="3086" width="0" style="539" hidden="1" customWidth="1"/>
    <col min="3087" max="3087" width="14.5703125" style="539" customWidth="1"/>
    <col min="3088" max="3088" width="11.85546875" style="539" customWidth="1"/>
    <col min="3089" max="3323" width="9.140625" style="539"/>
    <col min="3324" max="3324" width="2.85546875" style="539" customWidth="1"/>
    <col min="3325" max="3325" width="50.7109375" style="539" customWidth="1"/>
    <col min="3326" max="3326" width="9.42578125" style="539" customWidth="1"/>
    <col min="3327" max="3327" width="11.85546875" style="539" customWidth="1"/>
    <col min="3328" max="3328" width="8.42578125" style="539" bestFit="1" customWidth="1"/>
    <col min="3329" max="3331" width="0" style="539" hidden="1" customWidth="1"/>
    <col min="3332" max="3332" width="6" style="539" bestFit="1" customWidth="1"/>
    <col min="3333" max="3333" width="9.5703125" style="539" customWidth="1"/>
    <col min="3334" max="3334" width="9.85546875" style="539" customWidth="1"/>
    <col min="3335" max="3335" width="9.7109375" style="539" customWidth="1"/>
    <col min="3336" max="3336" width="9.5703125" style="539" customWidth="1"/>
    <col min="3337" max="3337" width="9.85546875" style="539" customWidth="1"/>
    <col min="3338" max="3338" width="6.5703125" style="539" customWidth="1"/>
    <col min="3339" max="3339" width="6" style="539" bestFit="1" customWidth="1"/>
    <col min="3340" max="3340" width="6.28515625" style="539" customWidth="1"/>
    <col min="3341" max="3341" width="11.7109375" style="539" customWidth="1"/>
    <col min="3342" max="3342" width="0" style="539" hidden="1" customWidth="1"/>
    <col min="3343" max="3343" width="14.5703125" style="539" customWidth="1"/>
    <col min="3344" max="3344" width="11.85546875" style="539" customWidth="1"/>
    <col min="3345" max="3579" width="9.140625" style="539"/>
    <col min="3580" max="3580" width="2.85546875" style="539" customWidth="1"/>
    <col min="3581" max="3581" width="50.7109375" style="539" customWidth="1"/>
    <col min="3582" max="3582" width="9.42578125" style="539" customWidth="1"/>
    <col min="3583" max="3583" width="11.85546875" style="539" customWidth="1"/>
    <col min="3584" max="3584" width="8.42578125" style="539" bestFit="1" customWidth="1"/>
    <col min="3585" max="3587" width="0" style="539" hidden="1" customWidth="1"/>
    <col min="3588" max="3588" width="6" style="539" bestFit="1" customWidth="1"/>
    <col min="3589" max="3589" width="9.5703125" style="539" customWidth="1"/>
    <col min="3590" max="3590" width="9.85546875" style="539" customWidth="1"/>
    <col min="3591" max="3591" width="9.7109375" style="539" customWidth="1"/>
    <col min="3592" max="3592" width="9.5703125" style="539" customWidth="1"/>
    <col min="3593" max="3593" width="9.85546875" style="539" customWidth="1"/>
    <col min="3594" max="3594" width="6.5703125" style="539" customWidth="1"/>
    <col min="3595" max="3595" width="6" style="539" bestFit="1" customWidth="1"/>
    <col min="3596" max="3596" width="6.28515625" style="539" customWidth="1"/>
    <col min="3597" max="3597" width="11.7109375" style="539" customWidth="1"/>
    <col min="3598" max="3598" width="0" style="539" hidden="1" customWidth="1"/>
    <col min="3599" max="3599" width="14.5703125" style="539" customWidth="1"/>
    <col min="3600" max="3600" width="11.85546875" style="539" customWidth="1"/>
    <col min="3601" max="3835" width="9.140625" style="539"/>
    <col min="3836" max="3836" width="2.85546875" style="539" customWidth="1"/>
    <col min="3837" max="3837" width="50.7109375" style="539" customWidth="1"/>
    <col min="3838" max="3838" width="9.42578125" style="539" customWidth="1"/>
    <col min="3839" max="3839" width="11.85546875" style="539" customWidth="1"/>
    <col min="3840" max="3840" width="8.42578125" style="539" bestFit="1" customWidth="1"/>
    <col min="3841" max="3843" width="0" style="539" hidden="1" customWidth="1"/>
    <col min="3844" max="3844" width="6" style="539" bestFit="1" customWidth="1"/>
    <col min="3845" max="3845" width="9.5703125" style="539" customWidth="1"/>
    <col min="3846" max="3846" width="9.85546875" style="539" customWidth="1"/>
    <col min="3847" max="3847" width="9.7109375" style="539" customWidth="1"/>
    <col min="3848" max="3848" width="9.5703125" style="539" customWidth="1"/>
    <col min="3849" max="3849" width="9.85546875" style="539" customWidth="1"/>
    <col min="3850" max="3850" width="6.5703125" style="539" customWidth="1"/>
    <col min="3851" max="3851" width="6" style="539" bestFit="1" customWidth="1"/>
    <col min="3852" max="3852" width="6.28515625" style="539" customWidth="1"/>
    <col min="3853" max="3853" width="11.7109375" style="539" customWidth="1"/>
    <col min="3854" max="3854" width="0" style="539" hidden="1" customWidth="1"/>
    <col min="3855" max="3855" width="14.5703125" style="539" customWidth="1"/>
    <col min="3856" max="3856" width="11.85546875" style="539" customWidth="1"/>
    <col min="3857" max="4091" width="9.140625" style="539"/>
    <col min="4092" max="4092" width="2.85546875" style="539" customWidth="1"/>
    <col min="4093" max="4093" width="50.7109375" style="539" customWidth="1"/>
    <col min="4094" max="4094" width="9.42578125" style="539" customWidth="1"/>
    <col min="4095" max="4095" width="11.85546875" style="539" customWidth="1"/>
    <col min="4096" max="4096" width="8.42578125" style="539" bestFit="1" customWidth="1"/>
    <col min="4097" max="4099" width="0" style="539" hidden="1" customWidth="1"/>
    <col min="4100" max="4100" width="6" style="539" bestFit="1" customWidth="1"/>
    <col min="4101" max="4101" width="9.5703125" style="539" customWidth="1"/>
    <col min="4102" max="4102" width="9.85546875" style="539" customWidth="1"/>
    <col min="4103" max="4103" width="9.7109375" style="539" customWidth="1"/>
    <col min="4104" max="4104" width="9.5703125" style="539" customWidth="1"/>
    <col min="4105" max="4105" width="9.85546875" style="539" customWidth="1"/>
    <col min="4106" max="4106" width="6.5703125" style="539" customWidth="1"/>
    <col min="4107" max="4107" width="6" style="539" bestFit="1" customWidth="1"/>
    <col min="4108" max="4108" width="6.28515625" style="539" customWidth="1"/>
    <col min="4109" max="4109" width="11.7109375" style="539" customWidth="1"/>
    <col min="4110" max="4110" width="0" style="539" hidden="1" customWidth="1"/>
    <col min="4111" max="4111" width="14.5703125" style="539" customWidth="1"/>
    <col min="4112" max="4112" width="11.85546875" style="539" customWidth="1"/>
    <col min="4113" max="4347" width="9.140625" style="539"/>
    <col min="4348" max="4348" width="2.85546875" style="539" customWidth="1"/>
    <col min="4349" max="4349" width="50.7109375" style="539" customWidth="1"/>
    <col min="4350" max="4350" width="9.42578125" style="539" customWidth="1"/>
    <col min="4351" max="4351" width="11.85546875" style="539" customWidth="1"/>
    <col min="4352" max="4352" width="8.42578125" style="539" bestFit="1" customWidth="1"/>
    <col min="4353" max="4355" width="0" style="539" hidden="1" customWidth="1"/>
    <col min="4356" max="4356" width="6" style="539" bestFit="1" customWidth="1"/>
    <col min="4357" max="4357" width="9.5703125" style="539" customWidth="1"/>
    <col min="4358" max="4358" width="9.85546875" style="539" customWidth="1"/>
    <col min="4359" max="4359" width="9.7109375" style="539" customWidth="1"/>
    <col min="4360" max="4360" width="9.5703125" style="539" customWidth="1"/>
    <col min="4361" max="4361" width="9.85546875" style="539" customWidth="1"/>
    <col min="4362" max="4362" width="6.5703125" style="539" customWidth="1"/>
    <col min="4363" max="4363" width="6" style="539" bestFit="1" customWidth="1"/>
    <col min="4364" max="4364" width="6.28515625" style="539" customWidth="1"/>
    <col min="4365" max="4365" width="11.7109375" style="539" customWidth="1"/>
    <col min="4366" max="4366" width="0" style="539" hidden="1" customWidth="1"/>
    <col min="4367" max="4367" width="14.5703125" style="539" customWidth="1"/>
    <col min="4368" max="4368" width="11.85546875" style="539" customWidth="1"/>
    <col min="4369" max="4603" width="9.140625" style="539"/>
    <col min="4604" max="4604" width="2.85546875" style="539" customWidth="1"/>
    <col min="4605" max="4605" width="50.7109375" style="539" customWidth="1"/>
    <col min="4606" max="4606" width="9.42578125" style="539" customWidth="1"/>
    <col min="4607" max="4607" width="11.85546875" style="539" customWidth="1"/>
    <col min="4608" max="4608" width="8.42578125" style="539" bestFit="1" customWidth="1"/>
    <col min="4609" max="4611" width="0" style="539" hidden="1" customWidth="1"/>
    <col min="4612" max="4612" width="6" style="539" bestFit="1" customWidth="1"/>
    <col min="4613" max="4613" width="9.5703125" style="539" customWidth="1"/>
    <col min="4614" max="4614" width="9.85546875" style="539" customWidth="1"/>
    <col min="4615" max="4615" width="9.7109375" style="539" customWidth="1"/>
    <col min="4616" max="4616" width="9.5703125" style="539" customWidth="1"/>
    <col min="4617" max="4617" width="9.85546875" style="539" customWidth="1"/>
    <col min="4618" max="4618" width="6.5703125" style="539" customWidth="1"/>
    <col min="4619" max="4619" width="6" style="539" bestFit="1" customWidth="1"/>
    <col min="4620" max="4620" width="6.28515625" style="539" customWidth="1"/>
    <col min="4621" max="4621" width="11.7109375" style="539" customWidth="1"/>
    <col min="4622" max="4622" width="0" style="539" hidden="1" customWidth="1"/>
    <col min="4623" max="4623" width="14.5703125" style="539" customWidth="1"/>
    <col min="4624" max="4624" width="11.85546875" style="539" customWidth="1"/>
    <col min="4625" max="4859" width="9.140625" style="539"/>
    <col min="4860" max="4860" width="2.85546875" style="539" customWidth="1"/>
    <col min="4861" max="4861" width="50.7109375" style="539" customWidth="1"/>
    <col min="4862" max="4862" width="9.42578125" style="539" customWidth="1"/>
    <col min="4863" max="4863" width="11.85546875" style="539" customWidth="1"/>
    <col min="4864" max="4864" width="8.42578125" style="539" bestFit="1" customWidth="1"/>
    <col min="4865" max="4867" width="0" style="539" hidden="1" customWidth="1"/>
    <col min="4868" max="4868" width="6" style="539" bestFit="1" customWidth="1"/>
    <col min="4869" max="4869" width="9.5703125" style="539" customWidth="1"/>
    <col min="4870" max="4870" width="9.85546875" style="539" customWidth="1"/>
    <col min="4871" max="4871" width="9.7109375" style="539" customWidth="1"/>
    <col min="4872" max="4872" width="9.5703125" style="539" customWidth="1"/>
    <col min="4873" max="4873" width="9.85546875" style="539" customWidth="1"/>
    <col min="4874" max="4874" width="6.5703125" style="539" customWidth="1"/>
    <col min="4875" max="4875" width="6" style="539" bestFit="1" customWidth="1"/>
    <col min="4876" max="4876" width="6.28515625" style="539" customWidth="1"/>
    <col min="4877" max="4877" width="11.7109375" style="539" customWidth="1"/>
    <col min="4878" max="4878" width="0" style="539" hidden="1" customWidth="1"/>
    <col min="4879" max="4879" width="14.5703125" style="539" customWidth="1"/>
    <col min="4880" max="4880" width="11.85546875" style="539" customWidth="1"/>
    <col min="4881" max="5115" width="9.140625" style="539"/>
    <col min="5116" max="5116" width="2.85546875" style="539" customWidth="1"/>
    <col min="5117" max="5117" width="50.7109375" style="539" customWidth="1"/>
    <col min="5118" max="5118" width="9.42578125" style="539" customWidth="1"/>
    <col min="5119" max="5119" width="11.85546875" style="539" customWidth="1"/>
    <col min="5120" max="5120" width="8.42578125" style="539" bestFit="1" customWidth="1"/>
    <col min="5121" max="5123" width="0" style="539" hidden="1" customWidth="1"/>
    <col min="5124" max="5124" width="6" style="539" bestFit="1" customWidth="1"/>
    <col min="5125" max="5125" width="9.5703125" style="539" customWidth="1"/>
    <col min="5126" max="5126" width="9.85546875" style="539" customWidth="1"/>
    <col min="5127" max="5127" width="9.7109375" style="539" customWidth="1"/>
    <col min="5128" max="5128" width="9.5703125" style="539" customWidth="1"/>
    <col min="5129" max="5129" width="9.85546875" style="539" customWidth="1"/>
    <col min="5130" max="5130" width="6.5703125" style="539" customWidth="1"/>
    <col min="5131" max="5131" width="6" style="539" bestFit="1" customWidth="1"/>
    <col min="5132" max="5132" width="6.28515625" style="539" customWidth="1"/>
    <col min="5133" max="5133" width="11.7109375" style="539" customWidth="1"/>
    <col min="5134" max="5134" width="0" style="539" hidden="1" customWidth="1"/>
    <col min="5135" max="5135" width="14.5703125" style="539" customWidth="1"/>
    <col min="5136" max="5136" width="11.85546875" style="539" customWidth="1"/>
    <col min="5137" max="5371" width="9.140625" style="539"/>
    <col min="5372" max="5372" width="2.85546875" style="539" customWidth="1"/>
    <col min="5373" max="5373" width="50.7109375" style="539" customWidth="1"/>
    <col min="5374" max="5374" width="9.42578125" style="539" customWidth="1"/>
    <col min="5375" max="5375" width="11.85546875" style="539" customWidth="1"/>
    <col min="5376" max="5376" width="8.42578125" style="539" bestFit="1" customWidth="1"/>
    <col min="5377" max="5379" width="0" style="539" hidden="1" customWidth="1"/>
    <col min="5380" max="5380" width="6" style="539" bestFit="1" customWidth="1"/>
    <col min="5381" max="5381" width="9.5703125" style="539" customWidth="1"/>
    <col min="5382" max="5382" width="9.85546875" style="539" customWidth="1"/>
    <col min="5383" max="5383" width="9.7109375" style="539" customWidth="1"/>
    <col min="5384" max="5384" width="9.5703125" style="539" customWidth="1"/>
    <col min="5385" max="5385" width="9.85546875" style="539" customWidth="1"/>
    <col min="5386" max="5386" width="6.5703125" style="539" customWidth="1"/>
    <col min="5387" max="5387" width="6" style="539" bestFit="1" customWidth="1"/>
    <col min="5388" max="5388" width="6.28515625" style="539" customWidth="1"/>
    <col min="5389" max="5389" width="11.7109375" style="539" customWidth="1"/>
    <col min="5390" max="5390" width="0" style="539" hidden="1" customWidth="1"/>
    <col min="5391" max="5391" width="14.5703125" style="539" customWidth="1"/>
    <col min="5392" max="5392" width="11.85546875" style="539" customWidth="1"/>
    <col min="5393" max="5627" width="9.140625" style="539"/>
    <col min="5628" max="5628" width="2.85546875" style="539" customWidth="1"/>
    <col min="5629" max="5629" width="50.7109375" style="539" customWidth="1"/>
    <col min="5630" max="5630" width="9.42578125" style="539" customWidth="1"/>
    <col min="5631" max="5631" width="11.85546875" style="539" customWidth="1"/>
    <col min="5632" max="5632" width="8.42578125" style="539" bestFit="1" customWidth="1"/>
    <col min="5633" max="5635" width="0" style="539" hidden="1" customWidth="1"/>
    <col min="5636" max="5636" width="6" style="539" bestFit="1" customWidth="1"/>
    <col min="5637" max="5637" width="9.5703125" style="539" customWidth="1"/>
    <col min="5638" max="5638" width="9.85546875" style="539" customWidth="1"/>
    <col min="5639" max="5639" width="9.7109375" style="539" customWidth="1"/>
    <col min="5640" max="5640" width="9.5703125" style="539" customWidth="1"/>
    <col min="5641" max="5641" width="9.85546875" style="539" customWidth="1"/>
    <col min="5642" max="5642" width="6.5703125" style="539" customWidth="1"/>
    <col min="5643" max="5643" width="6" style="539" bestFit="1" customWidth="1"/>
    <col min="5644" max="5644" width="6.28515625" style="539" customWidth="1"/>
    <col min="5645" max="5645" width="11.7109375" style="539" customWidth="1"/>
    <col min="5646" max="5646" width="0" style="539" hidden="1" customWidth="1"/>
    <col min="5647" max="5647" width="14.5703125" style="539" customWidth="1"/>
    <col min="5648" max="5648" width="11.85546875" style="539" customWidth="1"/>
    <col min="5649" max="5883" width="9.140625" style="539"/>
    <col min="5884" max="5884" width="2.85546875" style="539" customWidth="1"/>
    <col min="5885" max="5885" width="50.7109375" style="539" customWidth="1"/>
    <col min="5886" max="5886" width="9.42578125" style="539" customWidth="1"/>
    <col min="5887" max="5887" width="11.85546875" style="539" customWidth="1"/>
    <col min="5888" max="5888" width="8.42578125" style="539" bestFit="1" customWidth="1"/>
    <col min="5889" max="5891" width="0" style="539" hidden="1" customWidth="1"/>
    <col min="5892" max="5892" width="6" style="539" bestFit="1" customWidth="1"/>
    <col min="5893" max="5893" width="9.5703125" style="539" customWidth="1"/>
    <col min="5894" max="5894" width="9.85546875" style="539" customWidth="1"/>
    <col min="5895" max="5895" width="9.7109375" style="539" customWidth="1"/>
    <col min="5896" max="5896" width="9.5703125" style="539" customWidth="1"/>
    <col min="5897" max="5897" width="9.85546875" style="539" customWidth="1"/>
    <col min="5898" max="5898" width="6.5703125" style="539" customWidth="1"/>
    <col min="5899" max="5899" width="6" style="539" bestFit="1" customWidth="1"/>
    <col min="5900" max="5900" width="6.28515625" style="539" customWidth="1"/>
    <col min="5901" max="5901" width="11.7109375" style="539" customWidth="1"/>
    <col min="5902" max="5902" width="0" style="539" hidden="1" customWidth="1"/>
    <col min="5903" max="5903" width="14.5703125" style="539" customWidth="1"/>
    <col min="5904" max="5904" width="11.85546875" style="539" customWidth="1"/>
    <col min="5905" max="6139" width="9.140625" style="539"/>
    <col min="6140" max="6140" width="2.85546875" style="539" customWidth="1"/>
    <col min="6141" max="6141" width="50.7109375" style="539" customWidth="1"/>
    <col min="6142" max="6142" width="9.42578125" style="539" customWidth="1"/>
    <col min="6143" max="6143" width="11.85546875" style="539" customWidth="1"/>
    <col min="6144" max="6144" width="8.42578125" style="539" bestFit="1" customWidth="1"/>
    <col min="6145" max="6147" width="0" style="539" hidden="1" customWidth="1"/>
    <col min="6148" max="6148" width="6" style="539" bestFit="1" customWidth="1"/>
    <col min="6149" max="6149" width="9.5703125" style="539" customWidth="1"/>
    <col min="6150" max="6150" width="9.85546875" style="539" customWidth="1"/>
    <col min="6151" max="6151" width="9.7109375" style="539" customWidth="1"/>
    <col min="6152" max="6152" width="9.5703125" style="539" customWidth="1"/>
    <col min="6153" max="6153" width="9.85546875" style="539" customWidth="1"/>
    <col min="6154" max="6154" width="6.5703125" style="539" customWidth="1"/>
    <col min="6155" max="6155" width="6" style="539" bestFit="1" customWidth="1"/>
    <col min="6156" max="6156" width="6.28515625" style="539" customWidth="1"/>
    <col min="6157" max="6157" width="11.7109375" style="539" customWidth="1"/>
    <col min="6158" max="6158" width="0" style="539" hidden="1" customWidth="1"/>
    <col min="6159" max="6159" width="14.5703125" style="539" customWidth="1"/>
    <col min="6160" max="6160" width="11.85546875" style="539" customWidth="1"/>
    <col min="6161" max="6395" width="9.140625" style="539"/>
    <col min="6396" max="6396" width="2.85546875" style="539" customWidth="1"/>
    <col min="6397" max="6397" width="50.7109375" style="539" customWidth="1"/>
    <col min="6398" max="6398" width="9.42578125" style="539" customWidth="1"/>
    <col min="6399" max="6399" width="11.85546875" style="539" customWidth="1"/>
    <col min="6400" max="6400" width="8.42578125" style="539" bestFit="1" customWidth="1"/>
    <col min="6401" max="6403" width="0" style="539" hidden="1" customWidth="1"/>
    <col min="6404" max="6404" width="6" style="539" bestFit="1" customWidth="1"/>
    <col min="6405" max="6405" width="9.5703125" style="539" customWidth="1"/>
    <col min="6406" max="6406" width="9.85546875" style="539" customWidth="1"/>
    <col min="6407" max="6407" width="9.7109375" style="539" customWidth="1"/>
    <col min="6408" max="6408" width="9.5703125" style="539" customWidth="1"/>
    <col min="6409" max="6409" width="9.85546875" style="539" customWidth="1"/>
    <col min="6410" max="6410" width="6.5703125" style="539" customWidth="1"/>
    <col min="6411" max="6411" width="6" style="539" bestFit="1" customWidth="1"/>
    <col min="6412" max="6412" width="6.28515625" style="539" customWidth="1"/>
    <col min="6413" max="6413" width="11.7109375" style="539" customWidth="1"/>
    <col min="6414" max="6414" width="0" style="539" hidden="1" customWidth="1"/>
    <col min="6415" max="6415" width="14.5703125" style="539" customWidth="1"/>
    <col min="6416" max="6416" width="11.85546875" style="539" customWidth="1"/>
    <col min="6417" max="6651" width="9.140625" style="539"/>
    <col min="6652" max="6652" width="2.85546875" style="539" customWidth="1"/>
    <col min="6653" max="6653" width="50.7109375" style="539" customWidth="1"/>
    <col min="6654" max="6654" width="9.42578125" style="539" customWidth="1"/>
    <col min="6655" max="6655" width="11.85546875" style="539" customWidth="1"/>
    <col min="6656" max="6656" width="8.42578125" style="539" bestFit="1" customWidth="1"/>
    <col min="6657" max="6659" width="0" style="539" hidden="1" customWidth="1"/>
    <col min="6660" max="6660" width="6" style="539" bestFit="1" customWidth="1"/>
    <col min="6661" max="6661" width="9.5703125" style="539" customWidth="1"/>
    <col min="6662" max="6662" width="9.85546875" style="539" customWidth="1"/>
    <col min="6663" max="6663" width="9.7109375" style="539" customWidth="1"/>
    <col min="6664" max="6664" width="9.5703125" style="539" customWidth="1"/>
    <col min="6665" max="6665" width="9.85546875" style="539" customWidth="1"/>
    <col min="6666" max="6666" width="6.5703125" style="539" customWidth="1"/>
    <col min="6667" max="6667" width="6" style="539" bestFit="1" customWidth="1"/>
    <col min="6668" max="6668" width="6.28515625" style="539" customWidth="1"/>
    <col min="6669" max="6669" width="11.7109375" style="539" customWidth="1"/>
    <col min="6670" max="6670" width="0" style="539" hidden="1" customWidth="1"/>
    <col min="6671" max="6671" width="14.5703125" style="539" customWidth="1"/>
    <col min="6672" max="6672" width="11.85546875" style="539" customWidth="1"/>
    <col min="6673" max="6907" width="9.140625" style="539"/>
    <col min="6908" max="6908" width="2.85546875" style="539" customWidth="1"/>
    <col min="6909" max="6909" width="50.7109375" style="539" customWidth="1"/>
    <col min="6910" max="6910" width="9.42578125" style="539" customWidth="1"/>
    <col min="6911" max="6911" width="11.85546875" style="539" customWidth="1"/>
    <col min="6912" max="6912" width="8.42578125" style="539" bestFit="1" customWidth="1"/>
    <col min="6913" max="6915" width="0" style="539" hidden="1" customWidth="1"/>
    <col min="6916" max="6916" width="6" style="539" bestFit="1" customWidth="1"/>
    <col min="6917" max="6917" width="9.5703125" style="539" customWidth="1"/>
    <col min="6918" max="6918" width="9.85546875" style="539" customWidth="1"/>
    <col min="6919" max="6919" width="9.7109375" style="539" customWidth="1"/>
    <col min="6920" max="6920" width="9.5703125" style="539" customWidth="1"/>
    <col min="6921" max="6921" width="9.85546875" style="539" customWidth="1"/>
    <col min="6922" max="6922" width="6.5703125" style="539" customWidth="1"/>
    <col min="6923" max="6923" width="6" style="539" bestFit="1" customWidth="1"/>
    <col min="6924" max="6924" width="6.28515625" style="539" customWidth="1"/>
    <col min="6925" max="6925" width="11.7109375" style="539" customWidth="1"/>
    <col min="6926" max="6926" width="0" style="539" hidden="1" customWidth="1"/>
    <col min="6927" max="6927" width="14.5703125" style="539" customWidth="1"/>
    <col min="6928" max="6928" width="11.85546875" style="539" customWidth="1"/>
    <col min="6929" max="7163" width="9.140625" style="539"/>
    <col min="7164" max="7164" width="2.85546875" style="539" customWidth="1"/>
    <col min="7165" max="7165" width="50.7109375" style="539" customWidth="1"/>
    <col min="7166" max="7166" width="9.42578125" style="539" customWidth="1"/>
    <col min="7167" max="7167" width="11.85546875" style="539" customWidth="1"/>
    <col min="7168" max="7168" width="8.42578125" style="539" bestFit="1" customWidth="1"/>
    <col min="7169" max="7171" width="0" style="539" hidden="1" customWidth="1"/>
    <col min="7172" max="7172" width="6" style="539" bestFit="1" customWidth="1"/>
    <col min="7173" max="7173" width="9.5703125" style="539" customWidth="1"/>
    <col min="7174" max="7174" width="9.85546875" style="539" customWidth="1"/>
    <col min="7175" max="7175" width="9.7109375" style="539" customWidth="1"/>
    <col min="7176" max="7176" width="9.5703125" style="539" customWidth="1"/>
    <col min="7177" max="7177" width="9.85546875" style="539" customWidth="1"/>
    <col min="7178" max="7178" width="6.5703125" style="539" customWidth="1"/>
    <col min="7179" max="7179" width="6" style="539" bestFit="1" customWidth="1"/>
    <col min="7180" max="7180" width="6.28515625" style="539" customWidth="1"/>
    <col min="7181" max="7181" width="11.7109375" style="539" customWidth="1"/>
    <col min="7182" max="7182" width="0" style="539" hidden="1" customWidth="1"/>
    <col min="7183" max="7183" width="14.5703125" style="539" customWidth="1"/>
    <col min="7184" max="7184" width="11.85546875" style="539" customWidth="1"/>
    <col min="7185" max="7419" width="9.140625" style="539"/>
    <col min="7420" max="7420" width="2.85546875" style="539" customWidth="1"/>
    <col min="7421" max="7421" width="50.7109375" style="539" customWidth="1"/>
    <col min="7422" max="7422" width="9.42578125" style="539" customWidth="1"/>
    <col min="7423" max="7423" width="11.85546875" style="539" customWidth="1"/>
    <col min="7424" max="7424" width="8.42578125" style="539" bestFit="1" customWidth="1"/>
    <col min="7425" max="7427" width="0" style="539" hidden="1" customWidth="1"/>
    <col min="7428" max="7428" width="6" style="539" bestFit="1" customWidth="1"/>
    <col min="7429" max="7429" width="9.5703125" style="539" customWidth="1"/>
    <col min="7430" max="7430" width="9.85546875" style="539" customWidth="1"/>
    <col min="7431" max="7431" width="9.7109375" style="539" customWidth="1"/>
    <col min="7432" max="7432" width="9.5703125" style="539" customWidth="1"/>
    <col min="7433" max="7433" width="9.85546875" style="539" customWidth="1"/>
    <col min="7434" max="7434" width="6.5703125" style="539" customWidth="1"/>
    <col min="7435" max="7435" width="6" style="539" bestFit="1" customWidth="1"/>
    <col min="7436" max="7436" width="6.28515625" style="539" customWidth="1"/>
    <col min="7437" max="7437" width="11.7109375" style="539" customWidth="1"/>
    <col min="7438" max="7438" width="0" style="539" hidden="1" customWidth="1"/>
    <col min="7439" max="7439" width="14.5703125" style="539" customWidth="1"/>
    <col min="7440" max="7440" width="11.85546875" style="539" customWidth="1"/>
    <col min="7441" max="7675" width="9.140625" style="539"/>
    <col min="7676" max="7676" width="2.85546875" style="539" customWidth="1"/>
    <col min="7677" max="7677" width="50.7109375" style="539" customWidth="1"/>
    <col min="7678" max="7678" width="9.42578125" style="539" customWidth="1"/>
    <col min="7679" max="7679" width="11.85546875" style="539" customWidth="1"/>
    <col min="7680" max="7680" width="8.42578125" style="539" bestFit="1" customWidth="1"/>
    <col min="7681" max="7683" width="0" style="539" hidden="1" customWidth="1"/>
    <col min="7684" max="7684" width="6" style="539" bestFit="1" customWidth="1"/>
    <col min="7685" max="7685" width="9.5703125" style="539" customWidth="1"/>
    <col min="7686" max="7686" width="9.85546875" style="539" customWidth="1"/>
    <col min="7687" max="7687" width="9.7109375" style="539" customWidth="1"/>
    <col min="7688" max="7688" width="9.5703125" style="539" customWidth="1"/>
    <col min="7689" max="7689" width="9.85546875" style="539" customWidth="1"/>
    <col min="7690" max="7690" width="6.5703125" style="539" customWidth="1"/>
    <col min="7691" max="7691" width="6" style="539" bestFit="1" customWidth="1"/>
    <col min="7692" max="7692" width="6.28515625" style="539" customWidth="1"/>
    <col min="7693" max="7693" width="11.7109375" style="539" customWidth="1"/>
    <col min="7694" max="7694" width="0" style="539" hidden="1" customWidth="1"/>
    <col min="7695" max="7695" width="14.5703125" style="539" customWidth="1"/>
    <col min="7696" max="7696" width="11.85546875" style="539" customWidth="1"/>
    <col min="7697" max="7931" width="9.140625" style="539"/>
    <col min="7932" max="7932" width="2.85546875" style="539" customWidth="1"/>
    <col min="7933" max="7933" width="50.7109375" style="539" customWidth="1"/>
    <col min="7934" max="7934" width="9.42578125" style="539" customWidth="1"/>
    <col min="7935" max="7935" width="11.85546875" style="539" customWidth="1"/>
    <col min="7936" max="7936" width="8.42578125" style="539" bestFit="1" customWidth="1"/>
    <col min="7937" max="7939" width="0" style="539" hidden="1" customWidth="1"/>
    <col min="7940" max="7940" width="6" style="539" bestFit="1" customWidth="1"/>
    <col min="7941" max="7941" width="9.5703125" style="539" customWidth="1"/>
    <col min="7942" max="7942" width="9.85546875" style="539" customWidth="1"/>
    <col min="7943" max="7943" width="9.7109375" style="539" customWidth="1"/>
    <col min="7944" max="7944" width="9.5703125" style="539" customWidth="1"/>
    <col min="7945" max="7945" width="9.85546875" style="539" customWidth="1"/>
    <col min="7946" max="7946" width="6.5703125" style="539" customWidth="1"/>
    <col min="7947" max="7947" width="6" style="539" bestFit="1" customWidth="1"/>
    <col min="7948" max="7948" width="6.28515625" style="539" customWidth="1"/>
    <col min="7949" max="7949" width="11.7109375" style="539" customWidth="1"/>
    <col min="7950" max="7950" width="0" style="539" hidden="1" customWidth="1"/>
    <col min="7951" max="7951" width="14.5703125" style="539" customWidth="1"/>
    <col min="7952" max="7952" width="11.85546875" style="539" customWidth="1"/>
    <col min="7953" max="8187" width="9.140625" style="539"/>
    <col min="8188" max="8188" width="2.85546875" style="539" customWidth="1"/>
    <col min="8189" max="8189" width="50.7109375" style="539" customWidth="1"/>
    <col min="8190" max="8190" width="9.42578125" style="539" customWidth="1"/>
    <col min="8191" max="8191" width="11.85546875" style="539" customWidth="1"/>
    <col min="8192" max="8192" width="8.42578125" style="539" bestFit="1" customWidth="1"/>
    <col min="8193" max="8195" width="0" style="539" hidden="1" customWidth="1"/>
    <col min="8196" max="8196" width="6" style="539" bestFit="1" customWidth="1"/>
    <col min="8197" max="8197" width="9.5703125" style="539" customWidth="1"/>
    <col min="8198" max="8198" width="9.85546875" style="539" customWidth="1"/>
    <col min="8199" max="8199" width="9.7109375" style="539" customWidth="1"/>
    <col min="8200" max="8200" width="9.5703125" style="539" customWidth="1"/>
    <col min="8201" max="8201" width="9.85546875" style="539" customWidth="1"/>
    <col min="8202" max="8202" width="6.5703125" style="539" customWidth="1"/>
    <col min="8203" max="8203" width="6" style="539" bestFit="1" customWidth="1"/>
    <col min="8204" max="8204" width="6.28515625" style="539" customWidth="1"/>
    <col min="8205" max="8205" width="11.7109375" style="539" customWidth="1"/>
    <col min="8206" max="8206" width="0" style="539" hidden="1" customWidth="1"/>
    <col min="8207" max="8207" width="14.5703125" style="539" customWidth="1"/>
    <col min="8208" max="8208" width="11.85546875" style="539" customWidth="1"/>
    <col min="8209" max="8443" width="9.140625" style="539"/>
    <col min="8444" max="8444" width="2.85546875" style="539" customWidth="1"/>
    <col min="8445" max="8445" width="50.7109375" style="539" customWidth="1"/>
    <col min="8446" max="8446" width="9.42578125" style="539" customWidth="1"/>
    <col min="8447" max="8447" width="11.85546875" style="539" customWidth="1"/>
    <col min="8448" max="8448" width="8.42578125" style="539" bestFit="1" customWidth="1"/>
    <col min="8449" max="8451" width="0" style="539" hidden="1" customWidth="1"/>
    <col min="8452" max="8452" width="6" style="539" bestFit="1" customWidth="1"/>
    <col min="8453" max="8453" width="9.5703125" style="539" customWidth="1"/>
    <col min="8454" max="8454" width="9.85546875" style="539" customWidth="1"/>
    <col min="8455" max="8455" width="9.7109375" style="539" customWidth="1"/>
    <col min="8456" max="8456" width="9.5703125" style="539" customWidth="1"/>
    <col min="8457" max="8457" width="9.85546875" style="539" customWidth="1"/>
    <col min="8458" max="8458" width="6.5703125" style="539" customWidth="1"/>
    <col min="8459" max="8459" width="6" style="539" bestFit="1" customWidth="1"/>
    <col min="8460" max="8460" width="6.28515625" style="539" customWidth="1"/>
    <col min="8461" max="8461" width="11.7109375" style="539" customWidth="1"/>
    <col min="8462" max="8462" width="0" style="539" hidden="1" customWidth="1"/>
    <col min="8463" max="8463" width="14.5703125" style="539" customWidth="1"/>
    <col min="8464" max="8464" width="11.85546875" style="539" customWidth="1"/>
    <col min="8465" max="8699" width="9.140625" style="539"/>
    <col min="8700" max="8700" width="2.85546875" style="539" customWidth="1"/>
    <col min="8701" max="8701" width="50.7109375" style="539" customWidth="1"/>
    <col min="8702" max="8702" width="9.42578125" style="539" customWidth="1"/>
    <col min="8703" max="8703" width="11.85546875" style="539" customWidth="1"/>
    <col min="8704" max="8704" width="8.42578125" style="539" bestFit="1" customWidth="1"/>
    <col min="8705" max="8707" width="0" style="539" hidden="1" customWidth="1"/>
    <col min="8708" max="8708" width="6" style="539" bestFit="1" customWidth="1"/>
    <col min="8709" max="8709" width="9.5703125" style="539" customWidth="1"/>
    <col min="8710" max="8710" width="9.85546875" style="539" customWidth="1"/>
    <col min="8711" max="8711" width="9.7109375" style="539" customWidth="1"/>
    <col min="8712" max="8712" width="9.5703125" style="539" customWidth="1"/>
    <col min="8713" max="8713" width="9.85546875" style="539" customWidth="1"/>
    <col min="8714" max="8714" width="6.5703125" style="539" customWidth="1"/>
    <col min="8715" max="8715" width="6" style="539" bestFit="1" customWidth="1"/>
    <col min="8716" max="8716" width="6.28515625" style="539" customWidth="1"/>
    <col min="8717" max="8717" width="11.7109375" style="539" customWidth="1"/>
    <col min="8718" max="8718" width="0" style="539" hidden="1" customWidth="1"/>
    <col min="8719" max="8719" width="14.5703125" style="539" customWidth="1"/>
    <col min="8720" max="8720" width="11.85546875" style="539" customWidth="1"/>
    <col min="8721" max="8955" width="9.140625" style="539"/>
    <col min="8956" max="8956" width="2.85546875" style="539" customWidth="1"/>
    <col min="8957" max="8957" width="50.7109375" style="539" customWidth="1"/>
    <col min="8958" max="8958" width="9.42578125" style="539" customWidth="1"/>
    <col min="8959" max="8959" width="11.85546875" style="539" customWidth="1"/>
    <col min="8960" max="8960" width="8.42578125" style="539" bestFit="1" customWidth="1"/>
    <col min="8961" max="8963" width="0" style="539" hidden="1" customWidth="1"/>
    <col min="8964" max="8964" width="6" style="539" bestFit="1" customWidth="1"/>
    <col min="8965" max="8965" width="9.5703125" style="539" customWidth="1"/>
    <col min="8966" max="8966" width="9.85546875" style="539" customWidth="1"/>
    <col min="8967" max="8967" width="9.7109375" style="539" customWidth="1"/>
    <col min="8968" max="8968" width="9.5703125" style="539" customWidth="1"/>
    <col min="8969" max="8969" width="9.85546875" style="539" customWidth="1"/>
    <col min="8970" max="8970" width="6.5703125" style="539" customWidth="1"/>
    <col min="8971" max="8971" width="6" style="539" bestFit="1" customWidth="1"/>
    <col min="8972" max="8972" width="6.28515625" style="539" customWidth="1"/>
    <col min="8973" max="8973" width="11.7109375" style="539" customWidth="1"/>
    <col min="8974" max="8974" width="0" style="539" hidden="1" customWidth="1"/>
    <col min="8975" max="8975" width="14.5703125" style="539" customWidth="1"/>
    <col min="8976" max="8976" width="11.85546875" style="539" customWidth="1"/>
    <col min="8977" max="9211" width="9.140625" style="539"/>
    <col min="9212" max="9212" width="2.85546875" style="539" customWidth="1"/>
    <col min="9213" max="9213" width="50.7109375" style="539" customWidth="1"/>
    <col min="9214" max="9214" width="9.42578125" style="539" customWidth="1"/>
    <col min="9215" max="9215" width="11.85546875" style="539" customWidth="1"/>
    <col min="9216" max="9216" width="8.42578125" style="539" bestFit="1" customWidth="1"/>
    <col min="9217" max="9219" width="0" style="539" hidden="1" customWidth="1"/>
    <col min="9220" max="9220" width="6" style="539" bestFit="1" customWidth="1"/>
    <col min="9221" max="9221" width="9.5703125" style="539" customWidth="1"/>
    <col min="9222" max="9222" width="9.85546875" style="539" customWidth="1"/>
    <col min="9223" max="9223" width="9.7109375" style="539" customWidth="1"/>
    <col min="9224" max="9224" width="9.5703125" style="539" customWidth="1"/>
    <col min="9225" max="9225" width="9.85546875" style="539" customWidth="1"/>
    <col min="9226" max="9226" width="6.5703125" style="539" customWidth="1"/>
    <col min="9227" max="9227" width="6" style="539" bestFit="1" customWidth="1"/>
    <col min="9228" max="9228" width="6.28515625" style="539" customWidth="1"/>
    <col min="9229" max="9229" width="11.7109375" style="539" customWidth="1"/>
    <col min="9230" max="9230" width="0" style="539" hidden="1" customWidth="1"/>
    <col min="9231" max="9231" width="14.5703125" style="539" customWidth="1"/>
    <col min="9232" max="9232" width="11.85546875" style="539" customWidth="1"/>
    <col min="9233" max="9467" width="9.140625" style="539"/>
    <col min="9468" max="9468" width="2.85546875" style="539" customWidth="1"/>
    <col min="9469" max="9469" width="50.7109375" style="539" customWidth="1"/>
    <col min="9470" max="9470" width="9.42578125" style="539" customWidth="1"/>
    <col min="9471" max="9471" width="11.85546875" style="539" customWidth="1"/>
    <col min="9472" max="9472" width="8.42578125" style="539" bestFit="1" customWidth="1"/>
    <col min="9473" max="9475" width="0" style="539" hidden="1" customWidth="1"/>
    <col min="9476" max="9476" width="6" style="539" bestFit="1" customWidth="1"/>
    <col min="9477" max="9477" width="9.5703125" style="539" customWidth="1"/>
    <col min="9478" max="9478" width="9.85546875" style="539" customWidth="1"/>
    <col min="9479" max="9479" width="9.7109375" style="539" customWidth="1"/>
    <col min="9480" max="9480" width="9.5703125" style="539" customWidth="1"/>
    <col min="9481" max="9481" width="9.85546875" style="539" customWidth="1"/>
    <col min="9482" max="9482" width="6.5703125" style="539" customWidth="1"/>
    <col min="9483" max="9483" width="6" style="539" bestFit="1" customWidth="1"/>
    <col min="9484" max="9484" width="6.28515625" style="539" customWidth="1"/>
    <col min="9485" max="9485" width="11.7109375" style="539" customWidth="1"/>
    <col min="9486" max="9486" width="0" style="539" hidden="1" customWidth="1"/>
    <col min="9487" max="9487" width="14.5703125" style="539" customWidth="1"/>
    <col min="9488" max="9488" width="11.85546875" style="539" customWidth="1"/>
    <col min="9489" max="9723" width="9.140625" style="539"/>
    <col min="9724" max="9724" width="2.85546875" style="539" customWidth="1"/>
    <col min="9725" max="9725" width="50.7109375" style="539" customWidth="1"/>
    <col min="9726" max="9726" width="9.42578125" style="539" customWidth="1"/>
    <col min="9727" max="9727" width="11.85546875" style="539" customWidth="1"/>
    <col min="9728" max="9728" width="8.42578125" style="539" bestFit="1" customWidth="1"/>
    <col min="9729" max="9731" width="0" style="539" hidden="1" customWidth="1"/>
    <col min="9732" max="9732" width="6" style="539" bestFit="1" customWidth="1"/>
    <col min="9733" max="9733" width="9.5703125" style="539" customWidth="1"/>
    <col min="9734" max="9734" width="9.85546875" style="539" customWidth="1"/>
    <col min="9735" max="9735" width="9.7109375" style="539" customWidth="1"/>
    <col min="9736" max="9736" width="9.5703125" style="539" customWidth="1"/>
    <col min="9737" max="9737" width="9.85546875" style="539" customWidth="1"/>
    <col min="9738" max="9738" width="6.5703125" style="539" customWidth="1"/>
    <col min="9739" max="9739" width="6" style="539" bestFit="1" customWidth="1"/>
    <col min="9740" max="9740" width="6.28515625" style="539" customWidth="1"/>
    <col min="9741" max="9741" width="11.7109375" style="539" customWidth="1"/>
    <col min="9742" max="9742" width="0" style="539" hidden="1" customWidth="1"/>
    <col min="9743" max="9743" width="14.5703125" style="539" customWidth="1"/>
    <col min="9744" max="9744" width="11.85546875" style="539" customWidth="1"/>
    <col min="9745" max="9979" width="9.140625" style="539"/>
    <col min="9980" max="9980" width="2.85546875" style="539" customWidth="1"/>
    <col min="9981" max="9981" width="50.7109375" style="539" customWidth="1"/>
    <col min="9982" max="9982" width="9.42578125" style="539" customWidth="1"/>
    <col min="9983" max="9983" width="11.85546875" style="539" customWidth="1"/>
    <col min="9984" max="9984" width="8.42578125" style="539" bestFit="1" customWidth="1"/>
    <col min="9985" max="9987" width="0" style="539" hidden="1" customWidth="1"/>
    <col min="9988" max="9988" width="6" style="539" bestFit="1" customWidth="1"/>
    <col min="9989" max="9989" width="9.5703125" style="539" customWidth="1"/>
    <col min="9990" max="9990" width="9.85546875" style="539" customWidth="1"/>
    <col min="9991" max="9991" width="9.7109375" style="539" customWidth="1"/>
    <col min="9992" max="9992" width="9.5703125" style="539" customWidth="1"/>
    <col min="9993" max="9993" width="9.85546875" style="539" customWidth="1"/>
    <col min="9994" max="9994" width="6.5703125" style="539" customWidth="1"/>
    <col min="9995" max="9995" width="6" style="539" bestFit="1" customWidth="1"/>
    <col min="9996" max="9996" width="6.28515625" style="539" customWidth="1"/>
    <col min="9997" max="9997" width="11.7109375" style="539" customWidth="1"/>
    <col min="9998" max="9998" width="0" style="539" hidden="1" customWidth="1"/>
    <col min="9999" max="9999" width="14.5703125" style="539" customWidth="1"/>
    <col min="10000" max="10000" width="11.85546875" style="539" customWidth="1"/>
    <col min="10001" max="10235" width="9.140625" style="539"/>
    <col min="10236" max="10236" width="2.85546875" style="539" customWidth="1"/>
    <col min="10237" max="10237" width="50.7109375" style="539" customWidth="1"/>
    <col min="10238" max="10238" width="9.42578125" style="539" customWidth="1"/>
    <col min="10239" max="10239" width="11.85546875" style="539" customWidth="1"/>
    <col min="10240" max="10240" width="8.42578125" style="539" bestFit="1" customWidth="1"/>
    <col min="10241" max="10243" width="0" style="539" hidden="1" customWidth="1"/>
    <col min="10244" max="10244" width="6" style="539" bestFit="1" customWidth="1"/>
    <col min="10245" max="10245" width="9.5703125" style="539" customWidth="1"/>
    <col min="10246" max="10246" width="9.85546875" style="539" customWidth="1"/>
    <col min="10247" max="10247" width="9.7109375" style="539" customWidth="1"/>
    <col min="10248" max="10248" width="9.5703125" style="539" customWidth="1"/>
    <col min="10249" max="10249" width="9.85546875" style="539" customWidth="1"/>
    <col min="10250" max="10250" width="6.5703125" style="539" customWidth="1"/>
    <col min="10251" max="10251" width="6" style="539" bestFit="1" customWidth="1"/>
    <col min="10252" max="10252" width="6.28515625" style="539" customWidth="1"/>
    <col min="10253" max="10253" width="11.7109375" style="539" customWidth="1"/>
    <col min="10254" max="10254" width="0" style="539" hidden="1" customWidth="1"/>
    <col min="10255" max="10255" width="14.5703125" style="539" customWidth="1"/>
    <col min="10256" max="10256" width="11.85546875" style="539" customWidth="1"/>
    <col min="10257" max="10491" width="9.140625" style="539"/>
    <col min="10492" max="10492" width="2.85546875" style="539" customWidth="1"/>
    <col min="10493" max="10493" width="50.7109375" style="539" customWidth="1"/>
    <col min="10494" max="10494" width="9.42578125" style="539" customWidth="1"/>
    <col min="10495" max="10495" width="11.85546875" style="539" customWidth="1"/>
    <col min="10496" max="10496" width="8.42578125" style="539" bestFit="1" customWidth="1"/>
    <col min="10497" max="10499" width="0" style="539" hidden="1" customWidth="1"/>
    <col min="10500" max="10500" width="6" style="539" bestFit="1" customWidth="1"/>
    <col min="10501" max="10501" width="9.5703125" style="539" customWidth="1"/>
    <col min="10502" max="10502" width="9.85546875" style="539" customWidth="1"/>
    <col min="10503" max="10503" width="9.7109375" style="539" customWidth="1"/>
    <col min="10504" max="10504" width="9.5703125" style="539" customWidth="1"/>
    <col min="10505" max="10505" width="9.85546875" style="539" customWidth="1"/>
    <col min="10506" max="10506" width="6.5703125" style="539" customWidth="1"/>
    <col min="10507" max="10507" width="6" style="539" bestFit="1" customWidth="1"/>
    <col min="10508" max="10508" width="6.28515625" style="539" customWidth="1"/>
    <col min="10509" max="10509" width="11.7109375" style="539" customWidth="1"/>
    <col min="10510" max="10510" width="0" style="539" hidden="1" customWidth="1"/>
    <col min="10511" max="10511" width="14.5703125" style="539" customWidth="1"/>
    <col min="10512" max="10512" width="11.85546875" style="539" customWidth="1"/>
    <col min="10513" max="10747" width="9.140625" style="539"/>
    <col min="10748" max="10748" width="2.85546875" style="539" customWidth="1"/>
    <col min="10749" max="10749" width="50.7109375" style="539" customWidth="1"/>
    <col min="10750" max="10750" width="9.42578125" style="539" customWidth="1"/>
    <col min="10751" max="10751" width="11.85546875" style="539" customWidth="1"/>
    <col min="10752" max="10752" width="8.42578125" style="539" bestFit="1" customWidth="1"/>
    <col min="10753" max="10755" width="0" style="539" hidden="1" customWidth="1"/>
    <col min="10756" max="10756" width="6" style="539" bestFit="1" customWidth="1"/>
    <col min="10757" max="10757" width="9.5703125" style="539" customWidth="1"/>
    <col min="10758" max="10758" width="9.85546875" style="539" customWidth="1"/>
    <col min="10759" max="10759" width="9.7109375" style="539" customWidth="1"/>
    <col min="10760" max="10760" width="9.5703125" style="539" customWidth="1"/>
    <col min="10761" max="10761" width="9.85546875" style="539" customWidth="1"/>
    <col min="10762" max="10762" width="6.5703125" style="539" customWidth="1"/>
    <col min="10763" max="10763" width="6" style="539" bestFit="1" customWidth="1"/>
    <col min="10764" max="10764" width="6.28515625" style="539" customWidth="1"/>
    <col min="10765" max="10765" width="11.7109375" style="539" customWidth="1"/>
    <col min="10766" max="10766" width="0" style="539" hidden="1" customWidth="1"/>
    <col min="10767" max="10767" width="14.5703125" style="539" customWidth="1"/>
    <col min="10768" max="10768" width="11.85546875" style="539" customWidth="1"/>
    <col min="10769" max="11003" width="9.140625" style="539"/>
    <col min="11004" max="11004" width="2.85546875" style="539" customWidth="1"/>
    <col min="11005" max="11005" width="50.7109375" style="539" customWidth="1"/>
    <col min="11006" max="11006" width="9.42578125" style="539" customWidth="1"/>
    <col min="11007" max="11007" width="11.85546875" style="539" customWidth="1"/>
    <col min="11008" max="11008" width="8.42578125" style="539" bestFit="1" customWidth="1"/>
    <col min="11009" max="11011" width="0" style="539" hidden="1" customWidth="1"/>
    <col min="11012" max="11012" width="6" style="539" bestFit="1" customWidth="1"/>
    <col min="11013" max="11013" width="9.5703125" style="539" customWidth="1"/>
    <col min="11014" max="11014" width="9.85546875" style="539" customWidth="1"/>
    <col min="11015" max="11015" width="9.7109375" style="539" customWidth="1"/>
    <col min="11016" max="11016" width="9.5703125" style="539" customWidth="1"/>
    <col min="11017" max="11017" width="9.85546875" style="539" customWidth="1"/>
    <col min="11018" max="11018" width="6.5703125" style="539" customWidth="1"/>
    <col min="11019" max="11019" width="6" style="539" bestFit="1" customWidth="1"/>
    <col min="11020" max="11020" width="6.28515625" style="539" customWidth="1"/>
    <col min="11021" max="11021" width="11.7109375" style="539" customWidth="1"/>
    <col min="11022" max="11022" width="0" style="539" hidden="1" customWidth="1"/>
    <col min="11023" max="11023" width="14.5703125" style="539" customWidth="1"/>
    <col min="11024" max="11024" width="11.85546875" style="539" customWidth="1"/>
    <col min="11025" max="11259" width="9.140625" style="539"/>
    <col min="11260" max="11260" width="2.85546875" style="539" customWidth="1"/>
    <col min="11261" max="11261" width="50.7109375" style="539" customWidth="1"/>
    <col min="11262" max="11262" width="9.42578125" style="539" customWidth="1"/>
    <col min="11263" max="11263" width="11.85546875" style="539" customWidth="1"/>
    <col min="11264" max="11264" width="8.42578125" style="539" bestFit="1" customWidth="1"/>
    <col min="11265" max="11267" width="0" style="539" hidden="1" customWidth="1"/>
    <col min="11268" max="11268" width="6" style="539" bestFit="1" customWidth="1"/>
    <col min="11269" max="11269" width="9.5703125" style="539" customWidth="1"/>
    <col min="11270" max="11270" width="9.85546875" style="539" customWidth="1"/>
    <col min="11271" max="11271" width="9.7109375" style="539" customWidth="1"/>
    <col min="11272" max="11272" width="9.5703125" style="539" customWidth="1"/>
    <col min="11273" max="11273" width="9.85546875" style="539" customWidth="1"/>
    <col min="11274" max="11274" width="6.5703125" style="539" customWidth="1"/>
    <col min="11275" max="11275" width="6" style="539" bestFit="1" customWidth="1"/>
    <col min="11276" max="11276" width="6.28515625" style="539" customWidth="1"/>
    <col min="11277" max="11277" width="11.7109375" style="539" customWidth="1"/>
    <col min="11278" max="11278" width="0" style="539" hidden="1" customWidth="1"/>
    <col min="11279" max="11279" width="14.5703125" style="539" customWidth="1"/>
    <col min="11280" max="11280" width="11.85546875" style="539" customWidth="1"/>
    <col min="11281" max="11515" width="9.140625" style="539"/>
    <col min="11516" max="11516" width="2.85546875" style="539" customWidth="1"/>
    <col min="11517" max="11517" width="50.7109375" style="539" customWidth="1"/>
    <col min="11518" max="11518" width="9.42578125" style="539" customWidth="1"/>
    <col min="11519" max="11519" width="11.85546875" style="539" customWidth="1"/>
    <col min="11520" max="11520" width="8.42578125" style="539" bestFit="1" customWidth="1"/>
    <col min="11521" max="11523" width="0" style="539" hidden="1" customWidth="1"/>
    <col min="11524" max="11524" width="6" style="539" bestFit="1" customWidth="1"/>
    <col min="11525" max="11525" width="9.5703125" style="539" customWidth="1"/>
    <col min="11526" max="11526" width="9.85546875" style="539" customWidth="1"/>
    <col min="11527" max="11527" width="9.7109375" style="539" customWidth="1"/>
    <col min="11528" max="11528" width="9.5703125" style="539" customWidth="1"/>
    <col min="11529" max="11529" width="9.85546875" style="539" customWidth="1"/>
    <col min="11530" max="11530" width="6.5703125" style="539" customWidth="1"/>
    <col min="11531" max="11531" width="6" style="539" bestFit="1" customWidth="1"/>
    <col min="11532" max="11532" width="6.28515625" style="539" customWidth="1"/>
    <col min="11533" max="11533" width="11.7109375" style="539" customWidth="1"/>
    <col min="11534" max="11534" width="0" style="539" hidden="1" customWidth="1"/>
    <col min="11535" max="11535" width="14.5703125" style="539" customWidth="1"/>
    <col min="11536" max="11536" width="11.85546875" style="539" customWidth="1"/>
    <col min="11537" max="11771" width="9.140625" style="539"/>
    <col min="11772" max="11772" width="2.85546875" style="539" customWidth="1"/>
    <col min="11773" max="11773" width="50.7109375" style="539" customWidth="1"/>
    <col min="11774" max="11774" width="9.42578125" style="539" customWidth="1"/>
    <col min="11775" max="11775" width="11.85546875" style="539" customWidth="1"/>
    <col min="11776" max="11776" width="8.42578125" style="539" bestFit="1" customWidth="1"/>
    <col min="11777" max="11779" width="0" style="539" hidden="1" customWidth="1"/>
    <col min="11780" max="11780" width="6" style="539" bestFit="1" customWidth="1"/>
    <col min="11781" max="11781" width="9.5703125" style="539" customWidth="1"/>
    <col min="11782" max="11782" width="9.85546875" style="539" customWidth="1"/>
    <col min="11783" max="11783" width="9.7109375" style="539" customWidth="1"/>
    <col min="11784" max="11784" width="9.5703125" style="539" customWidth="1"/>
    <col min="11785" max="11785" width="9.85546875" style="539" customWidth="1"/>
    <col min="11786" max="11786" width="6.5703125" style="539" customWidth="1"/>
    <col min="11787" max="11787" width="6" style="539" bestFit="1" customWidth="1"/>
    <col min="11788" max="11788" width="6.28515625" style="539" customWidth="1"/>
    <col min="11789" max="11789" width="11.7109375" style="539" customWidth="1"/>
    <col min="11790" max="11790" width="0" style="539" hidden="1" customWidth="1"/>
    <col min="11791" max="11791" width="14.5703125" style="539" customWidth="1"/>
    <col min="11792" max="11792" width="11.85546875" style="539" customWidth="1"/>
    <col min="11793" max="12027" width="9.140625" style="539"/>
    <col min="12028" max="12028" width="2.85546875" style="539" customWidth="1"/>
    <col min="12029" max="12029" width="50.7109375" style="539" customWidth="1"/>
    <col min="12030" max="12030" width="9.42578125" style="539" customWidth="1"/>
    <col min="12031" max="12031" width="11.85546875" style="539" customWidth="1"/>
    <col min="12032" max="12032" width="8.42578125" style="539" bestFit="1" customWidth="1"/>
    <col min="12033" max="12035" width="0" style="539" hidden="1" customWidth="1"/>
    <col min="12036" max="12036" width="6" style="539" bestFit="1" customWidth="1"/>
    <col min="12037" max="12037" width="9.5703125" style="539" customWidth="1"/>
    <col min="12038" max="12038" width="9.85546875" style="539" customWidth="1"/>
    <col min="12039" max="12039" width="9.7109375" style="539" customWidth="1"/>
    <col min="12040" max="12040" width="9.5703125" style="539" customWidth="1"/>
    <col min="12041" max="12041" width="9.85546875" style="539" customWidth="1"/>
    <col min="12042" max="12042" width="6.5703125" style="539" customWidth="1"/>
    <col min="12043" max="12043" width="6" style="539" bestFit="1" customWidth="1"/>
    <col min="12044" max="12044" width="6.28515625" style="539" customWidth="1"/>
    <col min="12045" max="12045" width="11.7109375" style="539" customWidth="1"/>
    <col min="12046" max="12046" width="0" style="539" hidden="1" customWidth="1"/>
    <col min="12047" max="12047" width="14.5703125" style="539" customWidth="1"/>
    <col min="12048" max="12048" width="11.85546875" style="539" customWidth="1"/>
    <col min="12049" max="12283" width="9.140625" style="539"/>
    <col min="12284" max="12284" width="2.85546875" style="539" customWidth="1"/>
    <col min="12285" max="12285" width="50.7109375" style="539" customWidth="1"/>
    <col min="12286" max="12286" width="9.42578125" style="539" customWidth="1"/>
    <col min="12287" max="12287" width="11.85546875" style="539" customWidth="1"/>
    <col min="12288" max="12288" width="8.42578125" style="539" bestFit="1" customWidth="1"/>
    <col min="12289" max="12291" width="0" style="539" hidden="1" customWidth="1"/>
    <col min="12292" max="12292" width="6" style="539" bestFit="1" customWidth="1"/>
    <col min="12293" max="12293" width="9.5703125" style="539" customWidth="1"/>
    <col min="12294" max="12294" width="9.85546875" style="539" customWidth="1"/>
    <col min="12295" max="12295" width="9.7109375" style="539" customWidth="1"/>
    <col min="12296" max="12296" width="9.5703125" style="539" customWidth="1"/>
    <col min="12297" max="12297" width="9.85546875" style="539" customWidth="1"/>
    <col min="12298" max="12298" width="6.5703125" style="539" customWidth="1"/>
    <col min="12299" max="12299" width="6" style="539" bestFit="1" customWidth="1"/>
    <col min="12300" max="12300" width="6.28515625" style="539" customWidth="1"/>
    <col min="12301" max="12301" width="11.7109375" style="539" customWidth="1"/>
    <col min="12302" max="12302" width="0" style="539" hidden="1" customWidth="1"/>
    <col min="12303" max="12303" width="14.5703125" style="539" customWidth="1"/>
    <col min="12304" max="12304" width="11.85546875" style="539" customWidth="1"/>
    <col min="12305" max="12539" width="9.140625" style="539"/>
    <col min="12540" max="12540" width="2.85546875" style="539" customWidth="1"/>
    <col min="12541" max="12541" width="50.7109375" style="539" customWidth="1"/>
    <col min="12542" max="12542" width="9.42578125" style="539" customWidth="1"/>
    <col min="12543" max="12543" width="11.85546875" style="539" customWidth="1"/>
    <col min="12544" max="12544" width="8.42578125" style="539" bestFit="1" customWidth="1"/>
    <col min="12545" max="12547" width="0" style="539" hidden="1" customWidth="1"/>
    <col min="12548" max="12548" width="6" style="539" bestFit="1" customWidth="1"/>
    <col min="12549" max="12549" width="9.5703125" style="539" customWidth="1"/>
    <col min="12550" max="12550" width="9.85546875" style="539" customWidth="1"/>
    <col min="12551" max="12551" width="9.7109375" style="539" customWidth="1"/>
    <col min="12552" max="12552" width="9.5703125" style="539" customWidth="1"/>
    <col min="12553" max="12553" width="9.85546875" style="539" customWidth="1"/>
    <col min="12554" max="12554" width="6.5703125" style="539" customWidth="1"/>
    <col min="12555" max="12555" width="6" style="539" bestFit="1" customWidth="1"/>
    <col min="12556" max="12556" width="6.28515625" style="539" customWidth="1"/>
    <col min="12557" max="12557" width="11.7109375" style="539" customWidth="1"/>
    <col min="12558" max="12558" width="0" style="539" hidden="1" customWidth="1"/>
    <col min="12559" max="12559" width="14.5703125" style="539" customWidth="1"/>
    <col min="12560" max="12560" width="11.85546875" style="539" customWidth="1"/>
    <col min="12561" max="12795" width="9.140625" style="539"/>
    <col min="12796" max="12796" width="2.85546875" style="539" customWidth="1"/>
    <col min="12797" max="12797" width="50.7109375" style="539" customWidth="1"/>
    <col min="12798" max="12798" width="9.42578125" style="539" customWidth="1"/>
    <col min="12799" max="12799" width="11.85546875" style="539" customWidth="1"/>
    <col min="12800" max="12800" width="8.42578125" style="539" bestFit="1" customWidth="1"/>
    <col min="12801" max="12803" width="0" style="539" hidden="1" customWidth="1"/>
    <col min="12804" max="12804" width="6" style="539" bestFit="1" customWidth="1"/>
    <col min="12805" max="12805" width="9.5703125" style="539" customWidth="1"/>
    <col min="12806" max="12806" width="9.85546875" style="539" customWidth="1"/>
    <col min="12807" max="12807" width="9.7109375" style="539" customWidth="1"/>
    <col min="12808" max="12808" width="9.5703125" style="539" customWidth="1"/>
    <col min="12809" max="12809" width="9.85546875" style="539" customWidth="1"/>
    <col min="12810" max="12810" width="6.5703125" style="539" customWidth="1"/>
    <col min="12811" max="12811" width="6" style="539" bestFit="1" customWidth="1"/>
    <col min="12812" max="12812" width="6.28515625" style="539" customWidth="1"/>
    <col min="12813" max="12813" width="11.7109375" style="539" customWidth="1"/>
    <col min="12814" max="12814" width="0" style="539" hidden="1" customWidth="1"/>
    <col min="12815" max="12815" width="14.5703125" style="539" customWidth="1"/>
    <col min="12816" max="12816" width="11.85546875" style="539" customWidth="1"/>
    <col min="12817" max="13051" width="9.140625" style="539"/>
    <col min="13052" max="13052" width="2.85546875" style="539" customWidth="1"/>
    <col min="13053" max="13053" width="50.7109375" style="539" customWidth="1"/>
    <col min="13054" max="13054" width="9.42578125" style="539" customWidth="1"/>
    <col min="13055" max="13055" width="11.85546875" style="539" customWidth="1"/>
    <col min="13056" max="13056" width="8.42578125" style="539" bestFit="1" customWidth="1"/>
    <col min="13057" max="13059" width="0" style="539" hidden="1" customWidth="1"/>
    <col min="13060" max="13060" width="6" style="539" bestFit="1" customWidth="1"/>
    <col min="13061" max="13061" width="9.5703125" style="539" customWidth="1"/>
    <col min="13062" max="13062" width="9.85546875" style="539" customWidth="1"/>
    <col min="13063" max="13063" width="9.7109375" style="539" customWidth="1"/>
    <col min="13064" max="13064" width="9.5703125" style="539" customWidth="1"/>
    <col min="13065" max="13065" width="9.85546875" style="539" customWidth="1"/>
    <col min="13066" max="13066" width="6.5703125" style="539" customWidth="1"/>
    <col min="13067" max="13067" width="6" style="539" bestFit="1" customWidth="1"/>
    <col min="13068" max="13068" width="6.28515625" style="539" customWidth="1"/>
    <col min="13069" max="13069" width="11.7109375" style="539" customWidth="1"/>
    <col min="13070" max="13070" width="0" style="539" hidden="1" customWidth="1"/>
    <col min="13071" max="13071" width="14.5703125" style="539" customWidth="1"/>
    <col min="13072" max="13072" width="11.85546875" style="539" customWidth="1"/>
    <col min="13073" max="13307" width="9.140625" style="539"/>
    <col min="13308" max="13308" width="2.85546875" style="539" customWidth="1"/>
    <col min="13309" max="13309" width="50.7109375" style="539" customWidth="1"/>
    <col min="13310" max="13310" width="9.42578125" style="539" customWidth="1"/>
    <col min="13311" max="13311" width="11.85546875" style="539" customWidth="1"/>
    <col min="13312" max="13312" width="8.42578125" style="539" bestFit="1" customWidth="1"/>
    <col min="13313" max="13315" width="0" style="539" hidden="1" customWidth="1"/>
    <col min="13316" max="13316" width="6" style="539" bestFit="1" customWidth="1"/>
    <col min="13317" max="13317" width="9.5703125" style="539" customWidth="1"/>
    <col min="13318" max="13318" width="9.85546875" style="539" customWidth="1"/>
    <col min="13319" max="13319" width="9.7109375" style="539" customWidth="1"/>
    <col min="13320" max="13320" width="9.5703125" style="539" customWidth="1"/>
    <col min="13321" max="13321" width="9.85546875" style="539" customWidth="1"/>
    <col min="13322" max="13322" width="6.5703125" style="539" customWidth="1"/>
    <col min="13323" max="13323" width="6" style="539" bestFit="1" customWidth="1"/>
    <col min="13324" max="13324" width="6.28515625" style="539" customWidth="1"/>
    <col min="13325" max="13325" width="11.7109375" style="539" customWidth="1"/>
    <col min="13326" max="13326" width="0" style="539" hidden="1" customWidth="1"/>
    <col min="13327" max="13327" width="14.5703125" style="539" customWidth="1"/>
    <col min="13328" max="13328" width="11.85546875" style="539" customWidth="1"/>
    <col min="13329" max="13563" width="9.140625" style="539"/>
    <col min="13564" max="13564" width="2.85546875" style="539" customWidth="1"/>
    <col min="13565" max="13565" width="50.7109375" style="539" customWidth="1"/>
    <col min="13566" max="13566" width="9.42578125" style="539" customWidth="1"/>
    <col min="13567" max="13567" width="11.85546875" style="539" customWidth="1"/>
    <col min="13568" max="13568" width="8.42578125" style="539" bestFit="1" customWidth="1"/>
    <col min="13569" max="13571" width="0" style="539" hidden="1" customWidth="1"/>
    <col min="13572" max="13572" width="6" style="539" bestFit="1" customWidth="1"/>
    <col min="13573" max="13573" width="9.5703125" style="539" customWidth="1"/>
    <col min="13574" max="13574" width="9.85546875" style="539" customWidth="1"/>
    <col min="13575" max="13575" width="9.7109375" style="539" customWidth="1"/>
    <col min="13576" max="13576" width="9.5703125" style="539" customWidth="1"/>
    <col min="13577" max="13577" width="9.85546875" style="539" customWidth="1"/>
    <col min="13578" max="13578" width="6.5703125" style="539" customWidth="1"/>
    <col min="13579" max="13579" width="6" style="539" bestFit="1" customWidth="1"/>
    <col min="13580" max="13580" width="6.28515625" style="539" customWidth="1"/>
    <col min="13581" max="13581" width="11.7109375" style="539" customWidth="1"/>
    <col min="13582" max="13582" width="0" style="539" hidden="1" customWidth="1"/>
    <col min="13583" max="13583" width="14.5703125" style="539" customWidth="1"/>
    <col min="13584" max="13584" width="11.85546875" style="539" customWidth="1"/>
    <col min="13585" max="13819" width="9.140625" style="539"/>
    <col min="13820" max="13820" width="2.85546875" style="539" customWidth="1"/>
    <col min="13821" max="13821" width="50.7109375" style="539" customWidth="1"/>
    <col min="13822" max="13822" width="9.42578125" style="539" customWidth="1"/>
    <col min="13823" max="13823" width="11.85546875" style="539" customWidth="1"/>
    <col min="13824" max="13824" width="8.42578125" style="539" bestFit="1" customWidth="1"/>
    <col min="13825" max="13827" width="0" style="539" hidden="1" customWidth="1"/>
    <col min="13828" max="13828" width="6" style="539" bestFit="1" customWidth="1"/>
    <col min="13829" max="13829" width="9.5703125" style="539" customWidth="1"/>
    <col min="13830" max="13830" width="9.85546875" style="539" customWidth="1"/>
    <col min="13831" max="13831" width="9.7109375" style="539" customWidth="1"/>
    <col min="13832" max="13832" width="9.5703125" style="539" customWidth="1"/>
    <col min="13833" max="13833" width="9.85546875" style="539" customWidth="1"/>
    <col min="13834" max="13834" width="6.5703125" style="539" customWidth="1"/>
    <col min="13835" max="13835" width="6" style="539" bestFit="1" customWidth="1"/>
    <col min="13836" max="13836" width="6.28515625" style="539" customWidth="1"/>
    <col min="13837" max="13837" width="11.7109375" style="539" customWidth="1"/>
    <col min="13838" max="13838" width="0" style="539" hidden="1" customWidth="1"/>
    <col min="13839" max="13839" width="14.5703125" style="539" customWidth="1"/>
    <col min="13840" max="13840" width="11.85546875" style="539" customWidth="1"/>
    <col min="13841" max="14075" width="9.140625" style="539"/>
    <col min="14076" max="14076" width="2.85546875" style="539" customWidth="1"/>
    <col min="14077" max="14077" width="50.7109375" style="539" customWidth="1"/>
    <col min="14078" max="14078" width="9.42578125" style="539" customWidth="1"/>
    <col min="14079" max="14079" width="11.85546875" style="539" customWidth="1"/>
    <col min="14080" max="14080" width="8.42578125" style="539" bestFit="1" customWidth="1"/>
    <col min="14081" max="14083" width="0" style="539" hidden="1" customWidth="1"/>
    <col min="14084" max="14084" width="6" style="539" bestFit="1" customWidth="1"/>
    <col min="14085" max="14085" width="9.5703125" style="539" customWidth="1"/>
    <col min="14086" max="14086" width="9.85546875" style="539" customWidth="1"/>
    <col min="14087" max="14087" width="9.7109375" style="539" customWidth="1"/>
    <col min="14088" max="14088" width="9.5703125" style="539" customWidth="1"/>
    <col min="14089" max="14089" width="9.85546875" style="539" customWidth="1"/>
    <col min="14090" max="14090" width="6.5703125" style="539" customWidth="1"/>
    <col min="14091" max="14091" width="6" style="539" bestFit="1" customWidth="1"/>
    <col min="14092" max="14092" width="6.28515625" style="539" customWidth="1"/>
    <col min="14093" max="14093" width="11.7109375" style="539" customWidth="1"/>
    <col min="14094" max="14094" width="0" style="539" hidden="1" customWidth="1"/>
    <col min="14095" max="14095" width="14.5703125" style="539" customWidth="1"/>
    <col min="14096" max="14096" width="11.85546875" style="539" customWidth="1"/>
    <col min="14097" max="14331" width="9.140625" style="539"/>
    <col min="14332" max="14332" width="2.85546875" style="539" customWidth="1"/>
    <col min="14333" max="14333" width="50.7109375" style="539" customWidth="1"/>
    <col min="14334" max="14334" width="9.42578125" style="539" customWidth="1"/>
    <col min="14335" max="14335" width="11.85546875" style="539" customWidth="1"/>
    <col min="14336" max="14336" width="8.42578125" style="539" bestFit="1" customWidth="1"/>
    <col min="14337" max="14339" width="0" style="539" hidden="1" customWidth="1"/>
    <col min="14340" max="14340" width="6" style="539" bestFit="1" customWidth="1"/>
    <col min="14341" max="14341" width="9.5703125" style="539" customWidth="1"/>
    <col min="14342" max="14342" width="9.85546875" style="539" customWidth="1"/>
    <col min="14343" max="14343" width="9.7109375" style="539" customWidth="1"/>
    <col min="14344" max="14344" width="9.5703125" style="539" customWidth="1"/>
    <col min="14345" max="14345" width="9.85546875" style="539" customWidth="1"/>
    <col min="14346" max="14346" width="6.5703125" style="539" customWidth="1"/>
    <col min="14347" max="14347" width="6" style="539" bestFit="1" customWidth="1"/>
    <col min="14348" max="14348" width="6.28515625" style="539" customWidth="1"/>
    <col min="14349" max="14349" width="11.7109375" style="539" customWidth="1"/>
    <col min="14350" max="14350" width="0" style="539" hidden="1" customWidth="1"/>
    <col min="14351" max="14351" width="14.5703125" style="539" customWidth="1"/>
    <col min="14352" max="14352" width="11.85546875" style="539" customWidth="1"/>
    <col min="14353" max="14587" width="9.140625" style="539"/>
    <col min="14588" max="14588" width="2.85546875" style="539" customWidth="1"/>
    <col min="14589" max="14589" width="50.7109375" style="539" customWidth="1"/>
    <col min="14590" max="14590" width="9.42578125" style="539" customWidth="1"/>
    <col min="14591" max="14591" width="11.85546875" style="539" customWidth="1"/>
    <col min="14592" max="14592" width="8.42578125" style="539" bestFit="1" customWidth="1"/>
    <col min="14593" max="14595" width="0" style="539" hidden="1" customWidth="1"/>
    <col min="14596" max="14596" width="6" style="539" bestFit="1" customWidth="1"/>
    <col min="14597" max="14597" width="9.5703125" style="539" customWidth="1"/>
    <col min="14598" max="14598" width="9.85546875" style="539" customWidth="1"/>
    <col min="14599" max="14599" width="9.7109375" style="539" customWidth="1"/>
    <col min="14600" max="14600" width="9.5703125" style="539" customWidth="1"/>
    <col min="14601" max="14601" width="9.85546875" style="539" customWidth="1"/>
    <col min="14602" max="14602" width="6.5703125" style="539" customWidth="1"/>
    <col min="14603" max="14603" width="6" style="539" bestFit="1" customWidth="1"/>
    <col min="14604" max="14604" width="6.28515625" style="539" customWidth="1"/>
    <col min="14605" max="14605" width="11.7109375" style="539" customWidth="1"/>
    <col min="14606" max="14606" width="0" style="539" hidden="1" customWidth="1"/>
    <col min="14607" max="14607" width="14.5703125" style="539" customWidth="1"/>
    <col min="14608" max="14608" width="11.85546875" style="539" customWidth="1"/>
    <col min="14609" max="14843" width="9.140625" style="539"/>
    <col min="14844" max="14844" width="2.85546875" style="539" customWidth="1"/>
    <col min="14845" max="14845" width="50.7109375" style="539" customWidth="1"/>
    <col min="14846" max="14846" width="9.42578125" style="539" customWidth="1"/>
    <col min="14847" max="14847" width="11.85546875" style="539" customWidth="1"/>
    <col min="14848" max="14848" width="8.42578125" style="539" bestFit="1" customWidth="1"/>
    <col min="14849" max="14851" width="0" style="539" hidden="1" customWidth="1"/>
    <col min="14852" max="14852" width="6" style="539" bestFit="1" customWidth="1"/>
    <col min="14853" max="14853" width="9.5703125" style="539" customWidth="1"/>
    <col min="14854" max="14854" width="9.85546875" style="539" customWidth="1"/>
    <col min="14855" max="14855" width="9.7109375" style="539" customWidth="1"/>
    <col min="14856" max="14856" width="9.5703125" style="539" customWidth="1"/>
    <col min="14857" max="14857" width="9.85546875" style="539" customWidth="1"/>
    <col min="14858" max="14858" width="6.5703125" style="539" customWidth="1"/>
    <col min="14859" max="14859" width="6" style="539" bestFit="1" customWidth="1"/>
    <col min="14860" max="14860" width="6.28515625" style="539" customWidth="1"/>
    <col min="14861" max="14861" width="11.7109375" style="539" customWidth="1"/>
    <col min="14862" max="14862" width="0" style="539" hidden="1" customWidth="1"/>
    <col min="14863" max="14863" width="14.5703125" style="539" customWidth="1"/>
    <col min="14864" max="14864" width="11.85546875" style="539" customWidth="1"/>
    <col min="14865" max="15099" width="9.140625" style="539"/>
    <col min="15100" max="15100" width="2.85546875" style="539" customWidth="1"/>
    <col min="15101" max="15101" width="50.7109375" style="539" customWidth="1"/>
    <col min="15102" max="15102" width="9.42578125" style="539" customWidth="1"/>
    <col min="15103" max="15103" width="11.85546875" style="539" customWidth="1"/>
    <col min="15104" max="15104" width="8.42578125" style="539" bestFit="1" customWidth="1"/>
    <col min="15105" max="15107" width="0" style="539" hidden="1" customWidth="1"/>
    <col min="15108" max="15108" width="6" style="539" bestFit="1" customWidth="1"/>
    <col min="15109" max="15109" width="9.5703125" style="539" customWidth="1"/>
    <col min="15110" max="15110" width="9.85546875" style="539" customWidth="1"/>
    <col min="15111" max="15111" width="9.7109375" style="539" customWidth="1"/>
    <col min="15112" max="15112" width="9.5703125" style="539" customWidth="1"/>
    <col min="15113" max="15113" width="9.85546875" style="539" customWidth="1"/>
    <col min="15114" max="15114" width="6.5703125" style="539" customWidth="1"/>
    <col min="15115" max="15115" width="6" style="539" bestFit="1" customWidth="1"/>
    <col min="15116" max="15116" width="6.28515625" style="539" customWidth="1"/>
    <col min="15117" max="15117" width="11.7109375" style="539" customWidth="1"/>
    <col min="15118" max="15118" width="0" style="539" hidden="1" customWidth="1"/>
    <col min="15119" max="15119" width="14.5703125" style="539" customWidth="1"/>
    <col min="15120" max="15120" width="11.85546875" style="539" customWidth="1"/>
    <col min="15121" max="15355" width="9.140625" style="539"/>
    <col min="15356" max="15356" width="2.85546875" style="539" customWidth="1"/>
    <col min="15357" max="15357" width="50.7109375" style="539" customWidth="1"/>
    <col min="15358" max="15358" width="9.42578125" style="539" customWidth="1"/>
    <col min="15359" max="15359" width="11.85546875" style="539" customWidth="1"/>
    <col min="15360" max="15360" width="8.42578125" style="539" bestFit="1" customWidth="1"/>
    <col min="15361" max="15363" width="0" style="539" hidden="1" customWidth="1"/>
    <col min="15364" max="15364" width="6" style="539" bestFit="1" customWidth="1"/>
    <col min="15365" max="15365" width="9.5703125" style="539" customWidth="1"/>
    <col min="15366" max="15366" width="9.85546875" style="539" customWidth="1"/>
    <col min="15367" max="15367" width="9.7109375" style="539" customWidth="1"/>
    <col min="15368" max="15368" width="9.5703125" style="539" customWidth="1"/>
    <col min="15369" max="15369" width="9.85546875" style="539" customWidth="1"/>
    <col min="15370" max="15370" width="6.5703125" style="539" customWidth="1"/>
    <col min="15371" max="15371" width="6" style="539" bestFit="1" customWidth="1"/>
    <col min="15372" max="15372" width="6.28515625" style="539" customWidth="1"/>
    <col min="15373" max="15373" width="11.7109375" style="539" customWidth="1"/>
    <col min="15374" max="15374" width="0" style="539" hidden="1" customWidth="1"/>
    <col min="15375" max="15375" width="14.5703125" style="539" customWidth="1"/>
    <col min="15376" max="15376" width="11.85546875" style="539" customWidth="1"/>
    <col min="15377" max="15611" width="9.140625" style="539"/>
    <col min="15612" max="15612" width="2.85546875" style="539" customWidth="1"/>
    <col min="15613" max="15613" width="50.7109375" style="539" customWidth="1"/>
    <col min="15614" max="15614" width="9.42578125" style="539" customWidth="1"/>
    <col min="15615" max="15615" width="11.85546875" style="539" customWidth="1"/>
    <col min="15616" max="15616" width="8.42578125" style="539" bestFit="1" customWidth="1"/>
    <col min="15617" max="15619" width="0" style="539" hidden="1" customWidth="1"/>
    <col min="15620" max="15620" width="6" style="539" bestFit="1" customWidth="1"/>
    <col min="15621" max="15621" width="9.5703125" style="539" customWidth="1"/>
    <col min="15622" max="15622" width="9.85546875" style="539" customWidth="1"/>
    <col min="15623" max="15623" width="9.7109375" style="539" customWidth="1"/>
    <col min="15624" max="15624" width="9.5703125" style="539" customWidth="1"/>
    <col min="15625" max="15625" width="9.85546875" style="539" customWidth="1"/>
    <col min="15626" max="15626" width="6.5703125" style="539" customWidth="1"/>
    <col min="15627" max="15627" width="6" style="539" bestFit="1" customWidth="1"/>
    <col min="15628" max="15628" width="6.28515625" style="539" customWidth="1"/>
    <col min="15629" max="15629" width="11.7109375" style="539" customWidth="1"/>
    <col min="15630" max="15630" width="0" style="539" hidden="1" customWidth="1"/>
    <col min="15631" max="15631" width="14.5703125" style="539" customWidth="1"/>
    <col min="15632" max="15632" width="11.85546875" style="539" customWidth="1"/>
    <col min="15633" max="15867" width="9.140625" style="539"/>
    <col min="15868" max="15868" width="2.85546875" style="539" customWidth="1"/>
    <col min="15869" max="15869" width="50.7109375" style="539" customWidth="1"/>
    <col min="15870" max="15870" width="9.42578125" style="539" customWidth="1"/>
    <col min="15871" max="15871" width="11.85546875" style="539" customWidth="1"/>
    <col min="15872" max="15872" width="8.42578125" style="539" bestFit="1" customWidth="1"/>
    <col min="15873" max="15875" width="0" style="539" hidden="1" customWidth="1"/>
    <col min="15876" max="15876" width="6" style="539" bestFit="1" customWidth="1"/>
    <col min="15877" max="15877" width="9.5703125" style="539" customWidth="1"/>
    <col min="15878" max="15878" width="9.85546875" style="539" customWidth="1"/>
    <col min="15879" max="15879" width="9.7109375" style="539" customWidth="1"/>
    <col min="15880" max="15880" width="9.5703125" style="539" customWidth="1"/>
    <col min="15881" max="15881" width="9.85546875" style="539" customWidth="1"/>
    <col min="15882" max="15882" width="6.5703125" style="539" customWidth="1"/>
    <col min="15883" max="15883" width="6" style="539" bestFit="1" customWidth="1"/>
    <col min="15884" max="15884" width="6.28515625" style="539" customWidth="1"/>
    <col min="15885" max="15885" width="11.7109375" style="539" customWidth="1"/>
    <col min="15886" max="15886" width="0" style="539" hidden="1" customWidth="1"/>
    <col min="15887" max="15887" width="14.5703125" style="539" customWidth="1"/>
    <col min="15888" max="15888" width="11.85546875" style="539" customWidth="1"/>
    <col min="15889" max="16123" width="9.140625" style="539"/>
    <col min="16124" max="16124" width="2.85546875" style="539" customWidth="1"/>
    <col min="16125" max="16125" width="50.7109375" style="539" customWidth="1"/>
    <col min="16126" max="16126" width="9.42578125" style="539" customWidth="1"/>
    <col min="16127" max="16127" width="11.85546875" style="539" customWidth="1"/>
    <col min="16128" max="16128" width="8.42578125" style="539" bestFit="1" customWidth="1"/>
    <col min="16129" max="16131" width="0" style="539" hidden="1" customWidth="1"/>
    <col min="16132" max="16132" width="6" style="539" bestFit="1" customWidth="1"/>
    <col min="16133" max="16133" width="9.5703125" style="539" customWidth="1"/>
    <col min="16134" max="16134" width="9.85546875" style="539" customWidth="1"/>
    <col min="16135" max="16135" width="9.7109375" style="539" customWidth="1"/>
    <col min="16136" max="16136" width="9.5703125" style="539" customWidth="1"/>
    <col min="16137" max="16137" width="9.85546875" style="539" customWidth="1"/>
    <col min="16138" max="16138" width="6.5703125" style="539" customWidth="1"/>
    <col min="16139" max="16139" width="6" style="539" bestFit="1" customWidth="1"/>
    <col min="16140" max="16140" width="6.28515625" style="539" customWidth="1"/>
    <col min="16141" max="16141" width="11.7109375" style="539" customWidth="1"/>
    <col min="16142" max="16142" width="0" style="539" hidden="1" customWidth="1"/>
    <col min="16143" max="16143" width="14.5703125" style="539" customWidth="1"/>
    <col min="16144" max="16144" width="11.85546875" style="539" customWidth="1"/>
    <col min="16145" max="16384" width="9.140625" style="539"/>
  </cols>
  <sheetData>
    <row r="1" spans="1:16" ht="15" customHeight="1">
      <c r="H1" s="691" t="s">
        <v>405</v>
      </c>
      <c r="M1" s="525"/>
      <c r="N1" s="525"/>
      <c r="O1" s="526"/>
    </row>
    <row r="2" spans="1:16" ht="2.25" customHeight="1">
      <c r="M2" s="525"/>
      <c r="N2" s="525"/>
      <c r="O2" s="526"/>
    </row>
    <row r="3" spans="1:16" ht="6.75" customHeight="1">
      <c r="M3" s="525"/>
      <c r="N3" s="525"/>
      <c r="O3" s="526"/>
    </row>
    <row r="4" spans="1:16" ht="36" customHeight="1" thickBot="1">
      <c r="A4" s="4456" t="s">
        <v>176</v>
      </c>
      <c r="B4" s="4456"/>
      <c r="C4" s="4456"/>
      <c r="D4" s="4456"/>
      <c r="E4" s="4456"/>
      <c r="F4" s="4456"/>
      <c r="G4" s="4456"/>
      <c r="H4" s="4456"/>
      <c r="I4" s="4456"/>
      <c r="J4" s="4456"/>
      <c r="K4" s="4456"/>
      <c r="L4" s="4456"/>
      <c r="M4" s="4456"/>
      <c r="N4" s="4456"/>
      <c r="O4" s="4456"/>
    </row>
    <row r="5" spans="1:16" ht="62.25" customHeight="1">
      <c r="A5" s="692"/>
      <c r="B5" s="4457" t="s">
        <v>75</v>
      </c>
      <c r="C5" s="3774" t="s">
        <v>71</v>
      </c>
      <c r="D5" s="3980" t="s">
        <v>117</v>
      </c>
      <c r="E5" s="1403" t="s">
        <v>230</v>
      </c>
      <c r="F5" s="3602" t="s">
        <v>436</v>
      </c>
      <c r="G5" s="3791" t="s">
        <v>392</v>
      </c>
      <c r="H5" s="3792"/>
      <c r="I5" s="3792"/>
      <c r="J5" s="3792"/>
      <c r="K5" s="3792"/>
      <c r="L5" s="3793"/>
      <c r="M5" s="4263" t="s">
        <v>408</v>
      </c>
      <c r="N5" s="4263" t="s">
        <v>397</v>
      </c>
      <c r="O5" s="4173" t="s">
        <v>73</v>
      </c>
    </row>
    <row r="6" spans="1:16" ht="18.75" customHeight="1" thickBot="1">
      <c r="A6" s="693"/>
      <c r="B6" s="4458"/>
      <c r="C6" s="3979"/>
      <c r="D6" s="3982"/>
      <c r="E6" s="836" t="s">
        <v>382</v>
      </c>
      <c r="F6" s="3604"/>
      <c r="G6" s="3537" t="s">
        <v>6</v>
      </c>
      <c r="H6" s="312" t="s">
        <v>179</v>
      </c>
      <c r="I6" s="312" t="s">
        <v>180</v>
      </c>
      <c r="J6" s="312" t="s">
        <v>222</v>
      </c>
      <c r="K6" s="312" t="s">
        <v>223</v>
      </c>
      <c r="L6" s="312" t="s">
        <v>224</v>
      </c>
      <c r="M6" s="4459"/>
      <c r="N6" s="4459"/>
      <c r="O6" s="4174"/>
    </row>
    <row r="7" spans="1:16" ht="15" customHeight="1" thickBot="1">
      <c r="A7" s="911">
        <v>1</v>
      </c>
      <c r="B7" s="912">
        <v>2</v>
      </c>
      <c r="C7" s="913" t="s">
        <v>118</v>
      </c>
      <c r="D7" s="913" t="s">
        <v>119</v>
      </c>
      <c r="E7" s="913">
        <v>5</v>
      </c>
      <c r="F7" s="913">
        <v>6</v>
      </c>
      <c r="G7" s="913">
        <v>7</v>
      </c>
      <c r="H7" s="913">
        <v>8</v>
      </c>
      <c r="I7" s="913">
        <v>9</v>
      </c>
      <c r="J7" s="913">
        <v>10</v>
      </c>
      <c r="K7" s="913">
        <v>11</v>
      </c>
      <c r="L7" s="913">
        <v>12</v>
      </c>
      <c r="M7" s="914">
        <v>13</v>
      </c>
      <c r="N7" s="914">
        <v>13</v>
      </c>
      <c r="O7" s="915">
        <v>14</v>
      </c>
    </row>
    <row r="8" spans="1:16" s="695" customFormat="1" ht="15.75" customHeight="1">
      <c r="A8" s="534"/>
      <c r="B8" s="229" t="s">
        <v>76</v>
      </c>
      <c r="C8" s="205"/>
      <c r="D8" s="837">
        <f>+D9+D10</f>
        <v>54820691</v>
      </c>
      <c r="E8" s="206">
        <f t="shared" ref="E8" si="0">+E9+E10</f>
        <v>437818</v>
      </c>
      <c r="F8" s="206">
        <f t="shared" ref="F8" si="1">+F9+F10</f>
        <v>715352</v>
      </c>
      <c r="G8" s="206">
        <f t="shared" ref="G8:N8" si="2">+G9+G10</f>
        <v>815800</v>
      </c>
      <c r="H8" s="206">
        <f t="shared" si="2"/>
        <v>15810155</v>
      </c>
      <c r="I8" s="206">
        <f t="shared" si="2"/>
        <v>30446183</v>
      </c>
      <c r="J8" s="206">
        <f t="shared" si="2"/>
        <v>6595383</v>
      </c>
      <c r="K8" s="206">
        <f t="shared" si="2"/>
        <v>0</v>
      </c>
      <c r="L8" s="206">
        <f t="shared" si="2"/>
        <v>0</v>
      </c>
      <c r="M8" s="146">
        <f t="shared" ref="M8" si="3">+M9+M10</f>
        <v>54820691</v>
      </c>
      <c r="N8" s="146">
        <f t="shared" si="2"/>
        <v>53667521</v>
      </c>
      <c r="O8" s="659"/>
      <c r="P8" s="694"/>
    </row>
    <row r="9" spans="1:16" s="695" customFormat="1" ht="13.5" customHeight="1">
      <c r="A9" s="534"/>
      <c r="B9" s="220" t="s">
        <v>77</v>
      </c>
      <c r="C9" s="208"/>
      <c r="D9" s="831">
        <f t="shared" ref="D9:I9" si="4">+D27+D36+D45</f>
        <v>2250056</v>
      </c>
      <c r="E9" s="209">
        <f t="shared" si="4"/>
        <v>437818</v>
      </c>
      <c r="F9" s="209">
        <f t="shared" si="4"/>
        <v>711017</v>
      </c>
      <c r="G9" s="209">
        <f t="shared" si="4"/>
        <v>815800</v>
      </c>
      <c r="H9" s="209">
        <f t="shared" si="4"/>
        <v>152857</v>
      </c>
      <c r="I9" s="209">
        <f t="shared" si="4"/>
        <v>132564</v>
      </c>
      <c r="J9" s="209">
        <f>+J27+J36+J46</f>
        <v>0</v>
      </c>
      <c r="K9" s="209">
        <f>+K27+K36+K46</f>
        <v>0</v>
      </c>
      <c r="L9" s="209">
        <f>+L27+L36+L46</f>
        <v>0</v>
      </c>
      <c r="M9" s="527">
        <f>SUM(E9:K9)</f>
        <v>2250056</v>
      </c>
      <c r="N9" s="527">
        <f>SUM(G9:L9)</f>
        <v>1101221</v>
      </c>
      <c r="O9" s="659"/>
    </row>
    <row r="10" spans="1:16" s="695" customFormat="1" ht="13.5" customHeight="1" thickBot="1">
      <c r="A10" s="534"/>
      <c r="B10" s="696" t="s">
        <v>9</v>
      </c>
      <c r="C10" s="697"/>
      <c r="D10" s="838">
        <f t="shared" ref="D10:L10" si="5">D74+D63</f>
        <v>52570635</v>
      </c>
      <c r="E10" s="698">
        <f t="shared" si="5"/>
        <v>0</v>
      </c>
      <c r="F10" s="698">
        <f t="shared" si="5"/>
        <v>4335</v>
      </c>
      <c r="G10" s="698">
        <f t="shared" si="5"/>
        <v>0</v>
      </c>
      <c r="H10" s="698">
        <f t="shared" si="5"/>
        <v>15657298</v>
      </c>
      <c r="I10" s="698">
        <f t="shared" si="5"/>
        <v>30313619</v>
      </c>
      <c r="J10" s="698">
        <f t="shared" si="5"/>
        <v>6595383</v>
      </c>
      <c r="K10" s="698">
        <f t="shared" si="5"/>
        <v>0</v>
      </c>
      <c r="L10" s="698">
        <f t="shared" si="5"/>
        <v>0</v>
      </c>
      <c r="M10" s="148">
        <f>SUM(E10:K10)</f>
        <v>52570635</v>
      </c>
      <c r="N10" s="148">
        <f>SUM(G10:L10)</f>
        <v>52566300</v>
      </c>
      <c r="O10" s="659"/>
    </row>
    <row r="11" spans="1:16" ht="12">
      <c r="A11" s="534"/>
      <c r="B11" s="91" t="s">
        <v>10</v>
      </c>
      <c r="C11" s="88"/>
      <c r="D11" s="115">
        <f>D12+D16</f>
        <v>54820691</v>
      </c>
      <c r="E11" s="115">
        <f t="shared" ref="E11" si="6">E12+E16</f>
        <v>437818</v>
      </c>
      <c r="F11" s="115">
        <f t="shared" ref="F11:L11" si="7">F12+F16</f>
        <v>715352</v>
      </c>
      <c r="G11" s="115">
        <f t="shared" si="7"/>
        <v>815800</v>
      </c>
      <c r="H11" s="115">
        <f t="shared" si="7"/>
        <v>15810155</v>
      </c>
      <c r="I11" s="115">
        <f t="shared" si="7"/>
        <v>30446183</v>
      </c>
      <c r="J11" s="115">
        <f t="shared" si="7"/>
        <v>6595383</v>
      </c>
      <c r="K11" s="115">
        <f t="shared" si="7"/>
        <v>0</v>
      </c>
      <c r="L11" s="115">
        <f t="shared" si="7"/>
        <v>0</v>
      </c>
      <c r="M11" s="463">
        <f>+M12+M16</f>
        <v>49564061</v>
      </c>
      <c r="N11" s="463">
        <f>+N12+N16</f>
        <v>53667521</v>
      </c>
      <c r="O11" s="661"/>
    </row>
    <row r="12" spans="1:16" ht="13.5" customHeight="1">
      <c r="A12" s="534"/>
      <c r="B12" s="699" t="s">
        <v>24</v>
      </c>
      <c r="C12" s="700"/>
      <c r="D12" s="701">
        <f>+D13+D14+D15</f>
        <v>8262967</v>
      </c>
      <c r="E12" s="701">
        <f t="shared" ref="E12:L12" si="8">+E13+E14+E15</f>
        <v>73814</v>
      </c>
      <c r="F12" s="701">
        <f t="shared" si="8"/>
        <v>113308</v>
      </c>
      <c r="G12" s="701">
        <f t="shared" si="8"/>
        <v>132888</v>
      </c>
      <c r="H12" s="701">
        <f t="shared" si="8"/>
        <v>2379058</v>
      </c>
      <c r="I12" s="701">
        <f t="shared" si="8"/>
        <v>4574592</v>
      </c>
      <c r="J12" s="701">
        <f t="shared" si="8"/>
        <v>989307</v>
      </c>
      <c r="K12" s="701">
        <f t="shared" si="8"/>
        <v>0</v>
      </c>
      <c r="L12" s="701">
        <f t="shared" si="8"/>
        <v>0</v>
      </c>
      <c r="M12" s="702">
        <f>+M13+M14</f>
        <v>3006337</v>
      </c>
      <c r="N12" s="702">
        <f>+N13+N14+N15</f>
        <v>8075845</v>
      </c>
      <c r="O12" s="663"/>
    </row>
    <row r="13" spans="1:16" ht="12">
      <c r="A13" s="534"/>
      <c r="B13" s="703" t="s">
        <v>12</v>
      </c>
      <c r="C13" s="704"/>
      <c r="D13" s="536">
        <f>D29+D38+D51+D76+D88</f>
        <v>2906940</v>
      </c>
      <c r="E13" s="536">
        <f t="shared" ref="E13:L13" si="9">E29+E38+E51+E76+E88</f>
        <v>51859</v>
      </c>
      <c r="F13" s="536">
        <f t="shared" si="9"/>
        <v>98575</v>
      </c>
      <c r="G13" s="536">
        <f t="shared" si="9"/>
        <v>107651</v>
      </c>
      <c r="H13" s="536">
        <f t="shared" si="9"/>
        <v>794591</v>
      </c>
      <c r="I13" s="536">
        <f t="shared" si="9"/>
        <v>1524495</v>
      </c>
      <c r="J13" s="536">
        <f t="shared" si="9"/>
        <v>329769</v>
      </c>
      <c r="K13" s="536">
        <f t="shared" si="9"/>
        <v>0</v>
      </c>
      <c r="L13" s="536">
        <f t="shared" si="9"/>
        <v>0</v>
      </c>
      <c r="M13" s="522">
        <f>SUM(E13:K13)</f>
        <v>2906940</v>
      </c>
      <c r="N13" s="522">
        <f>SUM(G13:L13)</f>
        <v>2756506</v>
      </c>
      <c r="O13" s="663"/>
    </row>
    <row r="14" spans="1:16" ht="12">
      <c r="A14" s="534"/>
      <c r="B14" s="703" t="s">
        <v>13</v>
      </c>
      <c r="C14" s="704"/>
      <c r="D14" s="705">
        <f>+D47+D65</f>
        <v>99397</v>
      </c>
      <c r="E14" s="705">
        <f>+E47+E65</f>
        <v>21955</v>
      </c>
      <c r="F14" s="705">
        <f>+F47+F65</f>
        <v>14733</v>
      </c>
      <c r="G14" s="705">
        <f t="shared" ref="G14:I14" si="10">+G47+G65</f>
        <v>25237</v>
      </c>
      <c r="H14" s="705">
        <f t="shared" si="10"/>
        <v>18737</v>
      </c>
      <c r="I14" s="705">
        <f t="shared" si="10"/>
        <v>18735</v>
      </c>
      <c r="J14" s="705">
        <f t="shared" ref="J14:L14" si="11">+J47</f>
        <v>0</v>
      </c>
      <c r="K14" s="705">
        <f t="shared" si="11"/>
        <v>0</v>
      </c>
      <c r="L14" s="705">
        <f t="shared" si="11"/>
        <v>0</v>
      </c>
      <c r="M14" s="522">
        <f>SUM(E14:K14)</f>
        <v>99397</v>
      </c>
      <c r="N14" s="522">
        <f>SUM(G14:L14)</f>
        <v>62709</v>
      </c>
      <c r="O14" s="663"/>
    </row>
    <row r="15" spans="1:16" ht="12">
      <c r="A15" s="534"/>
      <c r="B15" s="703" t="s">
        <v>17</v>
      </c>
      <c r="C15" s="3536"/>
      <c r="D15" s="3542">
        <f>D77+D89</f>
        <v>5256630</v>
      </c>
      <c r="E15" s="3542">
        <f t="shared" ref="E15:L15" si="12">E77+E89</f>
        <v>0</v>
      </c>
      <c r="F15" s="3542">
        <f t="shared" si="12"/>
        <v>0</v>
      </c>
      <c r="G15" s="3542">
        <f t="shared" si="12"/>
        <v>0</v>
      </c>
      <c r="H15" s="3542">
        <f t="shared" si="12"/>
        <v>1565730</v>
      </c>
      <c r="I15" s="3542">
        <f t="shared" si="12"/>
        <v>3031362</v>
      </c>
      <c r="J15" s="3542">
        <f t="shared" si="12"/>
        <v>659538</v>
      </c>
      <c r="K15" s="3542">
        <f t="shared" si="12"/>
        <v>0</v>
      </c>
      <c r="L15" s="3542">
        <f t="shared" si="12"/>
        <v>0</v>
      </c>
      <c r="M15" s="1493"/>
      <c r="N15" s="522">
        <f>SUM(G15:L15)</f>
        <v>5256630</v>
      </c>
      <c r="O15" s="663"/>
    </row>
    <row r="16" spans="1:16" ht="13.5" customHeight="1">
      <c r="A16" s="534"/>
      <c r="B16" s="706" t="s">
        <v>18</v>
      </c>
      <c r="C16" s="707"/>
      <c r="D16" s="701">
        <f>+D17+D18</f>
        <v>46557724</v>
      </c>
      <c r="E16" s="701">
        <f t="shared" ref="E16" si="13">+E17+E18</f>
        <v>364004</v>
      </c>
      <c r="F16" s="701">
        <f t="shared" ref="F16:L16" si="14">+F17+F18</f>
        <v>602044</v>
      </c>
      <c r="G16" s="701">
        <f t="shared" si="14"/>
        <v>682912</v>
      </c>
      <c r="H16" s="701">
        <f t="shared" si="14"/>
        <v>13431097</v>
      </c>
      <c r="I16" s="701">
        <f t="shared" si="14"/>
        <v>25871591</v>
      </c>
      <c r="J16" s="701">
        <f t="shared" si="14"/>
        <v>5606076</v>
      </c>
      <c r="K16" s="701">
        <f t="shared" si="14"/>
        <v>0</v>
      </c>
      <c r="L16" s="701">
        <f t="shared" si="14"/>
        <v>0</v>
      </c>
      <c r="M16" s="521">
        <f>+M17+M18</f>
        <v>46557724</v>
      </c>
      <c r="N16" s="521">
        <f>+N17+N18</f>
        <v>45591676</v>
      </c>
      <c r="O16" s="663"/>
    </row>
    <row r="17" spans="1:17" ht="13.5" hidden="1" customHeight="1">
      <c r="A17" s="534"/>
      <c r="B17" s="703" t="s">
        <v>21</v>
      </c>
      <c r="C17" s="708"/>
      <c r="D17" s="528"/>
      <c r="E17" s="528"/>
      <c r="F17" s="528"/>
      <c r="G17" s="528"/>
      <c r="H17" s="528"/>
      <c r="I17" s="528"/>
      <c r="J17" s="528"/>
      <c r="K17" s="528"/>
      <c r="L17" s="528"/>
      <c r="M17" s="522">
        <f>SUM(E17:K17)</f>
        <v>0</v>
      </c>
      <c r="N17" s="522">
        <f>SUM(F17:L17)</f>
        <v>0</v>
      </c>
      <c r="O17" s="663"/>
    </row>
    <row r="18" spans="1:17" ht="12.75" customHeight="1">
      <c r="A18" s="534"/>
      <c r="B18" s="529" t="s">
        <v>20</v>
      </c>
      <c r="C18" s="708"/>
      <c r="D18" s="528">
        <f>+D31+D40+D53+D67+D79+D91</f>
        <v>46557724</v>
      </c>
      <c r="E18" s="528">
        <f t="shared" ref="E18:L18" si="15">+E31+E40+E53+E67+E79+E91</f>
        <v>364004</v>
      </c>
      <c r="F18" s="528">
        <f t="shared" si="15"/>
        <v>602044</v>
      </c>
      <c r="G18" s="528">
        <f t="shared" si="15"/>
        <v>682912</v>
      </c>
      <c r="H18" s="528">
        <f t="shared" si="15"/>
        <v>13431097</v>
      </c>
      <c r="I18" s="528">
        <f t="shared" si="15"/>
        <v>25871591</v>
      </c>
      <c r="J18" s="528">
        <f t="shared" si="15"/>
        <v>5606076</v>
      </c>
      <c r="K18" s="528">
        <f t="shared" si="15"/>
        <v>0</v>
      </c>
      <c r="L18" s="528">
        <f t="shared" si="15"/>
        <v>0</v>
      </c>
      <c r="M18" s="522">
        <f>SUM(E18:K18)</f>
        <v>46557724</v>
      </c>
      <c r="N18" s="522">
        <f>SUM(G18:L18)</f>
        <v>45591676</v>
      </c>
      <c r="O18" s="663"/>
    </row>
    <row r="19" spans="1:17" ht="12">
      <c r="A19" s="534"/>
      <c r="B19" s="80" t="s">
        <v>22</v>
      </c>
      <c r="C19" s="472"/>
      <c r="D19" s="530">
        <f>D23+D20</f>
        <v>51913751</v>
      </c>
      <c r="E19" s="530">
        <f t="shared" ref="E19:L19" si="16">E23+E20</f>
        <v>0</v>
      </c>
      <c r="F19" s="530">
        <f t="shared" si="16"/>
        <v>482232</v>
      </c>
      <c r="G19" s="530">
        <f t="shared" si="16"/>
        <v>705374</v>
      </c>
      <c r="H19" s="530">
        <f t="shared" si="16"/>
        <v>15501447</v>
      </c>
      <c r="I19" s="530">
        <f t="shared" si="16"/>
        <v>28892880</v>
      </c>
      <c r="J19" s="530">
        <f t="shared" si="16"/>
        <v>6331818</v>
      </c>
      <c r="K19" s="530">
        <f t="shared" si="16"/>
        <v>0</v>
      </c>
      <c r="L19" s="530">
        <f t="shared" si="16"/>
        <v>0</v>
      </c>
      <c r="M19" s="4437" t="s">
        <v>61</v>
      </c>
      <c r="N19" s="4437" t="s">
        <v>61</v>
      </c>
      <c r="O19" s="537"/>
      <c r="P19" s="538"/>
    </row>
    <row r="20" spans="1:17" ht="12">
      <c r="A20" s="534"/>
      <c r="B20" s="531" t="s">
        <v>12</v>
      </c>
      <c r="C20" s="532"/>
      <c r="D20" s="533">
        <f>+D21+D22</f>
        <v>5356027</v>
      </c>
      <c r="E20" s="533">
        <f t="shared" ref="E20:L20" si="17">+E21+E22</f>
        <v>0</v>
      </c>
      <c r="F20" s="533">
        <f t="shared" si="17"/>
        <v>23112</v>
      </c>
      <c r="G20" s="533">
        <f t="shared" si="17"/>
        <v>19886</v>
      </c>
      <c r="H20" s="533">
        <f t="shared" si="17"/>
        <v>1589343</v>
      </c>
      <c r="I20" s="533">
        <f t="shared" si="17"/>
        <v>3050097</v>
      </c>
      <c r="J20" s="533">
        <f t="shared" si="17"/>
        <v>673589</v>
      </c>
      <c r="K20" s="533">
        <f t="shared" si="17"/>
        <v>0</v>
      </c>
      <c r="L20" s="533">
        <f t="shared" si="17"/>
        <v>0</v>
      </c>
      <c r="M20" s="3675"/>
      <c r="N20" s="3675"/>
      <c r="O20" s="537"/>
      <c r="P20" s="538"/>
    </row>
    <row r="21" spans="1:17" ht="12">
      <c r="A21" s="534"/>
      <c r="B21" s="535" t="s">
        <v>13</v>
      </c>
      <c r="C21" s="532"/>
      <c r="D21" s="536">
        <f>+D59+D70</f>
        <v>99397</v>
      </c>
      <c r="E21" s="536">
        <f>+E59+E70</f>
        <v>0</v>
      </c>
      <c r="F21" s="536">
        <f>+F59+F70</f>
        <v>23112</v>
      </c>
      <c r="G21" s="536">
        <f>+G59+G70</f>
        <v>19886</v>
      </c>
      <c r="H21" s="536">
        <f t="shared" ref="H21:J21" si="18">+H59+H70</f>
        <v>23613</v>
      </c>
      <c r="I21" s="536">
        <f t="shared" si="18"/>
        <v>18735</v>
      </c>
      <c r="J21" s="536">
        <f t="shared" si="18"/>
        <v>14051</v>
      </c>
      <c r="K21" s="536">
        <f t="shared" ref="K21:L21" si="19">+K59</f>
        <v>0</v>
      </c>
      <c r="L21" s="536">
        <f t="shared" si="19"/>
        <v>0</v>
      </c>
      <c r="M21" s="3675"/>
      <c r="N21" s="3675"/>
      <c r="O21" s="537"/>
      <c r="P21" s="538">
        <f>D14-D21</f>
        <v>0</v>
      </c>
    </row>
    <row r="22" spans="1:17" ht="12">
      <c r="A22" s="534"/>
      <c r="B22" s="703" t="s">
        <v>17</v>
      </c>
      <c r="C22" s="541"/>
      <c r="D22" s="536">
        <f>D82+D94</f>
        <v>5256630</v>
      </c>
      <c r="E22" s="536">
        <f t="shared" ref="E22:L22" si="20">E82+E94</f>
        <v>0</v>
      </c>
      <c r="F22" s="536">
        <f t="shared" si="20"/>
        <v>0</v>
      </c>
      <c r="G22" s="536">
        <f t="shared" si="20"/>
        <v>0</v>
      </c>
      <c r="H22" s="536">
        <f t="shared" si="20"/>
        <v>1565730</v>
      </c>
      <c r="I22" s="536">
        <f t="shared" si="20"/>
        <v>3031362</v>
      </c>
      <c r="J22" s="536">
        <f t="shared" si="20"/>
        <v>659538</v>
      </c>
      <c r="K22" s="536">
        <f t="shared" si="20"/>
        <v>0</v>
      </c>
      <c r="L22" s="536">
        <f t="shared" si="20"/>
        <v>0</v>
      </c>
      <c r="M22" s="3675"/>
      <c r="N22" s="3675"/>
      <c r="O22" s="537"/>
      <c r="P22" s="538"/>
    </row>
    <row r="23" spans="1:17" ht="12">
      <c r="A23" s="540"/>
      <c r="B23" s="179" t="s">
        <v>18</v>
      </c>
      <c r="C23" s="541"/>
      <c r="D23" s="542">
        <f>+D24+D25</f>
        <v>46557724</v>
      </c>
      <c r="E23" s="542">
        <f t="shared" ref="E23" si="21">+E24+E25</f>
        <v>0</v>
      </c>
      <c r="F23" s="542">
        <f t="shared" ref="F23:L23" si="22">+F24+F25</f>
        <v>459120</v>
      </c>
      <c r="G23" s="542">
        <f t="shared" si="22"/>
        <v>685488</v>
      </c>
      <c r="H23" s="542">
        <f t="shared" si="22"/>
        <v>13912104</v>
      </c>
      <c r="I23" s="542">
        <f t="shared" si="22"/>
        <v>25842783</v>
      </c>
      <c r="J23" s="542">
        <f t="shared" si="22"/>
        <v>5658229</v>
      </c>
      <c r="K23" s="542">
        <f t="shared" si="22"/>
        <v>0</v>
      </c>
      <c r="L23" s="542">
        <f t="shared" si="22"/>
        <v>0</v>
      </c>
      <c r="M23" s="3675"/>
      <c r="N23" s="3675"/>
      <c r="O23" s="537"/>
    </row>
    <row r="24" spans="1:17" ht="15" hidden="1" customHeight="1">
      <c r="A24" s="540"/>
      <c r="B24" s="535" t="s">
        <v>21</v>
      </c>
      <c r="C24" s="532"/>
      <c r="D24" s="536"/>
      <c r="E24" s="536"/>
      <c r="F24" s="536"/>
      <c r="G24" s="536"/>
      <c r="H24" s="536"/>
      <c r="I24" s="536"/>
      <c r="J24" s="536"/>
      <c r="K24" s="536"/>
      <c r="L24" s="536"/>
      <c r="M24" s="3675"/>
      <c r="N24" s="3675"/>
      <c r="O24" s="537"/>
      <c r="P24" s="538"/>
    </row>
    <row r="25" spans="1:17" ht="12.75" thickBot="1">
      <c r="A25" s="543"/>
      <c r="B25" s="544" t="s">
        <v>20</v>
      </c>
      <c r="C25" s="709"/>
      <c r="D25" s="536">
        <f>+D34+D43+D61+D72+D84+D96</f>
        <v>46557724</v>
      </c>
      <c r="E25" s="536">
        <f t="shared" ref="E25:L25" si="23">+E34+E43+E61+E72+E84+E96</f>
        <v>0</v>
      </c>
      <c r="F25" s="536">
        <f t="shared" si="23"/>
        <v>459120</v>
      </c>
      <c r="G25" s="536">
        <f t="shared" si="23"/>
        <v>685488</v>
      </c>
      <c r="H25" s="536">
        <f t="shared" si="23"/>
        <v>13912104</v>
      </c>
      <c r="I25" s="536">
        <f t="shared" si="23"/>
        <v>25842783</v>
      </c>
      <c r="J25" s="536">
        <f t="shared" si="23"/>
        <v>5658229</v>
      </c>
      <c r="K25" s="536">
        <f t="shared" si="23"/>
        <v>0</v>
      </c>
      <c r="L25" s="536">
        <f t="shared" si="23"/>
        <v>0</v>
      </c>
      <c r="M25" s="3676"/>
      <c r="N25" s="3676"/>
      <c r="O25" s="710"/>
      <c r="P25" s="538">
        <f>D18-D25</f>
        <v>0</v>
      </c>
    </row>
    <row r="26" spans="1:17" ht="23.25" customHeight="1">
      <c r="A26" s="4429" t="s">
        <v>63</v>
      </c>
      <c r="B26" s="545" t="s">
        <v>476</v>
      </c>
      <c r="C26" s="546" t="s">
        <v>109</v>
      </c>
      <c r="D26" s="711"/>
      <c r="E26" s="3195"/>
      <c r="F26" s="3196"/>
      <c r="G26" s="3196"/>
      <c r="H26" s="3196"/>
      <c r="I26" s="3196"/>
      <c r="J26" s="3196"/>
      <c r="K26" s="3196"/>
      <c r="L26" s="3197"/>
      <c r="M26" s="712"/>
      <c r="N26" s="712"/>
      <c r="O26" s="4432" t="s">
        <v>288</v>
      </c>
    </row>
    <row r="27" spans="1:17" ht="12">
      <c r="A27" s="4439"/>
      <c r="B27" s="453" t="s">
        <v>10</v>
      </c>
      <c r="C27" s="472"/>
      <c r="D27" s="465">
        <f t="shared" ref="D27" si="24">+D28+D30</f>
        <v>960682</v>
      </c>
      <c r="E27" s="465">
        <f t="shared" ref="E27" si="25">+E28+E30</f>
        <v>184963</v>
      </c>
      <c r="F27" s="465">
        <f t="shared" ref="F27:H27" si="26">+F28+F30</f>
        <v>332518</v>
      </c>
      <c r="G27" s="465">
        <f t="shared" si="26"/>
        <v>408671</v>
      </c>
      <c r="H27" s="465">
        <f t="shared" si="26"/>
        <v>34530</v>
      </c>
      <c r="I27" s="465"/>
      <c r="J27" s="465"/>
      <c r="K27" s="465"/>
      <c r="L27" s="465"/>
      <c r="M27" s="463">
        <f>+M28+M30</f>
        <v>775719</v>
      </c>
      <c r="N27" s="463">
        <f>+N28+N30</f>
        <v>443201</v>
      </c>
      <c r="O27" s="4433"/>
      <c r="P27" s="538"/>
      <c r="Q27" s="538"/>
    </row>
    <row r="28" spans="1:17" ht="13.5" customHeight="1">
      <c r="A28" s="4439"/>
      <c r="B28" s="713" t="s">
        <v>24</v>
      </c>
      <c r="C28" s="3646" t="s">
        <v>235</v>
      </c>
      <c r="D28" s="547">
        <f>+D29</f>
        <v>144099</v>
      </c>
      <c r="E28" s="2550">
        <f t="shared" ref="E28:H28" si="27">+E29</f>
        <v>27744</v>
      </c>
      <c r="F28" s="2551">
        <f t="shared" si="27"/>
        <v>49876</v>
      </c>
      <c r="G28" s="2551">
        <f t="shared" si="27"/>
        <v>61298</v>
      </c>
      <c r="H28" s="2551">
        <f t="shared" si="27"/>
        <v>5181</v>
      </c>
      <c r="I28" s="2551"/>
      <c r="J28" s="2551"/>
      <c r="K28" s="2551"/>
      <c r="L28" s="2551"/>
      <c r="M28" s="2552">
        <f>+M29</f>
        <v>116355</v>
      </c>
      <c r="N28" s="2552">
        <f>+N29</f>
        <v>66479</v>
      </c>
      <c r="O28" s="4434"/>
    </row>
    <row r="29" spans="1:17" ht="13.5" customHeight="1">
      <c r="A29" s="4439"/>
      <c r="B29" s="714" t="s">
        <v>12</v>
      </c>
      <c r="C29" s="4436"/>
      <c r="D29" s="239">
        <f>E29+F29+G29+H29+I29+J29+K29+L29</f>
        <v>144099</v>
      </c>
      <c r="E29" s="275">
        <v>27744</v>
      </c>
      <c r="F29" s="456">
        <f>58031-8100-55</f>
        <v>49876</v>
      </c>
      <c r="G29" s="456">
        <f>53201+8098-1</f>
        <v>61298</v>
      </c>
      <c r="H29" s="456">
        <f>5126+55</f>
        <v>5181</v>
      </c>
      <c r="I29" s="456"/>
      <c r="J29" s="456"/>
      <c r="K29" s="456"/>
      <c r="L29" s="456"/>
      <c r="M29" s="522">
        <f>SUM(F29:K29)</f>
        <v>116355</v>
      </c>
      <c r="N29" s="522">
        <f>SUM(G29:L29)</f>
        <v>66479</v>
      </c>
      <c r="O29" s="4434"/>
    </row>
    <row r="30" spans="1:17" ht="13.5" customHeight="1">
      <c r="A30" s="4439"/>
      <c r="B30" s="715" t="s">
        <v>18</v>
      </c>
      <c r="C30" s="4436"/>
      <c r="D30" s="548">
        <f t="shared" ref="D30:N30" si="28">+D31</f>
        <v>816583</v>
      </c>
      <c r="E30" s="547">
        <f t="shared" si="28"/>
        <v>157219</v>
      </c>
      <c r="F30" s="549">
        <f>+F31</f>
        <v>282642</v>
      </c>
      <c r="G30" s="549">
        <f>+G31</f>
        <v>347373</v>
      </c>
      <c r="H30" s="549">
        <f>+H31</f>
        <v>29349</v>
      </c>
      <c r="I30" s="549"/>
      <c r="J30" s="549"/>
      <c r="K30" s="549"/>
      <c r="L30" s="549"/>
      <c r="M30" s="521">
        <f t="shared" si="28"/>
        <v>659364</v>
      </c>
      <c r="N30" s="521">
        <f t="shared" si="28"/>
        <v>376722</v>
      </c>
      <c r="O30" s="4434"/>
    </row>
    <row r="31" spans="1:17" ht="13.5" customHeight="1">
      <c r="A31" s="4439"/>
      <c r="B31" s="595" t="s">
        <v>20</v>
      </c>
      <c r="C31" s="4436"/>
      <c r="D31" s="239">
        <f>E31+F31+G31+H31+I31+J31+K31+L31</f>
        <v>816583</v>
      </c>
      <c r="E31" s="275">
        <v>157219</v>
      </c>
      <c r="F31" s="2553">
        <f>328844-45898-304</f>
        <v>282642</v>
      </c>
      <c r="G31" s="2553">
        <f>301472+45901</f>
        <v>347373</v>
      </c>
      <c r="H31" s="523">
        <f>29045+304</f>
        <v>29349</v>
      </c>
      <c r="I31" s="523"/>
      <c r="J31" s="523"/>
      <c r="K31" s="523"/>
      <c r="L31" s="523"/>
      <c r="M31" s="522">
        <f>SUM(F31:K31)</f>
        <v>659364</v>
      </c>
      <c r="N31" s="522">
        <f>SUM(G31:L31)</f>
        <v>376722</v>
      </c>
      <c r="O31" s="4434"/>
    </row>
    <row r="32" spans="1:17" ht="12">
      <c r="A32" s="4439"/>
      <c r="B32" s="453" t="s">
        <v>22</v>
      </c>
      <c r="C32" s="472"/>
      <c r="D32" s="717">
        <f>+D33</f>
        <v>816583</v>
      </c>
      <c r="E32" s="717">
        <v>0</v>
      </c>
      <c r="F32" s="717">
        <f t="shared" ref="F32:I33" si="29">+F33</f>
        <v>183266</v>
      </c>
      <c r="G32" s="717">
        <f t="shared" si="29"/>
        <v>328844</v>
      </c>
      <c r="H32" s="717">
        <f t="shared" si="29"/>
        <v>294473</v>
      </c>
      <c r="I32" s="717">
        <f t="shared" si="29"/>
        <v>10000</v>
      </c>
      <c r="J32" s="465"/>
      <c r="K32" s="465"/>
      <c r="L32" s="465"/>
      <c r="M32" s="4437" t="s">
        <v>61</v>
      </c>
      <c r="N32" s="4437" t="s">
        <v>61</v>
      </c>
      <c r="O32" s="4434"/>
    </row>
    <row r="33" spans="1:19" ht="13.5" customHeight="1">
      <c r="A33" s="4439"/>
      <c r="B33" s="715" t="s">
        <v>18</v>
      </c>
      <c r="C33" s="3730" t="s">
        <v>235</v>
      </c>
      <c r="D33" s="548">
        <f>+D34</f>
        <v>816583</v>
      </c>
      <c r="E33" s="548">
        <v>0</v>
      </c>
      <c r="F33" s="548">
        <f t="shared" si="29"/>
        <v>183266</v>
      </c>
      <c r="G33" s="548">
        <f t="shared" si="29"/>
        <v>328844</v>
      </c>
      <c r="H33" s="548">
        <f t="shared" si="29"/>
        <v>294473</v>
      </c>
      <c r="I33" s="548">
        <f t="shared" si="29"/>
        <v>10000</v>
      </c>
      <c r="J33" s="548"/>
      <c r="K33" s="548"/>
      <c r="L33" s="548"/>
      <c r="M33" s="3675"/>
      <c r="N33" s="3675"/>
      <c r="O33" s="4434"/>
      <c r="P33" s="538">
        <f>+D34-D31</f>
        <v>0</v>
      </c>
    </row>
    <row r="34" spans="1:19" ht="12.75" thickBot="1">
      <c r="A34" s="4440"/>
      <c r="B34" s="595" t="s">
        <v>20</v>
      </c>
      <c r="C34" s="4438"/>
      <c r="D34" s="239">
        <f>E34+F34+G34+H34+I34+J34+K34+L34</f>
        <v>816583</v>
      </c>
      <c r="E34" s="275">
        <v>0</v>
      </c>
      <c r="F34" s="2554">
        <f>159401+23865</f>
        <v>183266</v>
      </c>
      <c r="G34" s="2554">
        <v>328844</v>
      </c>
      <c r="H34" s="2554">
        <f>301472-6999</f>
        <v>294473</v>
      </c>
      <c r="I34" s="2554">
        <f>29045-2182+3-16866</f>
        <v>10000</v>
      </c>
      <c r="J34" s="2554"/>
      <c r="K34" s="2554"/>
      <c r="L34" s="2554"/>
      <c r="M34" s="3676"/>
      <c r="N34" s="3676"/>
      <c r="O34" s="4435"/>
    </row>
    <row r="35" spans="1:19" ht="35.25" customHeight="1">
      <c r="A35" s="4429" t="s">
        <v>64</v>
      </c>
      <c r="B35" s="545" t="s">
        <v>477</v>
      </c>
      <c r="C35" s="546" t="s">
        <v>109</v>
      </c>
      <c r="D35" s="711"/>
      <c r="E35" s="3195"/>
      <c r="F35" s="3196"/>
      <c r="G35" s="3196"/>
      <c r="H35" s="3196"/>
      <c r="I35" s="3196"/>
      <c r="J35" s="3196"/>
      <c r="K35" s="3196"/>
      <c r="L35" s="3197"/>
      <c r="M35" s="2555"/>
      <c r="N35" s="2555"/>
      <c r="O35" s="4432" t="s">
        <v>288</v>
      </c>
    </row>
    <row r="36" spans="1:19" ht="12.75" customHeight="1">
      <c r="A36" s="4439"/>
      <c r="B36" s="453" t="s">
        <v>10</v>
      </c>
      <c r="C36" s="472"/>
      <c r="D36" s="717">
        <f t="shared" ref="D36:I36" si="30">+D37+D39</f>
        <v>895017</v>
      </c>
      <c r="E36" s="465">
        <f t="shared" ref="E36" si="31">+E37+E39</f>
        <v>164812</v>
      </c>
      <c r="F36" s="465">
        <f>+F37+F39</f>
        <v>323767</v>
      </c>
      <c r="G36" s="465">
        <f t="shared" si="30"/>
        <v>305828</v>
      </c>
      <c r="H36" s="465">
        <f t="shared" si="30"/>
        <v>43185</v>
      </c>
      <c r="I36" s="465">
        <f t="shared" si="30"/>
        <v>57425</v>
      </c>
      <c r="J36" s="465"/>
      <c r="K36" s="465"/>
      <c r="L36" s="465"/>
      <c r="M36" s="463">
        <f>+M37+M39</f>
        <v>730205</v>
      </c>
      <c r="N36" s="463">
        <f>+N37+N39</f>
        <v>406438</v>
      </c>
      <c r="O36" s="4433"/>
      <c r="P36" s="538"/>
      <c r="Q36" s="538"/>
      <c r="R36" s="538"/>
      <c r="S36" s="538"/>
    </row>
    <row r="37" spans="1:19" ht="12" customHeight="1">
      <c r="A37" s="4439"/>
      <c r="B37" s="713" t="s">
        <v>24</v>
      </c>
      <c r="C37" s="3646" t="s">
        <v>235</v>
      </c>
      <c r="D37" s="718">
        <f>+D38</f>
        <v>133424</v>
      </c>
      <c r="E37" s="550">
        <f t="shared" ref="E37:I37" si="32">+E38</f>
        <v>23893</v>
      </c>
      <c r="F37" s="2556">
        <f t="shared" si="32"/>
        <v>48565</v>
      </c>
      <c r="G37" s="2556">
        <f t="shared" si="32"/>
        <v>46007</v>
      </c>
      <c r="H37" s="2556">
        <f t="shared" si="32"/>
        <v>6345</v>
      </c>
      <c r="I37" s="2556">
        <f t="shared" si="32"/>
        <v>8614</v>
      </c>
      <c r="J37" s="2557"/>
      <c r="K37" s="2557"/>
      <c r="L37" s="2557"/>
      <c r="M37" s="521">
        <f>+M38</f>
        <v>109531</v>
      </c>
      <c r="N37" s="521">
        <f>+N38</f>
        <v>60966</v>
      </c>
      <c r="O37" s="4434"/>
    </row>
    <row r="38" spans="1:19" ht="12">
      <c r="A38" s="4439"/>
      <c r="B38" s="714" t="s">
        <v>12</v>
      </c>
      <c r="C38" s="4436"/>
      <c r="D38" s="239">
        <f>E38+F38+G38+H38+I38+J38+K38+L38</f>
        <v>133424</v>
      </c>
      <c r="E38" s="275">
        <v>23893</v>
      </c>
      <c r="F38" s="456">
        <f>52409-1560-2170-114</f>
        <v>48565</v>
      </c>
      <c r="G38" s="456">
        <f>43837+2170</f>
        <v>46007</v>
      </c>
      <c r="H38" s="456">
        <f>6231+114</f>
        <v>6345</v>
      </c>
      <c r="I38" s="456">
        <v>8614</v>
      </c>
      <c r="J38" s="456"/>
      <c r="K38" s="456"/>
      <c r="L38" s="456"/>
      <c r="M38" s="522">
        <f>SUM(F38:K38)</f>
        <v>109531</v>
      </c>
      <c r="N38" s="522">
        <f>SUM(G38:L38)</f>
        <v>60966</v>
      </c>
      <c r="O38" s="4434"/>
    </row>
    <row r="39" spans="1:19" ht="12">
      <c r="A39" s="4439"/>
      <c r="B39" s="715" t="s">
        <v>18</v>
      </c>
      <c r="C39" s="4436"/>
      <c r="D39" s="551">
        <f t="shared" ref="D39:N39" si="33">+D40</f>
        <v>761593</v>
      </c>
      <c r="E39" s="547">
        <f t="shared" si="33"/>
        <v>140919</v>
      </c>
      <c r="F39" s="2550">
        <f t="shared" si="33"/>
        <v>275202</v>
      </c>
      <c r="G39" s="2550">
        <f t="shared" si="33"/>
        <v>259821</v>
      </c>
      <c r="H39" s="2550">
        <f t="shared" si="33"/>
        <v>36840</v>
      </c>
      <c r="I39" s="2550">
        <f t="shared" si="33"/>
        <v>48811</v>
      </c>
      <c r="J39" s="2558"/>
      <c r="K39" s="2558"/>
      <c r="L39" s="2558"/>
      <c r="M39" s="521">
        <f t="shared" si="33"/>
        <v>620674</v>
      </c>
      <c r="N39" s="521">
        <f t="shared" si="33"/>
        <v>345472</v>
      </c>
      <c r="O39" s="4434"/>
    </row>
    <row r="40" spans="1:19" ht="12">
      <c r="A40" s="4439"/>
      <c r="B40" s="595" t="s">
        <v>20</v>
      </c>
      <c r="C40" s="4436"/>
      <c r="D40" s="239">
        <f>E40+F40+G40+H40+I40+J40+K40+L40</f>
        <v>761593</v>
      </c>
      <c r="E40" s="275">
        <v>140919</v>
      </c>
      <c r="F40" s="523">
        <f>296984-8840-11410+1-1533</f>
        <v>275202</v>
      </c>
      <c r="G40" s="523">
        <f>248412+11409</f>
        <v>259821</v>
      </c>
      <c r="H40" s="523">
        <f>35307+1533</f>
        <v>36840</v>
      </c>
      <c r="I40" s="523">
        <v>48811</v>
      </c>
      <c r="J40" s="523"/>
      <c r="K40" s="523"/>
      <c r="L40" s="523"/>
      <c r="M40" s="522">
        <f>SUM(F40:K40)</f>
        <v>620674</v>
      </c>
      <c r="N40" s="522">
        <f>SUM(G40:L40)</f>
        <v>345472</v>
      </c>
      <c r="O40" s="4434"/>
    </row>
    <row r="41" spans="1:19" ht="12">
      <c r="A41" s="4439"/>
      <c r="B41" s="451" t="s">
        <v>22</v>
      </c>
      <c r="C41" s="472"/>
      <c r="D41" s="717">
        <f>+D42</f>
        <v>761593</v>
      </c>
      <c r="E41" s="717">
        <v>0</v>
      </c>
      <c r="F41" s="717">
        <f t="shared" ref="F41:I41" si="34">+F42</f>
        <v>206519</v>
      </c>
      <c r="G41" s="717">
        <f t="shared" si="34"/>
        <v>296984</v>
      </c>
      <c r="H41" s="717">
        <f t="shared" si="34"/>
        <v>238090</v>
      </c>
      <c r="I41" s="717">
        <f t="shared" si="34"/>
        <v>10000</v>
      </c>
      <c r="J41" s="717">
        <f t="shared" ref="F41:J42" si="35">+J42</f>
        <v>10000</v>
      </c>
      <c r="K41" s="465"/>
      <c r="L41" s="465"/>
      <c r="M41" s="4437" t="s">
        <v>61</v>
      </c>
      <c r="N41" s="4437" t="s">
        <v>61</v>
      </c>
      <c r="O41" s="4434"/>
    </row>
    <row r="42" spans="1:19" ht="12" customHeight="1">
      <c r="A42" s="4439"/>
      <c r="B42" s="715" t="s">
        <v>18</v>
      </c>
      <c r="C42" s="3730" t="s">
        <v>235</v>
      </c>
      <c r="D42" s="551">
        <f>+D43</f>
        <v>761593</v>
      </c>
      <c r="E42" s="548">
        <v>0</v>
      </c>
      <c r="F42" s="548">
        <f t="shared" si="35"/>
        <v>206519</v>
      </c>
      <c r="G42" s="548">
        <f t="shared" si="35"/>
        <v>296984</v>
      </c>
      <c r="H42" s="548">
        <f t="shared" si="35"/>
        <v>238090</v>
      </c>
      <c r="I42" s="548">
        <f t="shared" si="35"/>
        <v>10000</v>
      </c>
      <c r="J42" s="548">
        <f t="shared" si="35"/>
        <v>10000</v>
      </c>
      <c r="K42" s="548"/>
      <c r="L42" s="548"/>
      <c r="M42" s="3675"/>
      <c r="N42" s="3675"/>
      <c r="O42" s="4434"/>
    </row>
    <row r="43" spans="1:19" ht="13.5" thickBot="1">
      <c r="A43" s="4440"/>
      <c r="B43" s="595" t="s">
        <v>20</v>
      </c>
      <c r="C43" s="4438"/>
      <c r="D43" s="239">
        <f>E43+F43+G43+H43+I43+J43+K43+L43</f>
        <v>761593</v>
      </c>
      <c r="E43" s="275">
        <v>0</v>
      </c>
      <c r="F43" s="448">
        <f>133538+72981</f>
        <v>206519</v>
      </c>
      <c r="G43" s="448">
        <v>296984</v>
      </c>
      <c r="H43" s="448">
        <f>248412-10322</f>
        <v>238090</v>
      </c>
      <c r="I43" s="448">
        <f>35307-25307</f>
        <v>10000</v>
      </c>
      <c r="J43" s="448">
        <f>48811-1459-37352</f>
        <v>10000</v>
      </c>
      <c r="K43" s="2559"/>
      <c r="L43" s="2559"/>
      <c r="M43" s="3676"/>
      <c r="N43" s="3676"/>
      <c r="O43" s="4435"/>
      <c r="P43" s="538">
        <f>+D43-D40</f>
        <v>0</v>
      </c>
    </row>
    <row r="44" spans="1:19" s="3538" customFormat="1" ht="23.25" customHeight="1">
      <c r="A44" s="4445" t="s">
        <v>65</v>
      </c>
      <c r="B44" s="72" t="s">
        <v>379</v>
      </c>
      <c r="C44" s="56" t="s">
        <v>109</v>
      </c>
      <c r="D44" s="720"/>
      <c r="E44" s="3193"/>
      <c r="F44" s="3194"/>
      <c r="G44" s="3194"/>
      <c r="H44" s="3194"/>
      <c r="I44" s="3194"/>
      <c r="J44" s="3161"/>
      <c r="K44" s="3161"/>
      <c r="L44" s="41"/>
      <c r="M44" s="43"/>
      <c r="N44" s="720"/>
      <c r="O44" s="3651" t="s">
        <v>272</v>
      </c>
    </row>
    <row r="45" spans="1:19" s="3538" customFormat="1" ht="12.75">
      <c r="A45" s="4446"/>
      <c r="B45" s="2560" t="s">
        <v>10</v>
      </c>
      <c r="C45" s="1475"/>
      <c r="D45" s="2561">
        <f>+D46+D52</f>
        <v>394357</v>
      </c>
      <c r="E45" s="2561">
        <f t="shared" ref="E45" si="36">+E46+E52</f>
        <v>88043</v>
      </c>
      <c r="F45" s="1538">
        <f t="shared" ref="F45:I45" si="37">+F46+F52</f>
        <v>54732</v>
      </c>
      <c r="G45" s="1538">
        <f t="shared" si="37"/>
        <v>101301</v>
      </c>
      <c r="H45" s="1538">
        <f t="shared" si="37"/>
        <v>75142</v>
      </c>
      <c r="I45" s="1538">
        <f t="shared" si="37"/>
        <v>75139</v>
      </c>
      <c r="J45" s="1538"/>
      <c r="K45" s="1538"/>
      <c r="L45" s="1538"/>
      <c r="M45" s="2562">
        <f>+M46+M52</f>
        <v>306314</v>
      </c>
      <c r="N45" s="2562">
        <f>+N46+N52</f>
        <v>251582</v>
      </c>
      <c r="O45" s="3652"/>
      <c r="P45" s="721"/>
    </row>
    <row r="46" spans="1:19" s="3538" customFormat="1" ht="12.75">
      <c r="A46" s="4446"/>
      <c r="B46" s="713" t="s">
        <v>24</v>
      </c>
      <c r="C46" s="3655" t="s">
        <v>148</v>
      </c>
      <c r="D46" s="2563">
        <f>+D47+D51</f>
        <v>99415</v>
      </c>
      <c r="E46" s="2563">
        <f>+E47+E51</f>
        <v>22177</v>
      </c>
      <c r="F46" s="2564">
        <f t="shared" ref="F46:I46" si="38">+F47+F51</f>
        <v>13783</v>
      </c>
      <c r="G46" s="2564">
        <f t="shared" si="38"/>
        <v>25583</v>
      </c>
      <c r="H46" s="2564">
        <f t="shared" si="38"/>
        <v>18937</v>
      </c>
      <c r="I46" s="2564">
        <f t="shared" si="38"/>
        <v>18935</v>
      </c>
      <c r="J46" s="2563"/>
      <c r="K46" s="2563"/>
      <c r="L46" s="2563"/>
      <c r="M46" s="2565">
        <f>+M47+M51</f>
        <v>77238</v>
      </c>
      <c r="N46" s="2565">
        <f>+N47+N51</f>
        <v>63455</v>
      </c>
      <c r="O46" s="3652"/>
    </row>
    <row r="47" spans="1:19" s="3538" customFormat="1" ht="10.5" customHeight="1">
      <c r="A47" s="4446"/>
      <c r="B47" s="2566" t="s">
        <v>13</v>
      </c>
      <c r="C47" s="3649"/>
      <c r="D47" s="1406">
        <f>E47+F47+G47+H47+I47+J47+K47+L47</f>
        <v>98313</v>
      </c>
      <c r="E47" s="1453">
        <f>+E49+E50</f>
        <v>21955</v>
      </c>
      <c r="F47" s="2567">
        <f>+F49+F50</f>
        <v>13649</v>
      </c>
      <c r="G47" s="2567">
        <f t="shared" ref="G47:I47" si="39">+G49+G50</f>
        <v>25237</v>
      </c>
      <c r="H47" s="2567">
        <f t="shared" si="39"/>
        <v>18737</v>
      </c>
      <c r="I47" s="2567">
        <f t="shared" si="39"/>
        <v>18735</v>
      </c>
      <c r="J47" s="1453"/>
      <c r="K47" s="1453"/>
      <c r="L47" s="1453"/>
      <c r="M47" s="1493">
        <f>SUM(F47:K47)</f>
        <v>76358</v>
      </c>
      <c r="N47" s="1493">
        <f>SUM(G47:L47)</f>
        <v>62709</v>
      </c>
      <c r="O47" s="3652"/>
      <c r="P47" s="721">
        <f>D47-D59</f>
        <v>0</v>
      </c>
    </row>
    <row r="48" spans="1:19" s="3538" customFormat="1" ht="12.75" hidden="1">
      <c r="A48" s="4446"/>
      <c r="B48" s="2568" t="s">
        <v>149</v>
      </c>
      <c r="C48" s="3649"/>
      <c r="D48" s="1406">
        <f>E48+F48+G48+H48+I48+J48+K48+L48</f>
        <v>0</v>
      </c>
      <c r="E48" s="1453"/>
      <c r="F48" s="1492"/>
      <c r="G48" s="1492"/>
      <c r="H48" s="1492"/>
      <c r="I48" s="1492"/>
      <c r="J48" s="1492"/>
      <c r="K48" s="1492"/>
      <c r="L48" s="1492"/>
      <c r="M48" s="1493"/>
      <c r="N48" s="1493"/>
      <c r="O48" s="3652"/>
      <c r="P48" s="721"/>
    </row>
    <row r="49" spans="1:17" s="3538" customFormat="1" ht="12.75" hidden="1">
      <c r="A49" s="4446"/>
      <c r="B49" s="2568" t="s">
        <v>260</v>
      </c>
      <c r="C49" s="3649"/>
      <c r="D49" s="1406">
        <f>E49+F49+G49+H49+I49+J49+K49+L49</f>
        <v>59778</v>
      </c>
      <c r="E49" s="1453">
        <v>15556</v>
      </c>
      <c r="F49" s="2569">
        <f>8056+671+1501+214+2452-4245</f>
        <v>8649</v>
      </c>
      <c r="G49" s="2569">
        <f>8056+671+1501+214+1413</f>
        <v>11855</v>
      </c>
      <c r="H49" s="2569">
        <f>8057+671+1501+214+1417</f>
        <v>11860</v>
      </c>
      <c r="I49" s="2569">
        <f>8057+671+1501+214+1415</f>
        <v>11858</v>
      </c>
      <c r="J49" s="1492"/>
      <c r="K49" s="1492"/>
      <c r="L49" s="1492"/>
      <c r="M49" s="2570">
        <f>SUM(E49:H49)</f>
        <v>47920</v>
      </c>
      <c r="N49" s="2570">
        <f>SUM(G49:I49)</f>
        <v>35573</v>
      </c>
      <c r="O49" s="3652"/>
      <c r="P49" s="721"/>
    </row>
    <row r="50" spans="1:17" s="3538" customFormat="1" ht="12.75" hidden="1">
      <c r="A50" s="4446"/>
      <c r="B50" s="2568" t="s">
        <v>110</v>
      </c>
      <c r="C50" s="3649"/>
      <c r="D50" s="1406">
        <f>E50+F50+G50+H50+I50+J50+K50+L50</f>
        <v>38535</v>
      </c>
      <c r="E50" s="1453">
        <f>6510-111</f>
        <v>6399</v>
      </c>
      <c r="F50" s="2571">
        <f>512+979+979+1250+2157+750+250+5601-1889-5589</f>
        <v>5000</v>
      </c>
      <c r="G50" s="2569">
        <f>512+979+979+1250+2407+750+6505</f>
        <v>13382</v>
      </c>
      <c r="H50" s="2569">
        <f>512+979+979+1250+2407+750</f>
        <v>6877</v>
      </c>
      <c r="I50" s="2569">
        <f>512+979+979+1250+2407+750</f>
        <v>6877</v>
      </c>
      <c r="J50" s="1492"/>
      <c r="K50" s="1492"/>
      <c r="L50" s="1492"/>
      <c r="M50" s="2570">
        <f>SUM(E50:H50)</f>
        <v>31658</v>
      </c>
      <c r="N50" s="2570">
        <f>SUM(G50:I50)</f>
        <v>27136</v>
      </c>
      <c r="O50" s="3652"/>
      <c r="P50" s="721"/>
    </row>
    <row r="51" spans="1:17" s="3538" customFormat="1" ht="12.75">
      <c r="A51" s="4446"/>
      <c r="B51" s="1568" t="s">
        <v>12</v>
      </c>
      <c r="C51" s="3649"/>
      <c r="D51" s="1406">
        <f>E51+F51+G51+H51+I51+J51+K51+L51</f>
        <v>1102</v>
      </c>
      <c r="E51" s="1453">
        <v>222</v>
      </c>
      <c r="F51" s="1492">
        <f>280-146</f>
        <v>134</v>
      </c>
      <c r="G51" s="1492">
        <f>200+146</f>
        <v>346</v>
      </c>
      <c r="H51" s="1492">
        <v>200</v>
      </c>
      <c r="I51" s="1492">
        <v>200</v>
      </c>
      <c r="J51" s="1492"/>
      <c r="K51" s="1492"/>
      <c r="L51" s="1492"/>
      <c r="M51" s="1493">
        <f>SUM(F51:K51)</f>
        <v>880</v>
      </c>
      <c r="N51" s="1493">
        <f>SUM(G51:L51)</f>
        <v>746</v>
      </c>
      <c r="O51" s="3652"/>
    </row>
    <row r="52" spans="1:17" s="3538" customFormat="1" ht="13.5" customHeight="1">
      <c r="A52" s="4446"/>
      <c r="B52" s="2524" t="s">
        <v>18</v>
      </c>
      <c r="C52" s="3649"/>
      <c r="D52" s="1479">
        <f>+D53</f>
        <v>294942</v>
      </c>
      <c r="E52" s="1479">
        <f t="shared" ref="E52" si="40">+E53</f>
        <v>65866</v>
      </c>
      <c r="F52" s="1485">
        <f t="shared" ref="F52:I52" si="41">+F53</f>
        <v>40949</v>
      </c>
      <c r="G52" s="1485">
        <f t="shared" si="41"/>
        <v>75718</v>
      </c>
      <c r="H52" s="1485">
        <f t="shared" si="41"/>
        <v>56205</v>
      </c>
      <c r="I52" s="1485">
        <f t="shared" si="41"/>
        <v>56204</v>
      </c>
      <c r="J52" s="1485"/>
      <c r="K52" s="1485"/>
      <c r="L52" s="1485"/>
      <c r="M52" s="1569">
        <f>+M53</f>
        <v>229076</v>
      </c>
      <c r="N52" s="1569">
        <f>+N53</f>
        <v>188127</v>
      </c>
      <c r="O52" s="3652"/>
    </row>
    <row r="53" spans="1:17" s="3538" customFormat="1" ht="12.75">
      <c r="A53" s="4446"/>
      <c r="B53" s="2572" t="s">
        <v>20</v>
      </c>
      <c r="C53" s="3650"/>
      <c r="D53" s="1406">
        <f>E53+F53+G53+H53+I53+J53+K53+L53</f>
        <v>294942</v>
      </c>
      <c r="E53" s="1453">
        <f>+E55+E56</f>
        <v>65866</v>
      </c>
      <c r="F53" s="2573">
        <f>SUM(F55:F56)</f>
        <v>40949</v>
      </c>
      <c r="G53" s="2573">
        <f>SUM(G55:G56)</f>
        <v>75718</v>
      </c>
      <c r="H53" s="2573">
        <f>SUM(H55:H56)</f>
        <v>56205</v>
      </c>
      <c r="I53" s="2573">
        <f>SUM(I55:I56)</f>
        <v>56204</v>
      </c>
      <c r="J53" s="1482"/>
      <c r="K53" s="1482"/>
      <c r="L53" s="1482"/>
      <c r="M53" s="1493">
        <f>SUM(F53:K53)</f>
        <v>229076</v>
      </c>
      <c r="N53" s="1493">
        <f>SUM(G53:L53)</f>
        <v>188127</v>
      </c>
      <c r="O53" s="3652"/>
      <c r="P53" s="721">
        <f>D53-D61</f>
        <v>0</v>
      </c>
    </row>
    <row r="54" spans="1:17" s="2577" customFormat="1" ht="13.5" hidden="1" customHeight="1">
      <c r="A54" s="4446"/>
      <c r="B54" s="2568" t="s">
        <v>149</v>
      </c>
      <c r="C54" s="2574"/>
      <c r="D54" s="1570"/>
      <c r="E54" s="1571"/>
      <c r="F54" s="1571"/>
      <c r="G54" s="1571"/>
      <c r="H54" s="1571"/>
      <c r="I54" s="1571"/>
      <c r="J54" s="1571"/>
      <c r="K54" s="1571"/>
      <c r="L54" s="1571"/>
      <c r="M54" s="2575"/>
      <c r="N54" s="2575"/>
      <c r="O54" s="3652"/>
      <c r="P54" s="2576"/>
    </row>
    <row r="55" spans="1:17" s="2577" customFormat="1" ht="13.5" hidden="1" customHeight="1">
      <c r="A55" s="4446"/>
      <c r="B55" s="2568" t="s">
        <v>260</v>
      </c>
      <c r="C55" s="2574"/>
      <c r="D55" s="1406">
        <f>E55+F55+G55+H55+I55+J55+K55+L55</f>
        <v>179344</v>
      </c>
      <c r="E55" s="1571">
        <v>46667</v>
      </c>
      <c r="F55" s="1571">
        <f>24173+2014+4502+642+7355-12738</f>
        <v>25948</v>
      </c>
      <c r="G55" s="1571">
        <f>24173+2014+4502+642+4245</f>
        <v>35576</v>
      </c>
      <c r="H55" s="1571">
        <f>24172+2014+4502+642+4247</f>
        <v>35577</v>
      </c>
      <c r="I55" s="1571">
        <f>24172+2014+4502+642+4246</f>
        <v>35576</v>
      </c>
      <c r="J55" s="1571"/>
      <c r="K55" s="1571"/>
      <c r="L55" s="1571"/>
      <c r="M55" s="2570">
        <f>SUM(E55:H55)</f>
        <v>143768</v>
      </c>
      <c r="N55" s="2570">
        <f>SUM(G55:I55)</f>
        <v>106729</v>
      </c>
      <c r="O55" s="3652"/>
      <c r="P55" s="2576"/>
    </row>
    <row r="56" spans="1:17" s="2577" customFormat="1" ht="13.5" hidden="1" customHeight="1">
      <c r="A56" s="4446"/>
      <c r="B56" s="2568" t="s">
        <v>110</v>
      </c>
      <c r="C56" s="2574"/>
      <c r="D56" s="1406">
        <f>E56+F56+G56+H56+I56+J56+K56+L56</f>
        <v>115598</v>
      </c>
      <c r="E56" s="1571">
        <f>19532-333</f>
        <v>19199</v>
      </c>
      <c r="F56" s="1571">
        <f>1537+2936+2936+3750+6469+2250+750+16805-5672-16760</f>
        <v>15001</v>
      </c>
      <c r="G56" s="1571">
        <f>1537+2936+2936+3750+7219+2250+19514</f>
        <v>40142</v>
      </c>
      <c r="H56" s="1571">
        <f>1537+2936+2936+3750+7219+2250</f>
        <v>20628</v>
      </c>
      <c r="I56" s="1571">
        <f>1537+2936+2936+3750+7219+2250</f>
        <v>20628</v>
      </c>
      <c r="J56" s="1571"/>
      <c r="K56" s="1571"/>
      <c r="L56" s="1571"/>
      <c r="M56" s="2570">
        <f>SUM(E56:H56)</f>
        <v>94970</v>
      </c>
      <c r="N56" s="2570">
        <f>SUM(G56:I56)</f>
        <v>81398</v>
      </c>
      <c r="O56" s="3652"/>
      <c r="P56" s="2576"/>
    </row>
    <row r="57" spans="1:17" s="3538" customFormat="1" ht="12.75">
      <c r="A57" s="4446"/>
      <c r="B57" s="451" t="s">
        <v>22</v>
      </c>
      <c r="C57" s="1475"/>
      <c r="D57" s="1476">
        <f>+D58+D60</f>
        <v>393255</v>
      </c>
      <c r="E57" s="1476">
        <f t="shared" ref="E57" si="42">+E58+E60</f>
        <v>0</v>
      </c>
      <c r="F57" s="1476">
        <f t="shared" ref="F57:J57" si="43">+F58+F60</f>
        <v>92447</v>
      </c>
      <c r="G57" s="1476">
        <f t="shared" si="43"/>
        <v>75211</v>
      </c>
      <c r="H57" s="1476">
        <f t="shared" si="43"/>
        <v>94451</v>
      </c>
      <c r="I57" s="1476">
        <f t="shared" si="43"/>
        <v>74942</v>
      </c>
      <c r="J57" s="1476">
        <f t="shared" si="43"/>
        <v>56204</v>
      </c>
      <c r="K57" s="1538"/>
      <c r="L57" s="1538"/>
      <c r="M57" s="3677" t="s">
        <v>61</v>
      </c>
      <c r="N57" s="3677" t="s">
        <v>61</v>
      </c>
      <c r="O57" s="3652"/>
    </row>
    <row r="58" spans="1:17" s="3538" customFormat="1" ht="13.5" customHeight="1">
      <c r="A58" s="4446"/>
      <c r="B58" s="589" t="s">
        <v>24</v>
      </c>
      <c r="C58" s="3749" t="s">
        <v>148</v>
      </c>
      <c r="D58" s="2578">
        <f>+D59</f>
        <v>98313</v>
      </c>
      <c r="E58" s="2578">
        <f t="shared" ref="E58" si="44">+E59</f>
        <v>0</v>
      </c>
      <c r="F58" s="2579">
        <f t="shared" ref="F58:J58" si="45">+F59</f>
        <v>23112</v>
      </c>
      <c r="G58" s="2579">
        <f t="shared" si="45"/>
        <v>18802</v>
      </c>
      <c r="H58" s="2579">
        <f t="shared" si="45"/>
        <v>23613</v>
      </c>
      <c r="I58" s="2579">
        <f t="shared" si="45"/>
        <v>18735</v>
      </c>
      <c r="J58" s="2579">
        <f t="shared" si="45"/>
        <v>14051</v>
      </c>
      <c r="K58" s="2579"/>
      <c r="L58" s="2579"/>
      <c r="M58" s="3675"/>
      <c r="N58" s="3675"/>
      <c r="O58" s="3652"/>
    </row>
    <row r="59" spans="1:17" s="3538" customFormat="1" ht="12.75">
      <c r="A59" s="4446"/>
      <c r="B59" s="2566" t="s">
        <v>13</v>
      </c>
      <c r="C59" s="3808"/>
      <c r="D59" s="1458">
        <f>E59+F59+G59+H59+I59+J59+K59+L59</f>
        <v>98313</v>
      </c>
      <c r="E59" s="1453">
        <v>0</v>
      </c>
      <c r="F59" s="1453">
        <f>28409-5297</f>
        <v>23112</v>
      </c>
      <c r="G59" s="1453">
        <f>17319+6040-1889-2668</f>
        <v>18802</v>
      </c>
      <c r="H59" s="1453">
        <f>17319+6294</f>
        <v>23613</v>
      </c>
      <c r="I59" s="1453">
        <f>17320+1415</f>
        <v>18735</v>
      </c>
      <c r="J59" s="1453">
        <f>12990+1061</f>
        <v>14051</v>
      </c>
      <c r="K59" s="2580"/>
      <c r="L59" s="2580"/>
      <c r="M59" s="3675"/>
      <c r="N59" s="3675"/>
      <c r="O59" s="3652"/>
    </row>
    <row r="60" spans="1:17" s="3538" customFormat="1" ht="12.75">
      <c r="A60" s="4446"/>
      <c r="B60" s="2581" t="s">
        <v>18</v>
      </c>
      <c r="C60" s="3808"/>
      <c r="D60" s="2582">
        <f>+D61</f>
        <v>294942</v>
      </c>
      <c r="E60" s="2582">
        <f t="shared" ref="E60" si="46">+E61</f>
        <v>0</v>
      </c>
      <c r="F60" s="2582">
        <f>+F61</f>
        <v>69335</v>
      </c>
      <c r="G60" s="2582">
        <f>+G61</f>
        <v>56409</v>
      </c>
      <c r="H60" s="2582">
        <f>+H61</f>
        <v>70838</v>
      </c>
      <c r="I60" s="2582">
        <f>+I61</f>
        <v>56207</v>
      </c>
      <c r="J60" s="2582">
        <f>+J61</f>
        <v>42153</v>
      </c>
      <c r="K60" s="2583"/>
      <c r="L60" s="2583"/>
      <c r="M60" s="3675"/>
      <c r="N60" s="3675"/>
      <c r="O60" s="3652"/>
    </row>
    <row r="61" spans="1:17" s="3538" customFormat="1" ht="13.5" thickBot="1">
      <c r="A61" s="4447"/>
      <c r="B61" s="722" t="s">
        <v>20</v>
      </c>
      <c r="C61" s="4358"/>
      <c r="D61" s="832">
        <f>E61+F61+G61+H61+I61+J61+K61+L61</f>
        <v>294942</v>
      </c>
      <c r="E61" s="833">
        <v>0</v>
      </c>
      <c r="F61" s="448">
        <f>85229-15894</f>
        <v>69335</v>
      </c>
      <c r="G61" s="448">
        <f>51959+18120-5672-7998</f>
        <v>56409</v>
      </c>
      <c r="H61" s="448">
        <f>51959+18879</f>
        <v>70838</v>
      </c>
      <c r="I61" s="448">
        <f>51958+4249</f>
        <v>56207</v>
      </c>
      <c r="J61" s="448">
        <f>38968+3185</f>
        <v>42153</v>
      </c>
      <c r="K61" s="2559"/>
      <c r="L61" s="2559"/>
      <c r="M61" s="3676"/>
      <c r="N61" s="3676"/>
      <c r="O61" s="3741"/>
    </row>
    <row r="62" spans="1:17" s="3538" customFormat="1" ht="27.75" customHeight="1">
      <c r="A62" s="4445" t="s">
        <v>66</v>
      </c>
      <c r="B62" s="72" t="s">
        <v>427</v>
      </c>
      <c r="C62" s="56" t="s">
        <v>81</v>
      </c>
      <c r="D62" s="3193"/>
      <c r="E62" s="3161"/>
      <c r="F62" s="3161"/>
      <c r="G62" s="3161"/>
      <c r="H62" s="3161"/>
      <c r="I62" s="3161"/>
      <c r="J62" s="3161"/>
      <c r="K62" s="3161"/>
      <c r="L62" s="41"/>
      <c r="M62" s="43"/>
      <c r="N62" s="43"/>
      <c r="O62" s="3651" t="s">
        <v>110</v>
      </c>
    </row>
    <row r="63" spans="1:17" s="3538" customFormat="1" ht="14.25" customHeight="1" thickBot="1">
      <c r="A63" s="4447"/>
      <c r="B63" s="585" t="s">
        <v>10</v>
      </c>
      <c r="C63" s="654"/>
      <c r="D63" s="627">
        <f>+D64+D66</f>
        <v>4335</v>
      </c>
      <c r="E63" s="627">
        <f>+E64+E66</f>
        <v>0</v>
      </c>
      <c r="F63" s="627">
        <f>+F64+F66</f>
        <v>4335</v>
      </c>
      <c r="G63" s="636">
        <v>0</v>
      </c>
      <c r="H63" s="2584">
        <v>0</v>
      </c>
      <c r="I63" s="2584">
        <v>0</v>
      </c>
      <c r="J63" s="2584">
        <v>0</v>
      </c>
      <c r="K63" s="2584">
        <v>0</v>
      </c>
      <c r="L63" s="2584">
        <v>0</v>
      </c>
      <c r="M63" s="2585">
        <f>+M64+M66</f>
        <v>4335</v>
      </c>
      <c r="N63" s="2585">
        <f>+N64+N66</f>
        <v>0</v>
      </c>
      <c r="O63" s="4343"/>
      <c r="P63" s="721" t="s">
        <v>370</v>
      </c>
    </row>
    <row r="64" spans="1:17" s="3538" customFormat="1" ht="13.5" customHeight="1" thickBot="1">
      <c r="A64" s="4447"/>
      <c r="B64" s="713" t="s">
        <v>24</v>
      </c>
      <c r="C64" s="3646" t="s">
        <v>148</v>
      </c>
      <c r="D64" s="2586">
        <f>+D65</f>
        <v>1084</v>
      </c>
      <c r="E64" s="2586">
        <f>+E65</f>
        <v>0</v>
      </c>
      <c r="F64" s="2586">
        <f>+F65</f>
        <v>1084</v>
      </c>
      <c r="G64" s="2587">
        <v>0</v>
      </c>
      <c r="H64" s="1317">
        <v>0</v>
      </c>
      <c r="I64" s="1317">
        <v>0</v>
      </c>
      <c r="J64" s="1317">
        <v>0</v>
      </c>
      <c r="K64" s="1317">
        <v>0</v>
      </c>
      <c r="L64" s="1317">
        <v>0</v>
      </c>
      <c r="M64" s="2588">
        <f>+M65</f>
        <v>1084</v>
      </c>
      <c r="N64" s="2588">
        <f>+N65</f>
        <v>0</v>
      </c>
      <c r="O64" s="4343"/>
      <c r="P64" s="3538" t="s">
        <v>371</v>
      </c>
      <c r="Q64" s="721"/>
    </row>
    <row r="65" spans="1:17" s="3538" customFormat="1" ht="13.5" customHeight="1" thickBot="1">
      <c r="A65" s="4447"/>
      <c r="B65" s="2566" t="s">
        <v>13</v>
      </c>
      <c r="C65" s="3649"/>
      <c r="D65" s="1285">
        <f>E65+F65+G65+H65+I65+J65+K65+L65</f>
        <v>1084</v>
      </c>
      <c r="E65" s="275">
        <v>0</v>
      </c>
      <c r="F65" s="631">
        <f>1889-805</f>
        <v>1084</v>
      </c>
      <c r="G65" s="2587">
        <v>0</v>
      </c>
      <c r="H65" s="1317">
        <v>0</v>
      </c>
      <c r="I65" s="1317">
        <v>0</v>
      </c>
      <c r="J65" s="1317">
        <v>0</v>
      </c>
      <c r="K65" s="1317">
        <v>0</v>
      </c>
      <c r="L65" s="1317">
        <v>0</v>
      </c>
      <c r="M65" s="522">
        <f>SUM(F65:K65)</f>
        <v>1084</v>
      </c>
      <c r="N65" s="522">
        <f>SUM(G65:L65)</f>
        <v>0</v>
      </c>
      <c r="O65" s="4343"/>
    </row>
    <row r="66" spans="1:17" s="1273" customFormat="1" ht="13.5" thickBot="1">
      <c r="A66" s="4451"/>
      <c r="B66" s="594" t="s">
        <v>18</v>
      </c>
      <c r="C66" s="3649"/>
      <c r="D66" s="629">
        <f>+D67</f>
        <v>3251</v>
      </c>
      <c r="E66" s="629">
        <f>+E67</f>
        <v>0</v>
      </c>
      <c r="F66" s="629">
        <f>+F67</f>
        <v>3251</v>
      </c>
      <c r="G66" s="2589">
        <v>0</v>
      </c>
      <c r="H66" s="1317">
        <v>0</v>
      </c>
      <c r="I66" s="1317">
        <v>0</v>
      </c>
      <c r="J66" s="1317">
        <v>0</v>
      </c>
      <c r="K66" s="1317">
        <v>0</v>
      </c>
      <c r="L66" s="1317">
        <v>0</v>
      </c>
      <c r="M66" s="563">
        <f>+M67</f>
        <v>3251</v>
      </c>
      <c r="N66" s="563">
        <f>+N67</f>
        <v>0</v>
      </c>
      <c r="O66" s="4452"/>
      <c r="P66" s="1272"/>
    </row>
    <row r="67" spans="1:17" s="3538" customFormat="1" ht="13.5" thickBot="1">
      <c r="A67" s="4447"/>
      <c r="B67" s="716" t="s">
        <v>20</v>
      </c>
      <c r="C67" s="3650"/>
      <c r="D67" s="1285">
        <f>E67+F67+G67+H67+I67+J67+K67+L67</f>
        <v>3251</v>
      </c>
      <c r="E67" s="275">
        <v>0</v>
      </c>
      <c r="F67" s="2590">
        <f>5672-2421</f>
        <v>3251</v>
      </c>
      <c r="G67" s="2591">
        <v>0</v>
      </c>
      <c r="H67" s="593">
        <v>0</v>
      </c>
      <c r="I67" s="593">
        <v>0</v>
      </c>
      <c r="J67" s="593">
        <v>0</v>
      </c>
      <c r="K67" s="593">
        <v>0</v>
      </c>
      <c r="L67" s="593">
        <v>0</v>
      </c>
      <c r="M67" s="522">
        <f>SUM(F67:K67)</f>
        <v>3251</v>
      </c>
      <c r="N67" s="522">
        <f>SUM(G67:L67)</f>
        <v>0</v>
      </c>
      <c r="O67" s="4343"/>
      <c r="P67" s="721"/>
    </row>
    <row r="68" spans="1:17" s="3538" customFormat="1" ht="13.5" thickBot="1">
      <c r="A68" s="4447"/>
      <c r="B68" s="451" t="s">
        <v>22</v>
      </c>
      <c r="C68" s="654"/>
      <c r="D68" s="626">
        <f>+D69+D71</f>
        <v>4335</v>
      </c>
      <c r="E68" s="626">
        <f>+E69+E71</f>
        <v>0</v>
      </c>
      <c r="F68" s="655">
        <v>0</v>
      </c>
      <c r="G68" s="626">
        <f>+G69+G71</f>
        <v>4335</v>
      </c>
      <c r="H68" s="655">
        <v>0</v>
      </c>
      <c r="I68" s="655">
        <v>0</v>
      </c>
      <c r="J68" s="655">
        <v>0</v>
      </c>
      <c r="K68" s="655">
        <v>0</v>
      </c>
      <c r="L68" s="655">
        <v>0</v>
      </c>
      <c r="M68" s="3828" t="s">
        <v>61</v>
      </c>
      <c r="N68" s="3828" t="s">
        <v>61</v>
      </c>
      <c r="O68" s="4343"/>
      <c r="P68" s="721"/>
    </row>
    <row r="69" spans="1:17" s="1273" customFormat="1" ht="12.75" customHeight="1" thickBot="1">
      <c r="A69" s="4451"/>
      <c r="B69" s="589" t="s">
        <v>24</v>
      </c>
      <c r="C69" s="3646" t="s">
        <v>148</v>
      </c>
      <c r="D69" s="645">
        <f>+D70</f>
        <v>1084</v>
      </c>
      <c r="E69" s="645">
        <f>+E70</f>
        <v>0</v>
      </c>
      <c r="F69" s="2592">
        <v>0</v>
      </c>
      <c r="G69" s="645">
        <f>+G70</f>
        <v>1084</v>
      </c>
      <c r="H69" s="1317">
        <v>0</v>
      </c>
      <c r="I69" s="1317">
        <v>0</v>
      </c>
      <c r="J69" s="1317">
        <v>0</v>
      </c>
      <c r="K69" s="1317">
        <v>0</v>
      </c>
      <c r="L69" s="1317">
        <v>0</v>
      </c>
      <c r="M69" s="3672"/>
      <c r="N69" s="3672"/>
      <c r="O69" s="4452"/>
      <c r="P69" s="1272"/>
    </row>
    <row r="70" spans="1:17" s="3538" customFormat="1" ht="13.5" customHeight="1" thickBot="1">
      <c r="A70" s="4447"/>
      <c r="B70" s="2566" t="s">
        <v>13</v>
      </c>
      <c r="C70" s="3649"/>
      <c r="D70" s="1285">
        <f>E70+F70+G70+H70+I70+J70+K70+L70</f>
        <v>1084</v>
      </c>
      <c r="E70" s="275">
        <v>0</v>
      </c>
      <c r="F70" s="863">
        <v>0</v>
      </c>
      <c r="G70" s="631">
        <f>1889-805</f>
        <v>1084</v>
      </c>
      <c r="H70" s="593">
        <v>0</v>
      </c>
      <c r="I70" s="593">
        <v>0</v>
      </c>
      <c r="J70" s="593">
        <v>0</v>
      </c>
      <c r="K70" s="593">
        <v>0</v>
      </c>
      <c r="L70" s="593">
        <v>0</v>
      </c>
      <c r="M70" s="3672"/>
      <c r="N70" s="3672"/>
      <c r="O70" s="4343"/>
    </row>
    <row r="71" spans="1:17" s="3538" customFormat="1" ht="13.5" customHeight="1" thickBot="1">
      <c r="A71" s="4447"/>
      <c r="B71" s="2581" t="s">
        <v>18</v>
      </c>
      <c r="C71" s="3649"/>
      <c r="D71" s="852">
        <f>+D72</f>
        <v>3251</v>
      </c>
      <c r="E71" s="852">
        <f>+E72</f>
        <v>0</v>
      </c>
      <c r="F71" s="870">
        <v>0</v>
      </c>
      <c r="G71" s="852">
        <f>+G72</f>
        <v>3251</v>
      </c>
      <c r="H71" s="865">
        <v>0</v>
      </c>
      <c r="I71" s="865">
        <v>0</v>
      </c>
      <c r="J71" s="865">
        <v>0</v>
      </c>
      <c r="K71" s="865">
        <v>0</v>
      </c>
      <c r="L71" s="865">
        <v>0</v>
      </c>
      <c r="M71" s="3672"/>
      <c r="N71" s="3672"/>
      <c r="O71" s="4343"/>
    </row>
    <row r="72" spans="1:17" s="3538" customFormat="1" ht="13.5" customHeight="1" thickBot="1">
      <c r="A72" s="4447"/>
      <c r="B72" s="722" t="s">
        <v>20</v>
      </c>
      <c r="C72" s="3701"/>
      <c r="D72" s="1285">
        <f>E72+F72+G72+H72+I72+J72+K72+L72</f>
        <v>3251</v>
      </c>
      <c r="E72" s="275">
        <v>0</v>
      </c>
      <c r="F72" s="2593">
        <v>0</v>
      </c>
      <c r="G72" s="2590">
        <f>5672-2421</f>
        <v>3251</v>
      </c>
      <c r="H72" s="593">
        <v>0</v>
      </c>
      <c r="I72" s="593">
        <v>0</v>
      </c>
      <c r="J72" s="593">
        <v>0</v>
      </c>
      <c r="K72" s="593">
        <v>0</v>
      </c>
      <c r="L72" s="593">
        <v>0</v>
      </c>
      <c r="M72" s="3673"/>
      <c r="N72" s="3673"/>
      <c r="O72" s="4343"/>
      <c r="P72" s="721"/>
    </row>
    <row r="73" spans="1:17" ht="38.25" customHeight="1">
      <c r="A73" s="4429" t="s">
        <v>67</v>
      </c>
      <c r="B73" s="545" t="s">
        <v>572</v>
      </c>
      <c r="C73" s="546" t="s">
        <v>81</v>
      </c>
      <c r="D73" s="3543"/>
      <c r="E73" s="711"/>
      <c r="F73" s="3544"/>
      <c r="G73" s="3544"/>
      <c r="H73" s="3544"/>
      <c r="I73" s="3544"/>
      <c r="J73" s="3544"/>
      <c r="K73" s="3544"/>
      <c r="L73" s="3544"/>
      <c r="M73" s="712"/>
      <c r="N73" s="712"/>
      <c r="O73" s="3545"/>
    </row>
    <row r="74" spans="1:17" ht="15.75" customHeight="1">
      <c r="A74" s="4430"/>
      <c r="B74" s="453" t="s">
        <v>10</v>
      </c>
      <c r="C74" s="472"/>
      <c r="D74" s="627">
        <f>+D75+D78</f>
        <v>52566300</v>
      </c>
      <c r="E74" s="636">
        <f t="shared" ref="E74:L74" si="47">+E75+E78</f>
        <v>0</v>
      </c>
      <c r="F74" s="636">
        <f t="shared" si="47"/>
        <v>0</v>
      </c>
      <c r="G74" s="636">
        <f t="shared" si="47"/>
        <v>0</v>
      </c>
      <c r="H74" s="627">
        <f t="shared" si="47"/>
        <v>15657298</v>
      </c>
      <c r="I74" s="627">
        <f t="shared" si="47"/>
        <v>30313619</v>
      </c>
      <c r="J74" s="627">
        <f t="shared" si="47"/>
        <v>6595383</v>
      </c>
      <c r="K74" s="636">
        <f t="shared" si="47"/>
        <v>0</v>
      </c>
      <c r="L74" s="636">
        <f t="shared" si="47"/>
        <v>0</v>
      </c>
      <c r="M74" s="1539">
        <f>+M75+M78</f>
        <v>44681355</v>
      </c>
      <c r="N74" s="463">
        <f>+N75+N78</f>
        <v>52566300</v>
      </c>
      <c r="O74" s="4427" t="s">
        <v>569</v>
      </c>
      <c r="Q74" s="538"/>
    </row>
    <row r="75" spans="1:17" ht="12.75" customHeight="1">
      <c r="A75" s="4430"/>
      <c r="B75" s="713" t="s">
        <v>24</v>
      </c>
      <c r="C75" s="3646" t="s">
        <v>345</v>
      </c>
      <c r="D75" s="2586">
        <f>+D76+D77</f>
        <v>7884945</v>
      </c>
      <c r="E75" s="2587">
        <f t="shared" ref="E75:L75" si="48">+E76+E77</f>
        <v>0</v>
      </c>
      <c r="F75" s="2587">
        <f t="shared" si="48"/>
        <v>0</v>
      </c>
      <c r="G75" s="2587">
        <f t="shared" si="48"/>
        <v>0</v>
      </c>
      <c r="H75" s="2586">
        <f t="shared" si="48"/>
        <v>2348595</v>
      </c>
      <c r="I75" s="2586">
        <f t="shared" si="48"/>
        <v>4547043</v>
      </c>
      <c r="J75" s="2586">
        <f t="shared" si="48"/>
        <v>989307</v>
      </c>
      <c r="K75" s="2587">
        <f t="shared" si="48"/>
        <v>0</v>
      </c>
      <c r="L75" s="2587">
        <f t="shared" si="48"/>
        <v>0</v>
      </c>
      <c r="M75" s="1480">
        <f>+M76</f>
        <v>0</v>
      </c>
      <c r="N75" s="521">
        <f>+N76+N77</f>
        <v>7884945</v>
      </c>
      <c r="O75" s="4427"/>
    </row>
    <row r="76" spans="1:17" ht="14.25" customHeight="1">
      <c r="A76" s="4430"/>
      <c r="B76" s="714" t="s">
        <v>12</v>
      </c>
      <c r="C76" s="4436"/>
      <c r="D76" s="1285">
        <f>E76+F76+G76+H76+I76+J76+K76+L76</f>
        <v>2628315</v>
      </c>
      <c r="E76" s="3546">
        <v>0</v>
      </c>
      <c r="F76" s="3547">
        <v>0</v>
      </c>
      <c r="G76" s="3547">
        <v>0</v>
      </c>
      <c r="H76" s="1488">
        <v>782865</v>
      </c>
      <c r="I76" s="1488">
        <v>1515681</v>
      </c>
      <c r="J76" s="1488">
        <v>329769</v>
      </c>
      <c r="K76" s="3547">
        <v>0</v>
      </c>
      <c r="L76" s="3547">
        <v>0</v>
      </c>
      <c r="M76" s="3548"/>
      <c r="N76" s="522">
        <f>G76+H76+I76+J76+K76+L76</f>
        <v>2628315</v>
      </c>
      <c r="O76" s="4427"/>
      <c r="P76" s="3549">
        <f>D76+D88</f>
        <v>2628315</v>
      </c>
      <c r="Q76" s="539" t="s">
        <v>310</v>
      </c>
    </row>
    <row r="77" spans="1:17" ht="12.75" customHeight="1">
      <c r="A77" s="4430"/>
      <c r="B77" s="524" t="s">
        <v>17</v>
      </c>
      <c r="C77" s="4436"/>
      <c r="D77" s="1285">
        <f>E77+F77+G77+H77+I77+J77+K77+L77</f>
        <v>5256630</v>
      </c>
      <c r="E77" s="1510">
        <v>0</v>
      </c>
      <c r="F77" s="3547">
        <v>0</v>
      </c>
      <c r="G77" s="3547">
        <v>0</v>
      </c>
      <c r="H77" s="1488">
        <v>1565730</v>
      </c>
      <c r="I77" s="1488">
        <v>3031362</v>
      </c>
      <c r="J77" s="1488">
        <v>659538</v>
      </c>
      <c r="K77" s="3547">
        <v>0</v>
      </c>
      <c r="L77" s="3547">
        <v>0</v>
      </c>
      <c r="M77" s="3548"/>
      <c r="N77" s="522">
        <f>G77+H77+I77+J77+K77+L77</f>
        <v>5256630</v>
      </c>
      <c r="O77" s="4427"/>
      <c r="P77" s="3549">
        <f>D77+D89</f>
        <v>5256630</v>
      </c>
      <c r="Q77" s="539" t="s">
        <v>568</v>
      </c>
    </row>
    <row r="78" spans="1:17" ht="12" customHeight="1">
      <c r="A78" s="4430"/>
      <c r="B78" s="715" t="s">
        <v>18</v>
      </c>
      <c r="C78" s="4436"/>
      <c r="D78" s="629">
        <f>+D79</f>
        <v>44681355</v>
      </c>
      <c r="E78" s="2589">
        <f t="shared" ref="E78:M78" si="49">+E79</f>
        <v>0</v>
      </c>
      <c r="F78" s="2589">
        <f t="shared" si="49"/>
        <v>0</v>
      </c>
      <c r="G78" s="2589">
        <f t="shared" si="49"/>
        <v>0</v>
      </c>
      <c r="H78" s="629">
        <f t="shared" si="49"/>
        <v>13308703</v>
      </c>
      <c r="I78" s="629">
        <f t="shared" si="49"/>
        <v>25766576</v>
      </c>
      <c r="J78" s="629">
        <f t="shared" si="49"/>
        <v>5606076</v>
      </c>
      <c r="K78" s="2589">
        <f t="shared" si="49"/>
        <v>0</v>
      </c>
      <c r="L78" s="2589">
        <f t="shared" si="49"/>
        <v>0</v>
      </c>
      <c r="M78" s="629">
        <f t="shared" si="49"/>
        <v>44681355</v>
      </c>
      <c r="N78" s="521">
        <f t="shared" ref="N78" si="50">+N79</f>
        <v>44681355</v>
      </c>
      <c r="O78" s="4427"/>
    </row>
    <row r="79" spans="1:17" ht="12.75">
      <c r="A79" s="4430"/>
      <c r="B79" s="3550" t="s">
        <v>21</v>
      </c>
      <c r="C79" s="4436"/>
      <c r="D79" s="1285">
        <f>E79+F79+G79+H79+I79+J79+K79+L79</f>
        <v>44681355</v>
      </c>
      <c r="E79" s="3546">
        <v>0</v>
      </c>
      <c r="F79" s="3547">
        <v>0</v>
      </c>
      <c r="G79" s="3547">
        <v>0</v>
      </c>
      <c r="H79" s="1488">
        <v>13308703</v>
      </c>
      <c r="I79" s="1488">
        <v>25766576</v>
      </c>
      <c r="J79" s="1488">
        <v>5606076</v>
      </c>
      <c r="K79" s="3547">
        <v>0</v>
      </c>
      <c r="L79" s="3547">
        <v>0</v>
      </c>
      <c r="M79" s="1493">
        <f>SUM(E79:L79)</f>
        <v>44681355</v>
      </c>
      <c r="N79" s="522">
        <f>G79+H79+I79+J79+K79+L79</f>
        <v>44681355</v>
      </c>
      <c r="O79" s="4448"/>
    </row>
    <row r="80" spans="1:17" ht="15.75" customHeight="1">
      <c r="A80" s="4430"/>
      <c r="B80" s="183" t="s">
        <v>22</v>
      </c>
      <c r="C80" s="472"/>
      <c r="D80" s="626">
        <f>+D81+D83</f>
        <v>49937985</v>
      </c>
      <c r="E80" s="655">
        <f t="shared" ref="E80:L80" si="51">+E81+E83</f>
        <v>0</v>
      </c>
      <c r="F80" s="655">
        <f t="shared" si="51"/>
        <v>0</v>
      </c>
      <c r="G80" s="655">
        <f t="shared" si="51"/>
        <v>0</v>
      </c>
      <c r="H80" s="626">
        <f t="shared" si="51"/>
        <v>14874433</v>
      </c>
      <c r="I80" s="626">
        <f t="shared" si="51"/>
        <v>28797938</v>
      </c>
      <c r="J80" s="626">
        <f t="shared" si="51"/>
        <v>6265614</v>
      </c>
      <c r="K80" s="655">
        <f t="shared" si="51"/>
        <v>0</v>
      </c>
      <c r="L80" s="655">
        <f t="shared" si="51"/>
        <v>0</v>
      </c>
      <c r="M80" s="3812" t="s">
        <v>61</v>
      </c>
      <c r="N80" s="4437" t="s">
        <v>61</v>
      </c>
      <c r="O80" s="4426" t="s">
        <v>570</v>
      </c>
    </row>
    <row r="81" spans="1:17" ht="15.75" customHeight="1">
      <c r="A81" s="4430"/>
      <c r="B81" s="713" t="s">
        <v>24</v>
      </c>
      <c r="C81" s="3749" t="s">
        <v>571</v>
      </c>
      <c r="D81" s="629">
        <f>+D82</f>
        <v>5256630</v>
      </c>
      <c r="E81" s="2589">
        <f t="shared" ref="E81:L81" si="52">+E82</f>
        <v>0</v>
      </c>
      <c r="F81" s="2589">
        <f t="shared" si="52"/>
        <v>0</v>
      </c>
      <c r="G81" s="2589">
        <f t="shared" si="52"/>
        <v>0</v>
      </c>
      <c r="H81" s="629">
        <f t="shared" si="52"/>
        <v>1565730</v>
      </c>
      <c r="I81" s="629">
        <f t="shared" si="52"/>
        <v>3031362</v>
      </c>
      <c r="J81" s="629">
        <f t="shared" si="52"/>
        <v>659538</v>
      </c>
      <c r="K81" s="2589">
        <f t="shared" si="52"/>
        <v>0</v>
      </c>
      <c r="L81" s="2592">
        <f t="shared" si="52"/>
        <v>0</v>
      </c>
      <c r="M81" s="3813"/>
      <c r="N81" s="3675"/>
      <c r="O81" s="4427"/>
    </row>
    <row r="82" spans="1:17" ht="15.75" customHeight="1">
      <c r="A82" s="4430"/>
      <c r="B82" s="524" t="s">
        <v>17</v>
      </c>
      <c r="C82" s="3808"/>
      <c r="D82" s="3552">
        <f>E82+F82+G82+H82+I82+J82+K82+L82</f>
        <v>5256630</v>
      </c>
      <c r="E82" s="3553">
        <v>0</v>
      </c>
      <c r="F82" s="3554">
        <v>0</v>
      </c>
      <c r="G82" s="3554">
        <v>0</v>
      </c>
      <c r="H82" s="1488">
        <v>1565730</v>
      </c>
      <c r="I82" s="1488">
        <v>3031362</v>
      </c>
      <c r="J82" s="1488">
        <v>659538</v>
      </c>
      <c r="K82" s="3554">
        <v>0</v>
      </c>
      <c r="L82" s="3554">
        <v>0</v>
      </c>
      <c r="M82" s="3813"/>
      <c r="N82" s="3675"/>
      <c r="O82" s="4427"/>
    </row>
    <row r="83" spans="1:17" ht="14.25" customHeight="1">
      <c r="A83" s="4430"/>
      <c r="B83" s="715" t="s">
        <v>18</v>
      </c>
      <c r="C83" s="3808"/>
      <c r="D83" s="852">
        <f>+D84</f>
        <v>44681355</v>
      </c>
      <c r="E83" s="870">
        <f t="shared" ref="E83:L83" si="53">+E84</f>
        <v>0</v>
      </c>
      <c r="F83" s="870">
        <f t="shared" si="53"/>
        <v>0</v>
      </c>
      <c r="G83" s="870">
        <f t="shared" si="53"/>
        <v>0</v>
      </c>
      <c r="H83" s="852">
        <f t="shared" si="53"/>
        <v>13308703</v>
      </c>
      <c r="I83" s="852">
        <f t="shared" si="53"/>
        <v>25766576</v>
      </c>
      <c r="J83" s="852">
        <f t="shared" si="53"/>
        <v>5606076</v>
      </c>
      <c r="K83" s="870">
        <f t="shared" si="53"/>
        <v>0</v>
      </c>
      <c r="L83" s="870">
        <f t="shared" si="53"/>
        <v>0</v>
      </c>
      <c r="M83" s="3813"/>
      <c r="N83" s="3675"/>
      <c r="O83" s="4427"/>
    </row>
    <row r="84" spans="1:17" ht="13.5" thickBot="1">
      <c r="A84" s="4431"/>
      <c r="B84" s="3555" t="s">
        <v>21</v>
      </c>
      <c r="C84" s="4358"/>
      <c r="D84" s="1285">
        <f>E84+F84+G84+H84+I84+J84+K84+L84</f>
        <v>44681355</v>
      </c>
      <c r="E84" s="871">
        <v>0</v>
      </c>
      <c r="F84" s="557">
        <v>0</v>
      </c>
      <c r="G84" s="557">
        <v>0</v>
      </c>
      <c r="H84" s="1488">
        <v>13308703</v>
      </c>
      <c r="I84" s="1488">
        <v>25766576</v>
      </c>
      <c r="J84" s="1488">
        <v>5606076</v>
      </c>
      <c r="K84" s="557">
        <v>0</v>
      </c>
      <c r="L84" s="557">
        <v>0</v>
      </c>
      <c r="M84" s="3676"/>
      <c r="N84" s="3676"/>
      <c r="O84" s="4428"/>
    </row>
    <row r="85" spans="1:17" ht="42" hidden="1" customHeight="1">
      <c r="A85" s="4429" t="s">
        <v>64</v>
      </c>
      <c r="B85" s="545" t="s">
        <v>565</v>
      </c>
      <c r="C85" s="546" t="s">
        <v>109</v>
      </c>
      <c r="D85" s="3543"/>
      <c r="E85" s="711"/>
      <c r="F85" s="3544"/>
      <c r="G85" s="3544"/>
      <c r="H85" s="3544"/>
      <c r="I85" s="3544"/>
      <c r="J85" s="3544"/>
      <c r="K85" s="3544"/>
      <c r="L85" s="3544"/>
      <c r="M85" s="712"/>
      <c r="N85" s="712"/>
      <c r="O85" s="4432"/>
    </row>
    <row r="86" spans="1:17" ht="15.75" hidden="1" customHeight="1">
      <c r="A86" s="4430"/>
      <c r="B86" s="453" t="s">
        <v>10</v>
      </c>
      <c r="C86" s="472"/>
      <c r="D86" s="627">
        <f>+D87+D90</f>
        <v>0</v>
      </c>
      <c r="E86" s="627">
        <f t="shared" ref="E86:L86" si="54">+E87+E90</f>
        <v>0</v>
      </c>
      <c r="F86" s="627">
        <f t="shared" si="54"/>
        <v>0</v>
      </c>
      <c r="G86" s="627">
        <f t="shared" si="54"/>
        <v>0</v>
      </c>
      <c r="H86" s="627">
        <f t="shared" si="54"/>
        <v>0</v>
      </c>
      <c r="I86" s="627">
        <f t="shared" si="54"/>
        <v>0</v>
      </c>
      <c r="J86" s="627">
        <f t="shared" si="54"/>
        <v>0</v>
      </c>
      <c r="K86" s="627">
        <f t="shared" si="54"/>
        <v>0</v>
      </c>
      <c r="L86" s="627">
        <f t="shared" si="54"/>
        <v>0</v>
      </c>
      <c r="M86" s="1539">
        <f>+M87+M90</f>
        <v>0</v>
      </c>
      <c r="N86" s="463">
        <f>+N87+N90</f>
        <v>0</v>
      </c>
      <c r="O86" s="4433"/>
      <c r="Q86" s="538"/>
    </row>
    <row r="87" spans="1:17" ht="12.75" hidden="1" customHeight="1">
      <c r="A87" s="4430"/>
      <c r="B87" s="713" t="s">
        <v>24</v>
      </c>
      <c r="C87" s="3646" t="s">
        <v>567</v>
      </c>
      <c r="D87" s="2586">
        <f>+D88+D89</f>
        <v>0</v>
      </c>
      <c r="E87" s="2586">
        <f t="shared" ref="E87" si="55">+E88+E89</f>
        <v>0</v>
      </c>
      <c r="F87" s="2586">
        <f t="shared" ref="F87" si="56">+F88+F89</f>
        <v>0</v>
      </c>
      <c r="G87" s="2586">
        <f t="shared" ref="G87" si="57">+G88+G89</f>
        <v>0</v>
      </c>
      <c r="H87" s="2586">
        <f t="shared" ref="H87" si="58">+H88+H89</f>
        <v>0</v>
      </c>
      <c r="I87" s="2586">
        <f t="shared" ref="I87" si="59">+I88+I89</f>
        <v>0</v>
      </c>
      <c r="J87" s="2586">
        <f t="shared" ref="J87" si="60">+J88+J89</f>
        <v>0</v>
      </c>
      <c r="K87" s="2586">
        <f t="shared" ref="K87" si="61">+K88+K89</f>
        <v>0</v>
      </c>
      <c r="L87" s="2586">
        <f t="shared" ref="L87" si="62">+L88+L89</f>
        <v>0</v>
      </c>
      <c r="M87" s="1480">
        <f>+M88</f>
        <v>0</v>
      </c>
      <c r="N87" s="521">
        <f>+N88</f>
        <v>0</v>
      </c>
      <c r="O87" s="4434"/>
    </row>
    <row r="88" spans="1:17" ht="12.75" hidden="1" customHeight="1">
      <c r="A88" s="4430"/>
      <c r="B88" s="714" t="s">
        <v>12</v>
      </c>
      <c r="C88" s="4436"/>
      <c r="D88" s="3552">
        <f>E88+F88+G88+H88+I88+J88+K88+L88</f>
        <v>0</v>
      </c>
      <c r="E88" s="3556">
        <v>0</v>
      </c>
      <c r="F88" s="1488">
        <v>0</v>
      </c>
      <c r="G88" s="1488">
        <f>0</f>
        <v>0</v>
      </c>
      <c r="H88" s="1488"/>
      <c r="I88" s="1488"/>
      <c r="J88" s="1488"/>
      <c r="K88" s="1488"/>
      <c r="L88" s="1488"/>
      <c r="M88" s="3548"/>
      <c r="N88" s="522">
        <f>SUM(G88:M88)</f>
        <v>0</v>
      </c>
      <c r="O88" s="4434"/>
    </row>
    <row r="89" spans="1:17" ht="12.75" hidden="1" customHeight="1">
      <c r="A89" s="4430"/>
      <c r="B89" s="524" t="s">
        <v>17</v>
      </c>
      <c r="C89" s="4436"/>
      <c r="D89" s="3552">
        <f>E89+F89+G89+H89+I89+J89+K89+L89</f>
        <v>0</v>
      </c>
      <c r="E89" s="1511">
        <v>0</v>
      </c>
      <c r="F89" s="1488">
        <v>0</v>
      </c>
      <c r="G89" s="1488">
        <v>0</v>
      </c>
      <c r="H89" s="1488"/>
      <c r="I89" s="1488"/>
      <c r="J89" s="1488"/>
      <c r="K89" s="1488"/>
      <c r="L89" s="1488"/>
      <c r="M89" s="3548"/>
      <c r="N89" s="522">
        <f>SUM(G89:M89)</f>
        <v>0</v>
      </c>
      <c r="O89" s="4434"/>
    </row>
    <row r="90" spans="1:17" ht="12" hidden="1" customHeight="1">
      <c r="A90" s="4430"/>
      <c r="B90" s="715" t="s">
        <v>18</v>
      </c>
      <c r="C90" s="4436"/>
      <c r="D90" s="629">
        <f>+D91</f>
        <v>0</v>
      </c>
      <c r="E90" s="2550">
        <v>0</v>
      </c>
      <c r="F90" s="2550">
        <v>0</v>
      </c>
      <c r="G90" s="2550">
        <v>0</v>
      </c>
      <c r="H90" s="2550">
        <v>0</v>
      </c>
      <c r="I90" s="2550">
        <v>0</v>
      </c>
      <c r="J90" s="2550">
        <v>0</v>
      </c>
      <c r="K90" s="2550">
        <v>0</v>
      </c>
      <c r="L90" s="2550">
        <v>0</v>
      </c>
      <c r="M90" s="1480">
        <f t="shared" ref="M90:N90" si="63">+M91</f>
        <v>0</v>
      </c>
      <c r="N90" s="521">
        <f t="shared" si="63"/>
        <v>0</v>
      </c>
      <c r="O90" s="4434"/>
    </row>
    <row r="91" spans="1:17" ht="12.75" hidden="1">
      <c r="A91" s="4430"/>
      <c r="B91" s="3550" t="s">
        <v>21</v>
      </c>
      <c r="C91" s="4436"/>
      <c r="D91" s="3552">
        <f>E91+F91+G91+H91+I91+J91+K91+L91</f>
        <v>0</v>
      </c>
      <c r="E91" s="3556"/>
      <c r="F91" s="1488"/>
      <c r="G91" s="1488"/>
      <c r="H91" s="1488"/>
      <c r="I91" s="1488"/>
      <c r="J91" s="1488"/>
      <c r="K91" s="1488"/>
      <c r="L91" s="1488"/>
      <c r="M91" s="1493">
        <f>SUM(E91:H91)</f>
        <v>0</v>
      </c>
      <c r="N91" s="522">
        <f>SUM(F91:I91)</f>
        <v>0</v>
      </c>
      <c r="O91" s="4434"/>
    </row>
    <row r="92" spans="1:17" ht="15.75" hidden="1" customHeight="1">
      <c r="A92" s="4430"/>
      <c r="B92" s="183" t="s">
        <v>22</v>
      </c>
      <c r="C92" s="472"/>
      <c r="D92" s="626">
        <f>+D93+D95</f>
        <v>0</v>
      </c>
      <c r="E92" s="626">
        <f t="shared" ref="E92:L92" si="64">+E93+E95</f>
        <v>0</v>
      </c>
      <c r="F92" s="626">
        <f t="shared" si="64"/>
        <v>0</v>
      </c>
      <c r="G92" s="626">
        <f t="shared" si="64"/>
        <v>0</v>
      </c>
      <c r="H92" s="626">
        <f t="shared" si="64"/>
        <v>0</v>
      </c>
      <c r="I92" s="626">
        <f t="shared" si="64"/>
        <v>0</v>
      </c>
      <c r="J92" s="626">
        <f t="shared" si="64"/>
        <v>0</v>
      </c>
      <c r="K92" s="626">
        <f t="shared" si="64"/>
        <v>0</v>
      </c>
      <c r="L92" s="626">
        <f t="shared" si="64"/>
        <v>0</v>
      </c>
      <c r="M92" s="3812" t="s">
        <v>61</v>
      </c>
      <c r="N92" s="4437" t="s">
        <v>61</v>
      </c>
      <c r="O92" s="4434"/>
    </row>
    <row r="93" spans="1:17" ht="15.75" hidden="1" customHeight="1">
      <c r="A93" s="4430"/>
      <c r="B93" s="713" t="s">
        <v>24</v>
      </c>
      <c r="C93" s="3551"/>
      <c r="D93" s="645">
        <f>+D94</f>
        <v>0</v>
      </c>
      <c r="E93" s="645">
        <f t="shared" ref="E93:L93" si="65">+E94</f>
        <v>0</v>
      </c>
      <c r="F93" s="645">
        <f t="shared" si="65"/>
        <v>0</v>
      </c>
      <c r="G93" s="645">
        <f t="shared" si="65"/>
        <v>0</v>
      </c>
      <c r="H93" s="645">
        <f t="shared" si="65"/>
        <v>0</v>
      </c>
      <c r="I93" s="645">
        <f t="shared" si="65"/>
        <v>0</v>
      </c>
      <c r="J93" s="645">
        <f t="shared" si="65"/>
        <v>0</v>
      </c>
      <c r="K93" s="645">
        <f t="shared" si="65"/>
        <v>0</v>
      </c>
      <c r="L93" s="645">
        <f t="shared" si="65"/>
        <v>0</v>
      </c>
      <c r="M93" s="3813"/>
      <c r="N93" s="3675"/>
      <c r="O93" s="4434"/>
    </row>
    <row r="94" spans="1:17" ht="12" hidden="1">
      <c r="A94" s="4430"/>
      <c r="B94" s="524" t="s">
        <v>17</v>
      </c>
      <c r="C94" s="3551"/>
      <c r="D94" s="1285">
        <f>E94+F94+G94+H94+I94+J94+K94+L94</f>
        <v>0</v>
      </c>
      <c r="E94" s="3557">
        <v>0</v>
      </c>
      <c r="F94" s="3558">
        <v>0</v>
      </c>
      <c r="G94" s="3558">
        <v>0</v>
      </c>
      <c r="H94" s="1488"/>
      <c r="I94" s="1488"/>
      <c r="J94" s="1488"/>
      <c r="K94" s="3559"/>
      <c r="L94" s="3559"/>
      <c r="M94" s="3813"/>
      <c r="N94" s="3675"/>
      <c r="O94" s="4434"/>
    </row>
    <row r="95" spans="1:17" ht="12" hidden="1" customHeight="1">
      <c r="A95" s="4430"/>
      <c r="B95" s="715" t="s">
        <v>18</v>
      </c>
      <c r="C95" s="3730" t="s">
        <v>566</v>
      </c>
      <c r="D95" s="852">
        <f>+D96</f>
        <v>0</v>
      </c>
      <c r="E95" s="548">
        <v>0</v>
      </c>
      <c r="F95" s="548"/>
      <c r="G95" s="548"/>
      <c r="H95" s="548"/>
      <c r="I95" s="548"/>
      <c r="J95" s="548"/>
      <c r="K95" s="548"/>
      <c r="L95" s="548"/>
      <c r="M95" s="3675"/>
      <c r="N95" s="3675"/>
      <c r="O95" s="4434"/>
    </row>
    <row r="96" spans="1:17" ht="13.5" hidden="1" thickBot="1">
      <c r="A96" s="4431"/>
      <c r="B96" s="3555" t="s">
        <v>21</v>
      </c>
      <c r="C96" s="4438"/>
      <c r="D96" s="1285">
        <f>E96+F96+G96+H96+I96+J96+K96+L96</f>
        <v>0</v>
      </c>
      <c r="E96" s="448"/>
      <c r="F96" s="3560"/>
      <c r="G96" s="3560"/>
      <c r="H96" s="3560"/>
      <c r="I96" s="3560"/>
      <c r="J96" s="3560"/>
      <c r="K96" s="3560"/>
      <c r="L96" s="3560"/>
      <c r="M96" s="3676"/>
      <c r="N96" s="3676"/>
      <c r="O96" s="4435"/>
    </row>
    <row r="97" spans="1:17" ht="28.5" customHeight="1" thickBot="1">
      <c r="A97" s="187" t="s">
        <v>234</v>
      </c>
      <c r="B97" s="677"/>
      <c r="C97" s="677"/>
      <c r="D97" s="677"/>
      <c r="E97" s="677"/>
      <c r="F97" s="677"/>
      <c r="G97" s="677"/>
      <c r="H97" s="677"/>
      <c r="I97" s="677"/>
      <c r="J97" s="677"/>
      <c r="K97" s="677"/>
      <c r="L97" s="677"/>
      <c r="M97" s="678"/>
      <c r="N97" s="678"/>
      <c r="O97" s="3017"/>
    </row>
    <row r="98" spans="1:17" ht="15.75" customHeight="1">
      <c r="A98" s="580"/>
      <c r="B98" s="215" t="s">
        <v>76</v>
      </c>
      <c r="C98" s="216"/>
      <c r="D98" s="217">
        <f>+D99+D100</f>
        <v>312355</v>
      </c>
      <c r="E98" s="217">
        <v>24302</v>
      </c>
      <c r="F98" s="217">
        <f t="shared" ref="F98" si="66">+F99+F100</f>
        <v>54161</v>
      </c>
      <c r="G98" s="217">
        <f t="shared" ref="G98:N98" si="67">+G99+G100</f>
        <v>208325</v>
      </c>
      <c r="H98" s="217">
        <f t="shared" si="67"/>
        <v>25567</v>
      </c>
      <c r="I98" s="217">
        <f t="shared" si="67"/>
        <v>0</v>
      </c>
      <c r="J98" s="217">
        <f t="shared" si="67"/>
        <v>0</v>
      </c>
      <c r="K98" s="217">
        <f t="shared" si="67"/>
        <v>0</v>
      </c>
      <c r="L98" s="217">
        <f t="shared" si="67"/>
        <v>0</v>
      </c>
      <c r="M98" s="146">
        <f t="shared" ref="M98" si="68">+M99+M100</f>
        <v>288053</v>
      </c>
      <c r="N98" s="2847">
        <f t="shared" si="67"/>
        <v>233892</v>
      </c>
      <c r="O98" s="4453" t="s">
        <v>61</v>
      </c>
    </row>
    <row r="99" spans="1:17" ht="16.5" customHeight="1">
      <c r="A99" s="580"/>
      <c r="B99" s="207" t="s">
        <v>77</v>
      </c>
      <c r="C99" s="208"/>
      <c r="D99" s="209">
        <f>+D109+D113</f>
        <v>312355</v>
      </c>
      <c r="E99" s="209">
        <v>24302</v>
      </c>
      <c r="F99" s="209">
        <f t="shared" ref="F99:L99" si="69">+F109+F113</f>
        <v>54161</v>
      </c>
      <c r="G99" s="209">
        <f t="shared" si="69"/>
        <v>208325</v>
      </c>
      <c r="H99" s="209">
        <f t="shared" si="69"/>
        <v>25567</v>
      </c>
      <c r="I99" s="209">
        <f t="shared" si="69"/>
        <v>0</v>
      </c>
      <c r="J99" s="209">
        <f t="shared" si="69"/>
        <v>0</v>
      </c>
      <c r="K99" s="209">
        <f t="shared" si="69"/>
        <v>0</v>
      </c>
      <c r="L99" s="209">
        <f t="shared" si="69"/>
        <v>0</v>
      </c>
      <c r="M99" s="894">
        <f>SUM(F99:K99)</f>
        <v>288053</v>
      </c>
      <c r="N99" s="1854">
        <f>SUM(G99:L99)</f>
        <v>233892</v>
      </c>
      <c r="O99" s="4454"/>
    </row>
    <row r="100" spans="1:17" ht="12.75" thickBot="1">
      <c r="A100" s="580"/>
      <c r="B100" s="723" t="s">
        <v>9</v>
      </c>
      <c r="C100" s="208"/>
      <c r="D100" s="209"/>
      <c r="E100" s="209"/>
      <c r="F100" s="209"/>
      <c r="G100" s="356"/>
      <c r="H100" s="356"/>
      <c r="I100" s="356"/>
      <c r="J100" s="356"/>
      <c r="K100" s="356"/>
      <c r="L100" s="356"/>
      <c r="M100" s="148">
        <f>SUM(F100:H100)</f>
        <v>0</v>
      </c>
      <c r="N100" s="1853">
        <f>SUM(G100:I100)</f>
        <v>0</v>
      </c>
      <c r="O100" s="4454"/>
    </row>
    <row r="101" spans="1:17" ht="15.75" customHeight="1">
      <c r="A101" s="357"/>
      <c r="B101" s="177" t="s">
        <v>10</v>
      </c>
      <c r="C101" s="178"/>
      <c r="D101" s="152">
        <f>+D102</f>
        <v>312355</v>
      </c>
      <c r="E101" s="152">
        <v>24302</v>
      </c>
      <c r="F101" s="152">
        <f t="shared" ref="F101:L102" si="70">+F102</f>
        <v>54161</v>
      </c>
      <c r="G101" s="152">
        <f t="shared" si="70"/>
        <v>208325</v>
      </c>
      <c r="H101" s="152">
        <f t="shared" si="70"/>
        <v>25567</v>
      </c>
      <c r="I101" s="152">
        <f t="shared" si="70"/>
        <v>0</v>
      </c>
      <c r="J101" s="152">
        <f t="shared" si="70"/>
        <v>0</v>
      </c>
      <c r="K101" s="152">
        <f t="shared" si="70"/>
        <v>0</v>
      </c>
      <c r="L101" s="152">
        <f t="shared" si="70"/>
        <v>0</v>
      </c>
      <c r="M101" s="358">
        <f>+M102</f>
        <v>288053</v>
      </c>
      <c r="N101" s="2886">
        <f>+N102</f>
        <v>233892</v>
      </c>
      <c r="O101" s="4454"/>
    </row>
    <row r="102" spans="1:17" ht="15" customHeight="1">
      <c r="A102" s="191"/>
      <c r="B102" s="153" t="s">
        <v>11</v>
      </c>
      <c r="C102" s="4129" t="s">
        <v>61</v>
      </c>
      <c r="D102" s="552">
        <f>+D103+D104</f>
        <v>312355</v>
      </c>
      <c r="E102" s="552">
        <v>24302</v>
      </c>
      <c r="F102" s="552">
        <f t="shared" si="70"/>
        <v>54161</v>
      </c>
      <c r="G102" s="552">
        <f t="shared" si="70"/>
        <v>208325</v>
      </c>
      <c r="H102" s="552">
        <f t="shared" si="70"/>
        <v>25567</v>
      </c>
      <c r="I102" s="552">
        <f t="shared" si="70"/>
        <v>0</v>
      </c>
      <c r="J102" s="552">
        <f t="shared" si="70"/>
        <v>0</v>
      </c>
      <c r="K102" s="552">
        <f t="shared" si="70"/>
        <v>0</v>
      </c>
      <c r="L102" s="552">
        <f t="shared" si="70"/>
        <v>0</v>
      </c>
      <c r="M102" s="553">
        <f>+M103+M104</f>
        <v>288053</v>
      </c>
      <c r="N102" s="3006">
        <f>+N103+N104</f>
        <v>233892</v>
      </c>
      <c r="O102" s="4454"/>
    </row>
    <row r="103" spans="1:17" ht="15" customHeight="1" thickBot="1">
      <c r="A103" s="682"/>
      <c r="B103" s="156" t="s">
        <v>12</v>
      </c>
      <c r="C103" s="4130"/>
      <c r="D103" s="554">
        <f>+D111+D115</f>
        <v>312355</v>
      </c>
      <c r="E103" s="554">
        <f t="shared" ref="E103:L103" si="71">+E111+E115</f>
        <v>24302</v>
      </c>
      <c r="F103" s="554">
        <f t="shared" si="71"/>
        <v>54161</v>
      </c>
      <c r="G103" s="554">
        <f t="shared" si="71"/>
        <v>208325</v>
      </c>
      <c r="H103" s="554">
        <f t="shared" si="71"/>
        <v>25567</v>
      </c>
      <c r="I103" s="554">
        <f t="shared" si="71"/>
        <v>0</v>
      </c>
      <c r="J103" s="554">
        <f t="shared" si="71"/>
        <v>0</v>
      </c>
      <c r="K103" s="554">
        <f t="shared" si="71"/>
        <v>0</v>
      </c>
      <c r="L103" s="554">
        <f t="shared" si="71"/>
        <v>0</v>
      </c>
      <c r="M103" s="522">
        <f>SUM(F103:K103)</f>
        <v>288053</v>
      </c>
      <c r="N103" s="3007">
        <f>SUM(G103:L103)</f>
        <v>233892</v>
      </c>
      <c r="O103" s="4454"/>
    </row>
    <row r="104" spans="1:17" ht="12.75" hidden="1" customHeight="1" thickBot="1">
      <c r="A104" s="682"/>
      <c r="B104" s="156" t="s">
        <v>14</v>
      </c>
      <c r="C104" s="4455"/>
      <c r="D104" s="554">
        <f>+D123</f>
        <v>0</v>
      </c>
      <c r="E104" s="1216">
        <v>0</v>
      </c>
      <c r="F104" s="554">
        <f t="shared" ref="F104:I104" si="72">+F123</f>
        <v>0</v>
      </c>
      <c r="G104" s="554">
        <f t="shared" si="72"/>
        <v>0</v>
      </c>
      <c r="H104" s="554">
        <f t="shared" si="72"/>
        <v>0</v>
      </c>
      <c r="I104" s="554">
        <f t="shared" si="72"/>
        <v>0</v>
      </c>
      <c r="J104" s="554"/>
      <c r="K104" s="554"/>
      <c r="L104" s="554"/>
      <c r="M104" s="464">
        <f>SUM(E104:K104)</f>
        <v>0</v>
      </c>
      <c r="N104" s="3008">
        <f>SUM(F104:L104)</f>
        <v>0</v>
      </c>
      <c r="O104" s="4125"/>
    </row>
    <row r="105" spans="1:17" ht="12" hidden="1" customHeight="1">
      <c r="A105" s="357"/>
      <c r="B105" s="80" t="s">
        <v>22</v>
      </c>
      <c r="C105" s="88"/>
      <c r="D105" s="190">
        <f>+D106</f>
        <v>0</v>
      </c>
      <c r="E105" s="1217">
        <v>0</v>
      </c>
      <c r="F105" s="190">
        <f t="shared" ref="F105:I106" si="73">+F106</f>
        <v>0</v>
      </c>
      <c r="G105" s="190">
        <f t="shared" si="73"/>
        <v>0</v>
      </c>
      <c r="H105" s="190">
        <f t="shared" si="73"/>
        <v>0</v>
      </c>
      <c r="I105" s="190">
        <f t="shared" si="73"/>
        <v>0</v>
      </c>
      <c r="J105" s="190"/>
      <c r="K105" s="190"/>
      <c r="L105" s="190"/>
      <c r="M105" s="4221" t="s">
        <v>61</v>
      </c>
      <c r="N105" s="4222" t="s">
        <v>61</v>
      </c>
      <c r="O105" s="4126"/>
    </row>
    <row r="106" spans="1:17" ht="12" hidden="1" customHeight="1">
      <c r="A106" s="357"/>
      <c r="B106" s="153" t="s">
        <v>11</v>
      </c>
      <c r="C106" s="4129" t="s">
        <v>61</v>
      </c>
      <c r="D106" s="552">
        <f>+D107</f>
        <v>0</v>
      </c>
      <c r="E106" s="1215">
        <v>0</v>
      </c>
      <c r="F106" s="552">
        <f t="shared" si="73"/>
        <v>0</v>
      </c>
      <c r="G106" s="552">
        <f t="shared" si="73"/>
        <v>0</v>
      </c>
      <c r="H106" s="552">
        <f t="shared" si="73"/>
        <v>0</v>
      </c>
      <c r="I106" s="552">
        <f t="shared" si="73"/>
        <v>0</v>
      </c>
      <c r="J106" s="552"/>
      <c r="K106" s="552"/>
      <c r="L106" s="552"/>
      <c r="M106" s="4042"/>
      <c r="N106" s="4044"/>
      <c r="O106" s="4126"/>
    </row>
    <row r="107" spans="1:17" ht="12.75" hidden="1" customHeight="1" thickBot="1">
      <c r="A107" s="682"/>
      <c r="B107" s="3153" t="s">
        <v>14</v>
      </c>
      <c r="C107" s="4130"/>
      <c r="D107" s="3154">
        <f>+D126</f>
        <v>0</v>
      </c>
      <c r="E107" s="3155">
        <v>0</v>
      </c>
      <c r="F107" s="3154">
        <f t="shared" ref="F107:I107" si="74">+F126</f>
        <v>0</v>
      </c>
      <c r="G107" s="3154">
        <f t="shared" si="74"/>
        <v>0</v>
      </c>
      <c r="H107" s="3154">
        <f t="shared" si="74"/>
        <v>0</v>
      </c>
      <c r="I107" s="3154">
        <f t="shared" si="74"/>
        <v>0</v>
      </c>
      <c r="J107" s="364"/>
      <c r="K107" s="364"/>
      <c r="L107" s="364"/>
      <c r="M107" s="4042"/>
      <c r="N107" s="4044"/>
      <c r="O107" s="4124"/>
    </row>
    <row r="108" spans="1:17" ht="18" customHeight="1" thickBot="1">
      <c r="A108" s="4120" t="s">
        <v>63</v>
      </c>
      <c r="B108" s="365" t="s">
        <v>428</v>
      </c>
      <c r="C108" s="546" t="s">
        <v>109</v>
      </c>
      <c r="D108" s="724"/>
      <c r="E108" s="1218"/>
      <c r="F108" s="725"/>
      <c r="G108" s="725"/>
      <c r="H108" s="725"/>
      <c r="I108" s="725"/>
      <c r="J108" s="725"/>
      <c r="K108" s="725"/>
      <c r="L108" s="725"/>
      <c r="M108" s="338"/>
      <c r="N108" s="338"/>
      <c r="O108" s="4441" t="s">
        <v>288</v>
      </c>
    </row>
    <row r="109" spans="1:17" ht="17.25" customHeight="1" thickBot="1">
      <c r="A109" s="4120"/>
      <c r="B109" s="80" t="s">
        <v>10</v>
      </c>
      <c r="C109" s="2943"/>
      <c r="D109" s="1444">
        <f>+D110</f>
        <v>103580</v>
      </c>
      <c r="E109" s="1444">
        <f t="shared" ref="E109:N110" si="75">+E110</f>
        <v>24302</v>
      </c>
      <c r="F109" s="1444">
        <f t="shared" si="75"/>
        <v>26855</v>
      </c>
      <c r="G109" s="1444">
        <f t="shared" si="75"/>
        <v>26856</v>
      </c>
      <c r="H109" s="1444">
        <f t="shared" si="75"/>
        <v>25567</v>
      </c>
      <c r="I109" s="2944">
        <v>0</v>
      </c>
      <c r="J109" s="2944">
        <v>0</v>
      </c>
      <c r="K109" s="2944">
        <v>0</v>
      </c>
      <c r="L109" s="2944">
        <v>0</v>
      </c>
      <c r="M109" s="1470">
        <f t="shared" si="75"/>
        <v>79278</v>
      </c>
      <c r="N109" s="2995">
        <f t="shared" si="75"/>
        <v>52423</v>
      </c>
      <c r="O109" s="4441"/>
    </row>
    <row r="110" spans="1:17" ht="15.75" customHeight="1" thickBot="1">
      <c r="A110" s="4120"/>
      <c r="B110" s="2478" t="s">
        <v>24</v>
      </c>
      <c r="C110" s="4444" t="s">
        <v>235</v>
      </c>
      <c r="D110" s="2945">
        <f>+D111</f>
        <v>103580</v>
      </c>
      <c r="E110" s="2945">
        <f t="shared" si="75"/>
        <v>24302</v>
      </c>
      <c r="F110" s="2945">
        <f t="shared" si="75"/>
        <v>26855</v>
      </c>
      <c r="G110" s="2945">
        <f t="shared" si="75"/>
        <v>26856</v>
      </c>
      <c r="H110" s="2945">
        <f t="shared" si="75"/>
        <v>25567</v>
      </c>
      <c r="I110" s="2946">
        <v>0</v>
      </c>
      <c r="J110" s="2946">
        <v>0</v>
      </c>
      <c r="K110" s="2946">
        <v>0</v>
      </c>
      <c r="L110" s="2946">
        <v>0</v>
      </c>
      <c r="M110" s="1855">
        <f t="shared" si="75"/>
        <v>79278</v>
      </c>
      <c r="N110" s="3156">
        <f t="shared" si="75"/>
        <v>52423</v>
      </c>
      <c r="O110" s="4441"/>
    </row>
    <row r="111" spans="1:17" ht="15" customHeight="1" thickBot="1">
      <c r="A111" s="4120"/>
      <c r="B111" s="556" t="s">
        <v>12</v>
      </c>
      <c r="C111" s="4141"/>
      <c r="D111" s="1766">
        <f>E111+F111+G111+H111+I111+J111+K111+L111</f>
        <v>103580</v>
      </c>
      <c r="E111" s="2283">
        <v>24302</v>
      </c>
      <c r="F111" s="1579">
        <v>26855</v>
      </c>
      <c r="G111" s="1579">
        <v>26856</v>
      </c>
      <c r="H111" s="1579">
        <v>25567</v>
      </c>
      <c r="I111" s="1792">
        <v>0</v>
      </c>
      <c r="J111" s="1792">
        <v>0</v>
      </c>
      <c r="K111" s="1792">
        <v>0</v>
      </c>
      <c r="L111" s="1792">
        <v>0</v>
      </c>
      <c r="M111" s="2486">
        <f>SUM(F111:K111)</f>
        <v>79278</v>
      </c>
      <c r="N111" s="3157">
        <f>SUM(G111:L111)</f>
        <v>52423</v>
      </c>
      <c r="O111" s="4443"/>
    </row>
    <row r="112" spans="1:17" ht="25.5" customHeight="1" thickBot="1">
      <c r="A112" s="4120" t="s">
        <v>64</v>
      </c>
      <c r="B112" s="365" t="s">
        <v>346</v>
      </c>
      <c r="C112" s="546" t="s">
        <v>109</v>
      </c>
      <c r="D112" s="3189"/>
      <c r="E112" s="3190"/>
      <c r="F112" s="3191"/>
      <c r="G112" s="3191"/>
      <c r="H112" s="3191"/>
      <c r="I112" s="3191"/>
      <c r="J112" s="3191"/>
      <c r="K112" s="3191"/>
      <c r="L112" s="3192"/>
      <c r="M112" s="338"/>
      <c r="N112" s="3031"/>
      <c r="O112" s="4441" t="s">
        <v>282</v>
      </c>
      <c r="Q112" s="538">
        <f>+N113+N109</f>
        <v>233892</v>
      </c>
    </row>
    <row r="113" spans="1:15" ht="17.25" customHeight="1">
      <c r="A113" s="4158"/>
      <c r="B113" s="80" t="s">
        <v>10</v>
      </c>
      <c r="C113" s="2943"/>
      <c r="D113" s="1444">
        <f>+D114</f>
        <v>208775</v>
      </c>
      <c r="E113" s="2944">
        <f t="shared" ref="E113:N114" si="76">+E114</f>
        <v>0</v>
      </c>
      <c r="F113" s="1444">
        <f t="shared" si="76"/>
        <v>27306</v>
      </c>
      <c r="G113" s="1444">
        <f t="shared" si="76"/>
        <v>181469</v>
      </c>
      <c r="H113" s="2944">
        <f t="shared" si="76"/>
        <v>0</v>
      </c>
      <c r="I113" s="2944">
        <v>0</v>
      </c>
      <c r="J113" s="2944">
        <v>0</v>
      </c>
      <c r="K113" s="2944">
        <v>0</v>
      </c>
      <c r="L113" s="1535">
        <v>0</v>
      </c>
      <c r="M113" s="2995">
        <f t="shared" si="76"/>
        <v>208775</v>
      </c>
      <c r="N113" s="2916">
        <f t="shared" si="76"/>
        <v>181469</v>
      </c>
      <c r="O113" s="4188"/>
    </row>
    <row r="114" spans="1:15" ht="15.75" customHeight="1" thickBot="1">
      <c r="A114" s="4160"/>
      <c r="B114" s="2478" t="s">
        <v>24</v>
      </c>
      <c r="C114" s="4444" t="s">
        <v>345</v>
      </c>
      <c r="D114" s="2945">
        <f>+D115</f>
        <v>208775</v>
      </c>
      <c r="E114" s="2946">
        <f t="shared" si="76"/>
        <v>0</v>
      </c>
      <c r="F114" s="2945">
        <f t="shared" si="76"/>
        <v>27306</v>
      </c>
      <c r="G114" s="2945">
        <f t="shared" si="76"/>
        <v>181469</v>
      </c>
      <c r="H114" s="2946">
        <f t="shared" si="76"/>
        <v>0</v>
      </c>
      <c r="I114" s="2946">
        <v>0</v>
      </c>
      <c r="J114" s="2946">
        <v>0</v>
      </c>
      <c r="K114" s="2946">
        <v>0</v>
      </c>
      <c r="L114" s="3150">
        <v>0</v>
      </c>
      <c r="M114" s="1855">
        <f t="shared" si="76"/>
        <v>208775</v>
      </c>
      <c r="N114" s="2999">
        <f t="shared" si="76"/>
        <v>181469</v>
      </c>
      <c r="O114" s="4442"/>
    </row>
    <row r="115" spans="1:15" ht="15" customHeight="1" thickBot="1">
      <c r="A115" s="4120"/>
      <c r="B115" s="556" t="s">
        <v>12</v>
      </c>
      <c r="C115" s="4141"/>
      <c r="D115" s="1766">
        <f>E115+F115+G115+H115+I115+J115+K115+L115</f>
        <v>208775</v>
      </c>
      <c r="E115" s="1792">
        <v>0</v>
      </c>
      <c r="F115" s="1579">
        <f>34000-6694</f>
        <v>27306</v>
      </c>
      <c r="G115" s="1579">
        <f>166000+15469</f>
        <v>181469</v>
      </c>
      <c r="H115" s="1792">
        <v>0</v>
      </c>
      <c r="I115" s="1792">
        <v>0</v>
      </c>
      <c r="J115" s="1792">
        <v>0</v>
      </c>
      <c r="K115" s="1792">
        <v>0</v>
      </c>
      <c r="L115" s="1792">
        <v>0</v>
      </c>
      <c r="M115" s="3151">
        <f>SUM(F115:K115)</f>
        <v>208775</v>
      </c>
      <c r="N115" s="3152">
        <f>SUM(G115:L115)</f>
        <v>181469</v>
      </c>
      <c r="O115" s="4443"/>
    </row>
    <row r="116" spans="1:15" ht="30" customHeight="1" thickBot="1">
      <c r="A116" s="4449"/>
      <c r="B116" s="4449"/>
      <c r="C116" s="4449"/>
      <c r="D116" s="4449"/>
      <c r="E116" s="4449"/>
      <c r="F116" s="4449"/>
      <c r="G116" s="4449"/>
      <c r="H116" s="4449"/>
      <c r="I116" s="4449"/>
      <c r="J116" s="4449"/>
      <c r="K116" s="4449"/>
      <c r="L116" s="4449"/>
      <c r="M116" s="3539"/>
      <c r="N116" s="4449"/>
      <c r="O116" s="4450"/>
    </row>
    <row r="117" spans="1:15" hidden="1">
      <c r="O117" s="2889"/>
    </row>
    <row r="118" spans="1:15" ht="12.75" hidden="1">
      <c r="B118" s="2906" t="s">
        <v>350</v>
      </c>
      <c r="C118" s="2907"/>
      <c r="D118" s="2907"/>
      <c r="E118" s="2907"/>
      <c r="F118" s="2907"/>
      <c r="G118" s="2907"/>
      <c r="H118" s="2907"/>
      <c r="I118" s="2907"/>
      <c r="J118" s="2907"/>
      <c r="K118" s="2907"/>
      <c r="L118" s="2907"/>
    </row>
    <row r="119" spans="1:15" ht="12.75" hidden="1">
      <c r="B119" s="3538" t="s">
        <v>351</v>
      </c>
      <c r="C119" s="2907"/>
      <c r="D119" s="2908">
        <f t="shared" ref="D119:L119" si="77">D32+D41+D57</f>
        <v>1971431</v>
      </c>
      <c r="E119" s="2908">
        <f t="shared" si="77"/>
        <v>0</v>
      </c>
      <c r="F119" s="2908">
        <f t="shared" si="77"/>
        <v>482232</v>
      </c>
      <c r="G119" s="2908">
        <f t="shared" si="77"/>
        <v>701039</v>
      </c>
      <c r="H119" s="2908">
        <f t="shared" si="77"/>
        <v>627014</v>
      </c>
      <c r="I119" s="2908">
        <f t="shared" si="77"/>
        <v>94942</v>
      </c>
      <c r="J119" s="2908">
        <f t="shared" si="77"/>
        <v>66204</v>
      </c>
      <c r="K119" s="2908">
        <f t="shared" si="77"/>
        <v>0</v>
      </c>
      <c r="L119" s="2908">
        <f t="shared" si="77"/>
        <v>0</v>
      </c>
    </row>
    <row r="120" spans="1:15" ht="12.75" hidden="1">
      <c r="B120" s="3538" t="s">
        <v>352</v>
      </c>
      <c r="C120" s="2907"/>
      <c r="D120" s="2908">
        <f>D68+D80</f>
        <v>49942320</v>
      </c>
      <c r="E120" s="2908">
        <f t="shared" ref="E120:L120" si="78">E68+E80</f>
        <v>0</v>
      </c>
      <c r="F120" s="2908">
        <f t="shared" si="78"/>
        <v>0</v>
      </c>
      <c r="G120" s="2908">
        <f t="shared" si="78"/>
        <v>4335</v>
      </c>
      <c r="H120" s="2908">
        <f t="shared" si="78"/>
        <v>14874433</v>
      </c>
      <c r="I120" s="2908">
        <f t="shared" si="78"/>
        <v>28797938</v>
      </c>
      <c r="J120" s="2908">
        <f t="shared" si="78"/>
        <v>6265614</v>
      </c>
      <c r="K120" s="2908">
        <f t="shared" si="78"/>
        <v>0</v>
      </c>
      <c r="L120" s="2908">
        <f t="shared" si="78"/>
        <v>0</v>
      </c>
    </row>
    <row r="121" spans="1:15" ht="13.5" hidden="1" thickBot="1">
      <c r="A121" s="2780"/>
      <c r="B121" s="2884" t="s">
        <v>353</v>
      </c>
      <c r="C121" s="2885"/>
      <c r="D121" s="2973">
        <f>D119+D120</f>
        <v>51913751</v>
      </c>
      <c r="E121" s="2973">
        <f>E119+E120</f>
        <v>0</v>
      </c>
      <c r="F121" s="2973">
        <f t="shared" ref="F121:L121" si="79">F119+F120</f>
        <v>482232</v>
      </c>
      <c r="G121" s="2973">
        <f t="shared" si="79"/>
        <v>705374</v>
      </c>
      <c r="H121" s="2973">
        <f t="shared" si="79"/>
        <v>15501447</v>
      </c>
      <c r="I121" s="2973">
        <f t="shared" si="79"/>
        <v>28892880</v>
      </c>
      <c r="J121" s="2973">
        <f t="shared" si="79"/>
        <v>6331818</v>
      </c>
      <c r="K121" s="2973">
        <f t="shared" si="79"/>
        <v>0</v>
      </c>
      <c r="L121" s="2973">
        <f t="shared" si="79"/>
        <v>0</v>
      </c>
      <c r="O121" s="2878"/>
    </row>
    <row r="122" spans="1:15" ht="13.5" hidden="1" thickBot="1">
      <c r="A122" s="2781"/>
      <c r="B122" s="1230" t="s">
        <v>42</v>
      </c>
      <c r="C122" s="1232"/>
      <c r="D122" s="1235">
        <f t="shared" ref="D122:L122" si="80">D121-D19</f>
        <v>0</v>
      </c>
      <c r="E122" s="1235">
        <f t="shared" si="80"/>
        <v>0</v>
      </c>
      <c r="F122" s="1235">
        <f t="shared" si="80"/>
        <v>0</v>
      </c>
      <c r="G122" s="1235">
        <f t="shared" si="80"/>
        <v>0</v>
      </c>
      <c r="H122" s="1235">
        <f t="shared" si="80"/>
        <v>0</v>
      </c>
      <c r="I122" s="1235">
        <f t="shared" si="80"/>
        <v>0</v>
      </c>
      <c r="J122" s="1235">
        <f t="shared" si="80"/>
        <v>0</v>
      </c>
      <c r="K122" s="1235">
        <f t="shared" si="80"/>
        <v>0</v>
      </c>
      <c r="L122" s="1235">
        <f t="shared" si="80"/>
        <v>0</v>
      </c>
      <c r="O122" s="2862"/>
    </row>
    <row r="123" spans="1:15" ht="12" hidden="1" thickBot="1">
      <c r="A123" s="2781"/>
      <c r="O123" s="2862"/>
    </row>
    <row r="124" spans="1:15" ht="12" thickBot="1">
      <c r="A124" s="2781"/>
      <c r="O124" s="2862"/>
    </row>
    <row r="125" spans="1:15" ht="12" thickBot="1">
      <c r="A125" s="2781"/>
      <c r="O125" s="2862"/>
    </row>
    <row r="126" spans="1:15" ht="12" thickBot="1">
      <c r="A126" s="2781"/>
      <c r="O126" s="2862"/>
    </row>
    <row r="127" spans="1:15" ht="12" thickBot="1">
      <c r="A127" s="2781"/>
      <c r="O127" s="2862"/>
    </row>
    <row r="128" spans="1:15" ht="12" thickBot="1">
      <c r="A128" s="2781"/>
      <c r="O128" s="2862"/>
    </row>
    <row r="129" spans="1:15">
      <c r="A129" s="2782"/>
      <c r="O129" s="2863"/>
    </row>
    <row r="190" spans="1:1" ht="12" thickBot="1">
      <c r="A190" s="2780"/>
    </row>
    <row r="191" spans="1:1" ht="12" thickBot="1">
      <c r="A191" s="2781"/>
    </row>
    <row r="192" spans="1:1" ht="12" thickBot="1">
      <c r="A192" s="2781"/>
    </row>
    <row r="193" spans="1:2" ht="12" thickBot="1">
      <c r="A193" s="2781"/>
    </row>
    <row r="194" spans="1:2" ht="12" thickBot="1">
      <c r="A194" s="2781"/>
    </row>
    <row r="195" spans="1:2" ht="12" thickBot="1">
      <c r="A195" s="2781"/>
    </row>
    <row r="196" spans="1:2" ht="12" thickBot="1">
      <c r="A196" s="2781"/>
    </row>
    <row r="197" spans="1:2" ht="12" thickBot="1">
      <c r="A197" s="2781"/>
    </row>
    <row r="198" spans="1:2" ht="12" thickBot="1">
      <c r="A198" s="2781"/>
    </row>
    <row r="199" spans="1:2" ht="12" thickBot="1">
      <c r="A199" s="2781"/>
    </row>
    <row r="200" spans="1:2" ht="12" thickBot="1">
      <c r="A200" s="2781"/>
    </row>
    <row r="201" spans="1:2" ht="12" thickBot="1">
      <c r="A201" s="2781"/>
      <c r="B201" s="2763"/>
    </row>
    <row r="202" spans="1:2" ht="12" thickBot="1">
      <c r="A202" s="2781"/>
      <c r="B202" s="2765"/>
    </row>
    <row r="203" spans="1:2" ht="12" thickBot="1">
      <c r="A203" s="2781"/>
    </row>
    <row r="204" spans="1:2" ht="12" thickBot="1">
      <c r="A204" s="2781"/>
    </row>
    <row r="205" spans="1:2" ht="12" thickBot="1">
      <c r="A205" s="2781"/>
    </row>
    <row r="206" spans="1:2" ht="12" thickBot="1">
      <c r="A206" s="2781"/>
    </row>
    <row r="207" spans="1:2" ht="12" thickBot="1">
      <c r="A207" s="2781"/>
    </row>
    <row r="208" spans="1:2" ht="12" thickBot="1">
      <c r="A208" s="2781"/>
    </row>
    <row r="209" spans="1:15" ht="12" thickBot="1">
      <c r="A209" s="2781"/>
    </row>
    <row r="210" spans="1:15" ht="12" thickBot="1">
      <c r="A210" s="2781"/>
    </row>
    <row r="211" spans="1:15" ht="12" thickBot="1">
      <c r="A211" s="2781"/>
    </row>
    <row r="212" spans="1:15" ht="12" thickBot="1">
      <c r="A212" s="2781"/>
    </row>
    <row r="213" spans="1:15" ht="12" thickBot="1">
      <c r="A213" s="2781"/>
    </row>
    <row r="214" spans="1:15" ht="12" thickBot="1">
      <c r="A214" s="2781"/>
    </row>
    <row r="215" spans="1:15" ht="12" thickBot="1">
      <c r="A215" s="2781"/>
      <c r="N215" s="2763"/>
      <c r="O215" s="2749"/>
    </row>
    <row r="216" spans="1:15" ht="12" thickBot="1">
      <c r="A216" s="2781"/>
      <c r="C216" s="2763"/>
      <c r="N216" s="2764"/>
      <c r="O216" s="2750"/>
    </row>
    <row r="217" spans="1:15" ht="12" thickBot="1">
      <c r="A217" s="2781"/>
      <c r="C217" s="2764"/>
      <c r="N217" s="2764"/>
      <c r="O217" s="2750"/>
    </row>
    <row r="218" spans="1:15" ht="12" thickBot="1">
      <c r="A218" s="2781"/>
      <c r="C218" s="2764"/>
      <c r="N218" s="2764"/>
      <c r="O218" s="2750"/>
    </row>
    <row r="219" spans="1:15" ht="12" thickBot="1">
      <c r="A219" s="2782"/>
      <c r="C219" s="2764"/>
      <c r="D219" s="2763"/>
      <c r="E219" s="2763"/>
      <c r="F219" s="2763"/>
      <c r="G219" s="2763"/>
      <c r="H219" s="2763"/>
      <c r="I219" s="2763"/>
      <c r="J219" s="2763"/>
      <c r="K219" s="2763"/>
      <c r="L219" s="2763"/>
      <c r="N219" s="2764"/>
      <c r="O219" s="2750"/>
    </row>
    <row r="220" spans="1:15" ht="12" thickBot="1">
      <c r="C220" s="2765"/>
      <c r="D220" s="2765"/>
      <c r="E220" s="2765"/>
      <c r="F220" s="2765"/>
      <c r="G220" s="2765"/>
      <c r="H220" s="2765"/>
      <c r="I220" s="2765"/>
      <c r="J220" s="2765"/>
      <c r="K220" s="2765"/>
      <c r="L220" s="2765"/>
      <c r="N220" s="2765"/>
      <c r="O220" s="2750"/>
    </row>
    <row r="221" spans="1:15" ht="12" thickBot="1">
      <c r="O221" s="2750"/>
    </row>
    <row r="222" spans="1:15" ht="12" thickBot="1">
      <c r="O222" s="2750"/>
    </row>
    <row r="223" spans="1:15" ht="12" thickBot="1">
      <c r="O223" s="2750"/>
    </row>
    <row r="224" spans="1:15" ht="12" thickBot="1">
      <c r="O224" s="2750"/>
    </row>
    <row r="225" spans="15:15" ht="12" thickBot="1">
      <c r="O225" s="2750"/>
    </row>
    <row r="226" spans="15:15" ht="12" thickBot="1">
      <c r="O226" s="2750"/>
    </row>
    <row r="227" spans="15:15" ht="12" thickBot="1">
      <c r="O227" s="2750"/>
    </row>
    <row r="228" spans="15:15" ht="12" thickBot="1">
      <c r="O228" s="2750"/>
    </row>
    <row r="229" spans="15:15">
      <c r="O229" s="2751"/>
    </row>
    <row r="263" spans="15:15" ht="12" thickBot="1">
      <c r="O263" s="2749"/>
    </row>
    <row r="264" spans="15:15" ht="12" thickBot="1">
      <c r="O264" s="2750"/>
    </row>
    <row r="265" spans="15:15" ht="12" thickBot="1">
      <c r="O265" s="2750"/>
    </row>
    <row r="266" spans="15:15" ht="12" thickBot="1">
      <c r="O266" s="2750"/>
    </row>
    <row r="267" spans="15:15" ht="12" thickBot="1">
      <c r="O267" s="2750"/>
    </row>
    <row r="268" spans="15:15" ht="12" thickBot="1">
      <c r="O268" s="2750"/>
    </row>
    <row r="269" spans="15:15" ht="12" thickBot="1">
      <c r="O269" s="2750"/>
    </row>
    <row r="270" spans="15:15" ht="12" thickBot="1">
      <c r="O270" s="2750"/>
    </row>
    <row r="271" spans="15:15" ht="12" thickBot="1">
      <c r="O271" s="2750"/>
    </row>
    <row r="272" spans="15:15" ht="12" thickBot="1">
      <c r="O272" s="2750"/>
    </row>
    <row r="273" spans="15:15" ht="12" thickBot="1">
      <c r="O273" s="2750"/>
    </row>
    <row r="274" spans="15:15" ht="12" thickBot="1">
      <c r="O274" s="2750"/>
    </row>
    <row r="275" spans="15:15" ht="12" thickBot="1">
      <c r="O275" s="2750"/>
    </row>
    <row r="276" spans="15:15" ht="12" thickBot="1">
      <c r="O276" s="2750"/>
    </row>
    <row r="277" spans="15:15">
      <c r="O277" s="2751"/>
    </row>
    <row r="416" spans="1:1" ht="12" thickBot="1">
      <c r="A416" s="2780"/>
    </row>
    <row r="417" spans="1:15" ht="12" thickBot="1">
      <c r="A417" s="2781"/>
    </row>
    <row r="418" spans="1:15" ht="12" thickBot="1">
      <c r="A418" s="2781"/>
    </row>
    <row r="419" spans="1:15" ht="12" thickBot="1">
      <c r="A419" s="2781"/>
    </row>
    <row r="420" spans="1:15" ht="12" thickBot="1">
      <c r="A420" s="2781"/>
    </row>
    <row r="421" spans="1:15" ht="12" thickBot="1">
      <c r="A421" s="2781"/>
    </row>
    <row r="422" spans="1:15" ht="12" thickBot="1">
      <c r="A422" s="2781"/>
      <c r="N422" s="2763"/>
      <c r="O422" s="2749"/>
    </row>
    <row r="423" spans="1:15" ht="12" thickBot="1">
      <c r="A423" s="2781"/>
      <c r="C423" s="2763"/>
      <c r="N423" s="2764"/>
      <c r="O423" s="2750"/>
    </row>
    <row r="424" spans="1:15" ht="12" thickBot="1">
      <c r="A424" s="2781"/>
      <c r="C424" s="2764"/>
      <c r="D424" s="2763"/>
      <c r="E424" s="2763"/>
      <c r="F424" s="2763"/>
      <c r="G424" s="2763"/>
      <c r="H424" s="2763"/>
      <c r="I424" s="2763"/>
      <c r="J424" s="2763"/>
      <c r="K424" s="2763"/>
      <c r="L424" s="2763"/>
      <c r="N424" s="2764"/>
      <c r="O424" s="2750"/>
    </row>
    <row r="425" spans="1:15" ht="12" thickBot="1">
      <c r="A425" s="2781"/>
      <c r="C425" s="2765"/>
      <c r="D425" s="2765"/>
      <c r="E425" s="2765"/>
      <c r="F425" s="2765"/>
      <c r="G425" s="2765"/>
      <c r="H425" s="2765"/>
      <c r="I425" s="2765"/>
      <c r="J425" s="2765"/>
      <c r="K425" s="2765"/>
      <c r="L425" s="2765"/>
      <c r="N425" s="2765"/>
      <c r="O425" s="2750"/>
    </row>
    <row r="426" spans="1:15" ht="12" thickBot="1">
      <c r="A426" s="2781"/>
      <c r="O426" s="2750"/>
    </row>
    <row r="427" spans="1:15" ht="12" thickBot="1">
      <c r="A427" s="2781"/>
      <c r="O427" s="2750"/>
    </row>
    <row r="428" spans="1:15" ht="12" thickBot="1">
      <c r="A428" s="2781"/>
      <c r="O428" s="2750"/>
    </row>
    <row r="429" spans="1:15" ht="12" thickBot="1">
      <c r="A429" s="2781"/>
      <c r="O429" s="2750"/>
    </row>
    <row r="430" spans="1:15" ht="12" thickBot="1">
      <c r="A430" s="2781"/>
      <c r="O430" s="2751"/>
    </row>
    <row r="431" spans="1:15" ht="12" thickBot="1">
      <c r="A431" s="2781"/>
    </row>
    <row r="432" spans="1:15" ht="12" thickBot="1">
      <c r="A432" s="2781"/>
    </row>
    <row r="433" spans="1:1">
      <c r="A433" s="2782"/>
    </row>
    <row r="531" spans="1:15" ht="12" thickBot="1">
      <c r="O531" s="2749"/>
    </row>
    <row r="532" spans="1:15" ht="12" thickBot="1">
      <c r="O532" s="2750"/>
    </row>
    <row r="533" spans="1:15" ht="12" thickBot="1">
      <c r="O533" s="2750"/>
    </row>
    <row r="534" spans="1:15" ht="12" thickBot="1">
      <c r="O534" s="2750"/>
    </row>
    <row r="535" spans="1:15" ht="12" thickBot="1">
      <c r="N535" s="2763"/>
      <c r="O535" s="2750"/>
    </row>
    <row r="536" spans="1:15" ht="12" thickBot="1">
      <c r="N536" s="2764"/>
      <c r="O536" s="2750"/>
    </row>
    <row r="537" spans="1:15" ht="12" thickBot="1">
      <c r="N537" s="2764"/>
      <c r="O537" s="2750"/>
    </row>
    <row r="538" spans="1:15" ht="12" thickBot="1">
      <c r="N538" s="2764"/>
      <c r="O538" s="2750"/>
    </row>
    <row r="539" spans="1:15" ht="12" thickBot="1">
      <c r="N539" s="2764"/>
      <c r="O539" s="2750"/>
    </row>
    <row r="540" spans="1:15" ht="12" thickBot="1">
      <c r="A540" s="2780"/>
      <c r="B540" s="2763"/>
      <c r="C540" s="2763"/>
      <c r="D540" s="2763"/>
      <c r="E540" s="2763"/>
      <c r="F540" s="2763"/>
      <c r="G540" s="2763"/>
      <c r="H540" s="2763"/>
      <c r="I540" s="2763"/>
      <c r="J540" s="2763"/>
      <c r="K540" s="2763"/>
      <c r="L540" s="2763"/>
      <c r="N540" s="2764"/>
      <c r="O540" s="2750"/>
    </row>
    <row r="541" spans="1:15" ht="12" thickBot="1">
      <c r="A541" s="2781"/>
      <c r="B541" s="2765"/>
      <c r="C541" s="2765"/>
      <c r="D541" s="2765"/>
      <c r="E541" s="2765"/>
      <c r="F541" s="2765"/>
      <c r="G541" s="2765"/>
      <c r="H541" s="2765"/>
      <c r="I541" s="2765"/>
      <c r="J541" s="2765"/>
      <c r="K541" s="2765"/>
      <c r="L541" s="2765"/>
      <c r="N541" s="2765"/>
      <c r="O541" s="2750"/>
    </row>
    <row r="542" spans="1:15" ht="12" thickBot="1">
      <c r="A542" s="2781"/>
      <c r="O542" s="2750"/>
    </row>
    <row r="543" spans="1:15" ht="12" thickBot="1">
      <c r="A543" s="2781"/>
      <c r="O543" s="2750"/>
    </row>
    <row r="544" spans="1:15" ht="12" thickBot="1">
      <c r="A544" s="2781"/>
      <c r="O544" s="2750"/>
    </row>
    <row r="545" spans="1:15" ht="12" thickBot="1">
      <c r="A545" s="2781"/>
      <c r="O545" s="2750"/>
    </row>
    <row r="546" spans="1:15" ht="12" thickBot="1">
      <c r="A546" s="2781"/>
      <c r="O546" s="2750"/>
    </row>
    <row r="547" spans="1:15" ht="12" thickBot="1">
      <c r="A547" s="2781"/>
      <c r="O547" s="2750"/>
    </row>
    <row r="548" spans="1:15">
      <c r="A548" s="2782"/>
      <c r="O548" s="2751"/>
    </row>
  </sheetData>
  <mergeCells count="61">
    <mergeCell ref="O26:O34"/>
    <mergeCell ref="C28:C31"/>
    <mergeCell ref="C33:C34"/>
    <mergeCell ref="N32:N34"/>
    <mergeCell ref="A4:O4"/>
    <mergeCell ref="B5:B6"/>
    <mergeCell ref="C5:C6"/>
    <mergeCell ref="D5:D6"/>
    <mergeCell ref="O5:O6"/>
    <mergeCell ref="N5:N6"/>
    <mergeCell ref="M5:M6"/>
    <mergeCell ref="M19:M25"/>
    <mergeCell ref="M32:M34"/>
    <mergeCell ref="A26:A34"/>
    <mergeCell ref="F5:F6"/>
    <mergeCell ref="G5:L5"/>
    <mergeCell ref="A116:L116"/>
    <mergeCell ref="N116:O116"/>
    <mergeCell ref="M80:M84"/>
    <mergeCell ref="A62:A72"/>
    <mergeCell ref="O62:O72"/>
    <mergeCell ref="N68:N72"/>
    <mergeCell ref="C64:C67"/>
    <mergeCell ref="C69:C72"/>
    <mergeCell ref="A108:A111"/>
    <mergeCell ref="O108:O111"/>
    <mergeCell ref="C110:C111"/>
    <mergeCell ref="O98:O107"/>
    <mergeCell ref="C102:C104"/>
    <mergeCell ref="N105:N107"/>
    <mergeCell ref="C106:C107"/>
    <mergeCell ref="A112:A115"/>
    <mergeCell ref="M57:M61"/>
    <mergeCell ref="M68:M72"/>
    <mergeCell ref="M105:M107"/>
    <mergeCell ref="C37:C40"/>
    <mergeCell ref="C42:C43"/>
    <mergeCell ref="A35:A43"/>
    <mergeCell ref="M41:M43"/>
    <mergeCell ref="O112:O115"/>
    <mergeCell ref="C114:C115"/>
    <mergeCell ref="N19:N25"/>
    <mergeCell ref="A44:A61"/>
    <mergeCell ref="A73:A84"/>
    <mergeCell ref="C75:C79"/>
    <mergeCell ref="N80:N84"/>
    <mergeCell ref="N57:N61"/>
    <mergeCell ref="C46:C53"/>
    <mergeCell ref="C58:C61"/>
    <mergeCell ref="O44:O61"/>
    <mergeCell ref="O35:O43"/>
    <mergeCell ref="N41:N43"/>
    <mergeCell ref="O74:O79"/>
    <mergeCell ref="O80:O84"/>
    <mergeCell ref="A85:A96"/>
    <mergeCell ref="O85:O96"/>
    <mergeCell ref="C87:C91"/>
    <mergeCell ref="M92:M96"/>
    <mergeCell ref="N92:N96"/>
    <mergeCell ref="C95:C96"/>
    <mergeCell ref="C81:C84"/>
  </mergeCells>
  <printOptions horizontalCentered="1"/>
  <pageMargins left="0.31496062992125984" right="0.31496062992125984" top="0.59055118110236227" bottom="0.35433070866141736" header="0.31496062992125984" footer="0.11811023622047245"/>
  <pageSetup paperSize="9" scale="69" firstPageNumber="60" orientation="landscape" useFirstPageNumber="1" r:id="rId1"/>
  <headerFooter>
    <oddHeader>&amp;C&amp;"Arial,Kursywa"Wieloletnia prognoza finansowa Województwa Zachodniopomorskiego&amp;"Arial,Normalny"
____________________________________________________________________________________________________________________</oddHeader>
    <oddFooter>&amp;C&amp;9&amp;P</oddFooter>
  </headerFooter>
  <rowBreaks count="1" manualBreakCount="1">
    <brk id="61" max="2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EA672"/>
  <sheetViews>
    <sheetView showGridLines="0" view="pageBreakPreview" topLeftCell="A4" zoomScale="112" zoomScaleSheetLayoutView="112" workbookViewId="0">
      <pane ySplit="3" topLeftCell="A7" activePane="bottomLeft" state="frozen"/>
      <selection activeCell="D14" sqref="D14"/>
      <selection pane="bottomLeft" activeCell="E5" sqref="E5"/>
    </sheetView>
  </sheetViews>
  <sheetFormatPr defaultColWidth="9.140625" defaultRowHeight="12.75"/>
  <cols>
    <col min="1" max="1" width="3.42578125" style="226" customWidth="1"/>
    <col min="2" max="2" width="61.42578125" style="226" customWidth="1"/>
    <col min="3" max="3" width="11" style="226" customWidth="1"/>
    <col min="4" max="5" width="13.28515625" style="226" customWidth="1"/>
    <col min="6" max="6" width="12" style="226" customWidth="1"/>
    <col min="7" max="7" width="11.42578125" style="226" customWidth="1"/>
    <col min="8" max="8" width="11.28515625" style="226" customWidth="1"/>
    <col min="9" max="9" width="11.5703125" style="226" customWidth="1"/>
    <col min="10" max="10" width="10.42578125" style="226" customWidth="1"/>
    <col min="11" max="11" width="7.85546875" style="226" customWidth="1"/>
    <col min="12" max="12" width="7" style="226" customWidth="1"/>
    <col min="13" max="13" width="12.7109375" style="226" hidden="1" customWidth="1"/>
    <col min="14" max="15" width="12.7109375" style="226" customWidth="1"/>
    <col min="16" max="16" width="14.140625" style="226" hidden="1" customWidth="1"/>
    <col min="17" max="17" width="16" style="226" hidden="1" customWidth="1"/>
    <col min="18" max="18" width="10" style="226" hidden="1" customWidth="1"/>
    <col min="19" max="19" width="16.42578125" style="226" hidden="1" customWidth="1"/>
    <col min="20" max="20" width="0" style="226" hidden="1" customWidth="1"/>
    <col min="21" max="16384" width="9.140625" style="226"/>
  </cols>
  <sheetData>
    <row r="1" spans="1:19" ht="15.75" customHeight="1">
      <c r="F1" s="727"/>
      <c r="G1" s="727"/>
      <c r="H1" s="727"/>
      <c r="I1" s="246" t="s">
        <v>70</v>
      </c>
      <c r="J1" s="246"/>
      <c r="K1" s="246"/>
      <c r="L1" s="246"/>
      <c r="M1" s="6"/>
      <c r="N1" s="6"/>
      <c r="O1" s="7"/>
    </row>
    <row r="2" spans="1:19" ht="18.75"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7"/>
    </row>
    <row r="3" spans="1:19" ht="43.5" customHeight="1" thickBot="1">
      <c r="A3" s="3773" t="s">
        <v>197</v>
      </c>
      <c r="B3" s="3773"/>
      <c r="C3" s="3773"/>
      <c r="D3" s="3773"/>
      <c r="E3" s="3773"/>
      <c r="F3" s="3773"/>
      <c r="G3" s="3773"/>
      <c r="H3" s="3773"/>
      <c r="I3" s="3773"/>
      <c r="J3" s="3773"/>
      <c r="K3" s="3773"/>
      <c r="L3" s="3773"/>
      <c r="M3" s="3773"/>
      <c r="N3" s="3773"/>
      <c r="O3" s="3773"/>
    </row>
    <row r="4" spans="1:19" ht="13.5" hidden="1" thickBot="1">
      <c r="A4" s="224"/>
      <c r="B4" s="224"/>
      <c r="C4" s="224"/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</row>
    <row r="5" spans="1:19" ht="75.75" customHeight="1">
      <c r="A5" s="3796" t="s">
        <v>74</v>
      </c>
      <c r="B5" s="3798" t="s">
        <v>75</v>
      </c>
      <c r="C5" s="3774" t="s">
        <v>71</v>
      </c>
      <c r="D5" s="3776" t="s">
        <v>72</v>
      </c>
      <c r="E5" s="3078" t="s">
        <v>229</v>
      </c>
      <c r="F5" s="3794" t="s">
        <v>436</v>
      </c>
      <c r="G5" s="3791" t="s">
        <v>392</v>
      </c>
      <c r="H5" s="3792"/>
      <c r="I5" s="3792"/>
      <c r="J5" s="3792"/>
      <c r="K5" s="3792"/>
      <c r="L5" s="3793"/>
      <c r="M5" s="3783" t="s">
        <v>406</v>
      </c>
      <c r="N5" s="3783" t="s">
        <v>450</v>
      </c>
      <c r="O5" s="3778" t="s">
        <v>73</v>
      </c>
    </row>
    <row r="6" spans="1:19" ht="18.75" customHeight="1" thickBot="1">
      <c r="A6" s="3797"/>
      <c r="B6" s="3799"/>
      <c r="C6" s="3775"/>
      <c r="D6" s="3777"/>
      <c r="E6" s="2614" t="s">
        <v>381</v>
      </c>
      <c r="F6" s="3795"/>
      <c r="G6" s="3063" t="s">
        <v>6</v>
      </c>
      <c r="H6" s="3063" t="s">
        <v>179</v>
      </c>
      <c r="I6" s="3063" t="s">
        <v>181</v>
      </c>
      <c r="J6" s="3063" t="s">
        <v>220</v>
      </c>
      <c r="K6" s="3063" t="s">
        <v>221</v>
      </c>
      <c r="L6" s="3063" t="s">
        <v>219</v>
      </c>
      <c r="M6" s="3784"/>
      <c r="N6" s="3784"/>
      <c r="O6" s="3779"/>
      <c r="P6" s="426"/>
      <c r="Q6" s="426"/>
    </row>
    <row r="7" spans="1:19" s="250" customFormat="1" ht="12.75" customHeight="1" thickBot="1">
      <c r="A7" s="8">
        <v>1</v>
      </c>
      <c r="B7" s="9">
        <v>2</v>
      </c>
      <c r="C7" s="10">
        <v>3</v>
      </c>
      <c r="D7" s="11">
        <v>4</v>
      </c>
      <c r="E7" s="13">
        <v>5</v>
      </c>
      <c r="F7" s="12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4">
        <v>13</v>
      </c>
      <c r="N7" s="14">
        <v>13</v>
      </c>
      <c r="O7" s="15">
        <v>14</v>
      </c>
      <c r="P7" s="249"/>
      <c r="Q7" s="249"/>
    </row>
    <row r="8" spans="1:19" ht="16.5" customHeight="1">
      <c r="A8" s="3780" t="s">
        <v>68</v>
      </c>
      <c r="B8" s="204" t="s">
        <v>76</v>
      </c>
      <c r="C8" s="205"/>
      <c r="D8" s="206">
        <f>+D9+D10</f>
        <v>906648350</v>
      </c>
      <c r="E8" s="206">
        <f>+E9+E10</f>
        <v>45432232</v>
      </c>
      <c r="F8" s="206">
        <f t="shared" ref="F8:G8" si="0">+F9+F10</f>
        <v>221049116</v>
      </c>
      <c r="G8" s="206">
        <f t="shared" si="0"/>
        <v>324939208</v>
      </c>
      <c r="H8" s="206">
        <f t="shared" ref="H8:L8" si="1">+H9+H10</f>
        <v>172545562</v>
      </c>
      <c r="I8" s="206">
        <f t="shared" si="1"/>
        <v>112682232</v>
      </c>
      <c r="J8" s="206">
        <f t="shared" si="1"/>
        <v>30000000</v>
      </c>
      <c r="K8" s="206">
        <f t="shared" si="1"/>
        <v>0</v>
      </c>
      <c r="L8" s="206">
        <f t="shared" si="1"/>
        <v>0</v>
      </c>
      <c r="M8" s="16">
        <f>+M9+M10</f>
        <v>861216118</v>
      </c>
      <c r="N8" s="16">
        <f>+N9+N10</f>
        <v>640167002</v>
      </c>
      <c r="O8" s="728"/>
      <c r="P8" s="426"/>
    </row>
    <row r="9" spans="1:19" ht="13.5" customHeight="1">
      <c r="A9" s="3781"/>
      <c r="B9" s="207" t="s">
        <v>77</v>
      </c>
      <c r="C9" s="208"/>
      <c r="D9" s="209">
        <f>+D484+D502+D420+D435</f>
        <v>944587</v>
      </c>
      <c r="E9" s="209">
        <f>+E484+E502+E420+E435</f>
        <v>48374</v>
      </c>
      <c r="F9" s="209">
        <f t="shared" ref="F9:J9" si="2">+F484+F502+F420+F435</f>
        <v>150710</v>
      </c>
      <c r="G9" s="209">
        <f t="shared" si="2"/>
        <v>467096</v>
      </c>
      <c r="H9" s="209">
        <f t="shared" si="2"/>
        <v>196235</v>
      </c>
      <c r="I9" s="209">
        <f t="shared" si="2"/>
        <v>82172</v>
      </c>
      <c r="J9" s="209">
        <f t="shared" si="2"/>
        <v>0</v>
      </c>
      <c r="K9" s="209">
        <f t="shared" ref="K9:L9" si="3">+K484+K502+K420</f>
        <v>0</v>
      </c>
      <c r="L9" s="209">
        <f t="shared" si="3"/>
        <v>0</v>
      </c>
      <c r="M9" s="894">
        <f>SUM(F9:K9)</f>
        <v>896213</v>
      </c>
      <c r="N9" s="894">
        <f>SUM(G9:L9)</f>
        <v>745503</v>
      </c>
      <c r="O9" s="729"/>
    </row>
    <row r="10" spans="1:19" ht="14.25" customHeight="1" thickBot="1">
      <c r="A10" s="3781"/>
      <c r="B10" s="730" t="s">
        <v>9</v>
      </c>
      <c r="C10" s="731"/>
      <c r="D10" s="732">
        <f>+D114+D129+D54+D68+D145+D313+D289+D327+D80+D92+D104+D352+D466+D301+D363+D157+D169+D181+D193+D372+D384+D393+D402+D411+D205+D217+D229+D241+D253+D265+D277</f>
        <v>905703763</v>
      </c>
      <c r="E10" s="732">
        <f t="shared" ref="E10:L10" si="4">+E114+E129+E54+E68+E145+E313+E289+E327+E80+E92+E104+E352+E466+E301+E363+E157+E169+E181+E193+E372+E384+E393+E402+E411+E205+E217+E229+E241+E253+E265+E277</f>
        <v>45383858</v>
      </c>
      <c r="F10" s="732">
        <f t="shared" si="4"/>
        <v>220898406</v>
      </c>
      <c r="G10" s="732">
        <f t="shared" si="4"/>
        <v>324472112</v>
      </c>
      <c r="H10" s="732">
        <f t="shared" si="4"/>
        <v>172349327</v>
      </c>
      <c r="I10" s="732">
        <f t="shared" si="4"/>
        <v>112600060</v>
      </c>
      <c r="J10" s="732">
        <f t="shared" si="4"/>
        <v>30000000</v>
      </c>
      <c r="K10" s="732">
        <f t="shared" si="4"/>
        <v>0</v>
      </c>
      <c r="L10" s="732">
        <f t="shared" si="4"/>
        <v>0</v>
      </c>
      <c r="M10" s="148">
        <f>SUM(F10:K10)</f>
        <v>860319905</v>
      </c>
      <c r="N10" s="148">
        <f>SUM(G10:L10)</f>
        <v>639421499</v>
      </c>
      <c r="O10" s="729"/>
    </row>
    <row r="11" spans="1:19" ht="14.25" customHeight="1">
      <c r="A11" s="3781"/>
      <c r="B11" s="19" t="s">
        <v>10</v>
      </c>
      <c r="C11" s="20"/>
      <c r="D11" s="733">
        <f>+D12+D18</f>
        <v>906648350</v>
      </c>
      <c r="E11" s="733">
        <f t="shared" ref="E11" si="5">+E12+E18</f>
        <v>45432232</v>
      </c>
      <c r="F11" s="733">
        <f t="shared" ref="F11:N11" si="6">+F12+F18</f>
        <v>221049116</v>
      </c>
      <c r="G11" s="733">
        <f t="shared" si="6"/>
        <v>324939208</v>
      </c>
      <c r="H11" s="733">
        <f t="shared" si="6"/>
        <v>172545562</v>
      </c>
      <c r="I11" s="733">
        <f t="shared" si="6"/>
        <v>112682232</v>
      </c>
      <c r="J11" s="733">
        <f t="shared" si="6"/>
        <v>30000000</v>
      </c>
      <c r="K11" s="733">
        <f t="shared" si="6"/>
        <v>0</v>
      </c>
      <c r="L11" s="733">
        <f t="shared" si="6"/>
        <v>0</v>
      </c>
      <c r="M11" s="734">
        <f t="shared" ref="M11" si="7">+M12+M18</f>
        <v>861216118</v>
      </c>
      <c r="N11" s="734">
        <f t="shared" si="6"/>
        <v>640167002</v>
      </c>
      <c r="O11" s="659"/>
      <c r="P11" s="735"/>
      <c r="Q11" s="426"/>
      <c r="S11" s="426"/>
    </row>
    <row r="12" spans="1:19" s="738" customFormat="1" ht="14.25" customHeight="1">
      <c r="A12" s="3781"/>
      <c r="B12" s="153" t="s">
        <v>11</v>
      </c>
      <c r="C12" s="2433"/>
      <c r="D12" s="895">
        <f>+D13+D14+D15+D16+D17</f>
        <v>171352615</v>
      </c>
      <c r="E12" s="895">
        <f t="shared" ref="E12" si="8">+E13+E14+E15+E16+E17</f>
        <v>14007215</v>
      </c>
      <c r="F12" s="895">
        <f t="shared" ref="F12:L12" si="9">+F13+F14+F15+F16+F17</f>
        <v>33537646</v>
      </c>
      <c r="G12" s="895">
        <f t="shared" si="9"/>
        <v>63036993</v>
      </c>
      <c r="H12" s="895">
        <f t="shared" si="9"/>
        <v>35678915</v>
      </c>
      <c r="I12" s="895">
        <f t="shared" si="9"/>
        <v>20591846</v>
      </c>
      <c r="J12" s="895">
        <f t="shared" si="9"/>
        <v>4500000</v>
      </c>
      <c r="K12" s="895">
        <f t="shared" si="9"/>
        <v>0</v>
      </c>
      <c r="L12" s="895">
        <f t="shared" si="9"/>
        <v>0</v>
      </c>
      <c r="M12" s="2434">
        <f>SUM(M13:M17)</f>
        <v>157345400</v>
      </c>
      <c r="N12" s="2434">
        <f>SUM(N13:N17)</f>
        <v>123807754</v>
      </c>
      <c r="O12" s="736"/>
      <c r="P12" s="737"/>
      <c r="Q12" s="735"/>
    </row>
    <row r="13" spans="1:19" ht="14.25" customHeight="1">
      <c r="A13" s="3781"/>
      <c r="B13" s="156" t="s">
        <v>12</v>
      </c>
      <c r="C13" s="739"/>
      <c r="D13" s="896">
        <f>+D37+D341+D452+D495</f>
        <v>140825415</v>
      </c>
      <c r="E13" s="896">
        <f t="shared" ref="E13:I13" si="10">+E37+E341+E452+E495</f>
        <v>4646890</v>
      </c>
      <c r="F13" s="896">
        <f t="shared" si="10"/>
        <v>31449965</v>
      </c>
      <c r="G13" s="896">
        <f t="shared" si="10"/>
        <v>46384452</v>
      </c>
      <c r="H13" s="896">
        <f t="shared" si="10"/>
        <v>33252262</v>
      </c>
      <c r="I13" s="896">
        <f t="shared" si="10"/>
        <v>20591846</v>
      </c>
      <c r="J13" s="896">
        <f>+J37+J341+J452+J495+J267</f>
        <v>4500000</v>
      </c>
      <c r="K13" s="896">
        <f>+K37+K341+K452+K495+K267</f>
        <v>0</v>
      </c>
      <c r="L13" s="896">
        <f>+L37+L341+L452+L495+L267</f>
        <v>0</v>
      </c>
      <c r="M13" s="2435">
        <f>SUM(F13:K13)</f>
        <v>136178525</v>
      </c>
      <c r="N13" s="2435">
        <f>SUM(G13:L13)</f>
        <v>104728560</v>
      </c>
      <c r="O13" s="659"/>
      <c r="P13" s="426"/>
      <c r="Q13" s="426"/>
      <c r="S13" s="426"/>
    </row>
    <row r="14" spans="1:19" ht="14.25" hidden="1" customHeight="1">
      <c r="A14" s="3781"/>
      <c r="B14" s="898" t="s">
        <v>78</v>
      </c>
      <c r="C14" s="2436"/>
      <c r="D14" s="896">
        <f>+D453</f>
        <v>0</v>
      </c>
      <c r="E14" s="896">
        <f t="shared" ref="E14" si="11">+E453</f>
        <v>0</v>
      </c>
      <c r="F14" s="896">
        <f t="shared" ref="F14:L14" si="12">+F453</f>
        <v>0</v>
      </c>
      <c r="G14" s="896">
        <f t="shared" si="12"/>
        <v>0</v>
      </c>
      <c r="H14" s="896">
        <f t="shared" si="12"/>
        <v>0</v>
      </c>
      <c r="I14" s="896">
        <f t="shared" si="12"/>
        <v>0</v>
      </c>
      <c r="J14" s="896">
        <f t="shared" si="12"/>
        <v>0</v>
      </c>
      <c r="K14" s="896">
        <f t="shared" si="12"/>
        <v>0</v>
      </c>
      <c r="L14" s="896">
        <f t="shared" si="12"/>
        <v>0</v>
      </c>
      <c r="M14" s="2435">
        <f>SUM(E14:K14)</f>
        <v>0</v>
      </c>
      <c r="N14" s="2435">
        <f>SUM(F14:L14)</f>
        <v>0</v>
      </c>
      <c r="O14" s="742"/>
      <c r="P14" s="426"/>
    </row>
    <row r="15" spans="1:19" ht="14.25" customHeight="1">
      <c r="A15" s="3781"/>
      <c r="B15" s="156" t="s">
        <v>15</v>
      </c>
      <c r="C15" s="739"/>
      <c r="D15" s="896">
        <f t="shared" ref="D15:L15" si="13">+D38+D342</f>
        <v>19640200</v>
      </c>
      <c r="E15" s="896">
        <f t="shared" si="13"/>
        <v>9360325</v>
      </c>
      <c r="F15" s="896">
        <f t="shared" si="13"/>
        <v>2087681</v>
      </c>
      <c r="G15" s="896">
        <f t="shared" si="13"/>
        <v>5765541</v>
      </c>
      <c r="H15" s="896">
        <f t="shared" si="13"/>
        <v>2426653</v>
      </c>
      <c r="I15" s="896">
        <f t="shared" si="13"/>
        <v>0</v>
      </c>
      <c r="J15" s="896">
        <f t="shared" si="13"/>
        <v>0</v>
      </c>
      <c r="K15" s="896">
        <f t="shared" si="13"/>
        <v>0</v>
      </c>
      <c r="L15" s="896">
        <f t="shared" si="13"/>
        <v>0</v>
      </c>
      <c r="M15" s="862">
        <f>SUM(F15:K15)</f>
        <v>10279875</v>
      </c>
      <c r="N15" s="862">
        <f>SUM(G15:L15)</f>
        <v>8192194</v>
      </c>
      <c r="O15" s="742"/>
      <c r="P15" s="426"/>
    </row>
    <row r="16" spans="1:19" ht="14.25" hidden="1" customHeight="1">
      <c r="A16" s="3781"/>
      <c r="B16" s="156" t="s">
        <v>52</v>
      </c>
      <c r="C16" s="739"/>
      <c r="D16" s="896">
        <f t="shared" ref="D16:L16" si="14">+D454+D40</f>
        <v>0</v>
      </c>
      <c r="E16" s="896">
        <f t="shared" si="14"/>
        <v>0</v>
      </c>
      <c r="F16" s="896">
        <f t="shared" si="14"/>
        <v>0</v>
      </c>
      <c r="G16" s="896">
        <f t="shared" si="14"/>
        <v>0</v>
      </c>
      <c r="H16" s="896">
        <f t="shared" si="14"/>
        <v>0</v>
      </c>
      <c r="I16" s="896">
        <f t="shared" si="14"/>
        <v>0</v>
      </c>
      <c r="J16" s="896">
        <f t="shared" si="14"/>
        <v>0</v>
      </c>
      <c r="K16" s="896">
        <f t="shared" si="14"/>
        <v>0</v>
      </c>
      <c r="L16" s="896">
        <f t="shared" si="14"/>
        <v>0</v>
      </c>
      <c r="M16" s="2435">
        <f>SUM(E16:K16)</f>
        <v>0</v>
      </c>
      <c r="N16" s="2435">
        <f>SUM(F16:L16)</f>
        <v>0</v>
      </c>
      <c r="O16" s="742"/>
      <c r="P16" s="426"/>
    </row>
    <row r="17" spans="1:19" ht="14.25" customHeight="1">
      <c r="A17" s="3781"/>
      <c r="B17" s="156" t="s">
        <v>17</v>
      </c>
      <c r="C17" s="739"/>
      <c r="D17" s="896">
        <f>+D39</f>
        <v>10887000</v>
      </c>
      <c r="E17" s="896">
        <f t="shared" ref="E17" si="15">+E39</f>
        <v>0</v>
      </c>
      <c r="F17" s="896">
        <f t="shared" ref="F17:L17" si="16">+F39</f>
        <v>0</v>
      </c>
      <c r="G17" s="896">
        <f t="shared" si="16"/>
        <v>10887000</v>
      </c>
      <c r="H17" s="896">
        <f t="shared" si="16"/>
        <v>0</v>
      </c>
      <c r="I17" s="896">
        <f t="shared" si="16"/>
        <v>0</v>
      </c>
      <c r="J17" s="896">
        <f t="shared" si="16"/>
        <v>0</v>
      </c>
      <c r="K17" s="896">
        <f t="shared" si="16"/>
        <v>0</v>
      </c>
      <c r="L17" s="896">
        <f t="shared" si="16"/>
        <v>0</v>
      </c>
      <c r="M17" s="862">
        <f>SUM(F17:K17)</f>
        <v>10887000</v>
      </c>
      <c r="N17" s="862">
        <f>SUM(G17:L17)</f>
        <v>10887000</v>
      </c>
      <c r="O17" s="742"/>
      <c r="P17" s="426"/>
    </row>
    <row r="18" spans="1:19" s="738" customFormat="1" ht="14.25" customHeight="1">
      <c r="A18" s="3781"/>
      <c r="B18" s="153" t="s">
        <v>18</v>
      </c>
      <c r="C18" s="743"/>
      <c r="D18" s="895">
        <f>+D19+D20+D21</f>
        <v>735295735</v>
      </c>
      <c r="E18" s="895">
        <f t="shared" ref="E18" si="17">+E19+E20+E21</f>
        <v>31425017</v>
      </c>
      <c r="F18" s="895">
        <f t="shared" ref="F18:I18" si="18">+F19+F20+F21</f>
        <v>187511470</v>
      </c>
      <c r="G18" s="895">
        <f t="shared" si="18"/>
        <v>261902215</v>
      </c>
      <c r="H18" s="895">
        <f t="shared" si="18"/>
        <v>136866647</v>
      </c>
      <c r="I18" s="895">
        <f t="shared" si="18"/>
        <v>92090386</v>
      </c>
      <c r="J18" s="895">
        <f>+J19+J20+J21</f>
        <v>25500000</v>
      </c>
      <c r="K18" s="895">
        <f>+K19+K20+K21</f>
        <v>0</v>
      </c>
      <c r="L18" s="895">
        <f>+L19+L20+L21</f>
        <v>0</v>
      </c>
      <c r="M18" s="2437">
        <f>+M19+M20+M21</f>
        <v>703870718</v>
      </c>
      <c r="N18" s="2437">
        <f>+N19+N20+N21</f>
        <v>516359248</v>
      </c>
      <c r="O18" s="744"/>
      <c r="P18" s="737"/>
      <c r="Q18" s="735"/>
    </row>
    <row r="19" spans="1:19" ht="14.25" customHeight="1">
      <c r="A19" s="3781"/>
      <c r="B19" s="900" t="s">
        <v>20</v>
      </c>
      <c r="C19" s="2438"/>
      <c r="D19" s="896">
        <f t="shared" ref="D19:L19" si="19">+D344+D497</f>
        <v>799122</v>
      </c>
      <c r="E19" s="896">
        <f t="shared" ref="E19" si="20">+E344+E497</f>
        <v>40826</v>
      </c>
      <c r="F19" s="896">
        <f t="shared" si="19"/>
        <v>127959</v>
      </c>
      <c r="G19" s="896">
        <f t="shared" si="19"/>
        <v>394966</v>
      </c>
      <c r="H19" s="896">
        <f t="shared" si="19"/>
        <v>165865</v>
      </c>
      <c r="I19" s="896">
        <f t="shared" si="19"/>
        <v>69506</v>
      </c>
      <c r="J19" s="896">
        <f t="shared" si="19"/>
        <v>0</v>
      </c>
      <c r="K19" s="896">
        <f t="shared" si="19"/>
        <v>0</v>
      </c>
      <c r="L19" s="896">
        <f t="shared" si="19"/>
        <v>0</v>
      </c>
      <c r="M19" s="862">
        <f>SUM(F19:K19)</f>
        <v>758296</v>
      </c>
      <c r="N19" s="862">
        <f>SUM(G19:L19)</f>
        <v>630337</v>
      </c>
      <c r="O19" s="742"/>
      <c r="P19" s="426"/>
    </row>
    <row r="20" spans="1:19" ht="14.25" customHeight="1">
      <c r="A20" s="3781"/>
      <c r="B20" s="2439" t="s">
        <v>21</v>
      </c>
      <c r="C20" s="2438"/>
      <c r="D20" s="896">
        <f>+D42+D456+D345</f>
        <v>734496613</v>
      </c>
      <c r="E20" s="896">
        <f t="shared" ref="E20:L20" si="21">+E42+E456+E345</f>
        <v>31384191</v>
      </c>
      <c r="F20" s="896">
        <f t="shared" si="21"/>
        <v>187383511</v>
      </c>
      <c r="G20" s="896">
        <f t="shared" si="21"/>
        <v>261507249</v>
      </c>
      <c r="H20" s="896">
        <f t="shared" si="21"/>
        <v>136700782</v>
      </c>
      <c r="I20" s="896">
        <f t="shared" si="21"/>
        <v>92020880</v>
      </c>
      <c r="J20" s="896">
        <f t="shared" si="21"/>
        <v>25500000</v>
      </c>
      <c r="K20" s="896">
        <f t="shared" si="21"/>
        <v>0</v>
      </c>
      <c r="L20" s="896">
        <f t="shared" si="21"/>
        <v>0</v>
      </c>
      <c r="M20" s="862">
        <f>SUM(F20:K20)</f>
        <v>703112422</v>
      </c>
      <c r="N20" s="862">
        <f>SUM(G20:L20)</f>
        <v>515728911</v>
      </c>
      <c r="O20" s="659"/>
      <c r="P20" s="426"/>
      <c r="Q20" s="426"/>
    </row>
    <row r="21" spans="1:19" ht="14.25" hidden="1" customHeight="1">
      <c r="A21" s="3781"/>
      <c r="B21" s="2439" t="s">
        <v>79</v>
      </c>
      <c r="C21" s="2438"/>
      <c r="D21" s="896">
        <f>+D457</f>
        <v>0</v>
      </c>
      <c r="E21" s="896">
        <f t="shared" ref="E21" si="22">+E457</f>
        <v>0</v>
      </c>
      <c r="F21" s="896">
        <f t="shared" ref="F21:L21" si="23">+F457</f>
        <v>0</v>
      </c>
      <c r="G21" s="896">
        <f t="shared" si="23"/>
        <v>0</v>
      </c>
      <c r="H21" s="896">
        <f t="shared" si="23"/>
        <v>0</v>
      </c>
      <c r="I21" s="896">
        <f t="shared" si="23"/>
        <v>0</v>
      </c>
      <c r="J21" s="896">
        <f t="shared" si="23"/>
        <v>0</v>
      </c>
      <c r="K21" s="896">
        <f t="shared" si="23"/>
        <v>0</v>
      </c>
      <c r="L21" s="896">
        <f t="shared" si="23"/>
        <v>0</v>
      </c>
      <c r="M21" s="2435">
        <f>SUM(E21:H21)</f>
        <v>0</v>
      </c>
      <c r="N21" s="2435">
        <f>SUM(F21:I21)</f>
        <v>0</v>
      </c>
      <c r="O21" s="659"/>
      <c r="P21" s="426"/>
      <c r="Q21" s="426"/>
    </row>
    <row r="22" spans="1:19" ht="14.25" customHeight="1">
      <c r="A22" s="3781"/>
      <c r="B22" s="2440" t="s">
        <v>22</v>
      </c>
      <c r="C22" s="1475"/>
      <c r="D22" s="640">
        <f>+D23+D29</f>
        <v>765822935</v>
      </c>
      <c r="E22" s="640">
        <f t="shared" ref="E22" si="24">+E23+E29</f>
        <v>34852146</v>
      </c>
      <c r="F22" s="640">
        <f>+F23+F29</f>
        <v>178912192</v>
      </c>
      <c r="G22" s="640">
        <f t="shared" ref="G22:L22" si="25">+G23+G29</f>
        <v>273629079</v>
      </c>
      <c r="H22" s="640">
        <f t="shared" si="25"/>
        <v>153890234</v>
      </c>
      <c r="I22" s="640">
        <f t="shared" si="25"/>
        <v>97121916</v>
      </c>
      <c r="J22" s="640">
        <f t="shared" si="25"/>
        <v>27417368</v>
      </c>
      <c r="K22" s="640">
        <f t="shared" si="25"/>
        <v>0</v>
      </c>
      <c r="L22" s="640">
        <f t="shared" si="25"/>
        <v>0</v>
      </c>
      <c r="M22" s="3785" t="s">
        <v>23</v>
      </c>
      <c r="N22" s="3785" t="s">
        <v>23</v>
      </c>
      <c r="O22" s="659"/>
      <c r="P22" s="426"/>
      <c r="S22" s="735"/>
    </row>
    <row r="23" spans="1:19" ht="14.25" customHeight="1">
      <c r="A23" s="3781"/>
      <c r="B23" s="2441" t="s">
        <v>24</v>
      </c>
      <c r="C23" s="2442"/>
      <c r="D23" s="902">
        <f>+D24+D25+D26+D27+D28</f>
        <v>30527200</v>
      </c>
      <c r="E23" s="902">
        <f t="shared" ref="E23" si="26">+E24+E25+E26+E27+E28</f>
        <v>9354831</v>
      </c>
      <c r="F23" s="902">
        <f t="shared" ref="F23:L23" si="27">+F24+F25+F26+F27+F28</f>
        <v>1693881</v>
      </c>
      <c r="G23" s="902">
        <f t="shared" si="27"/>
        <v>17051835</v>
      </c>
      <c r="H23" s="902">
        <f t="shared" si="27"/>
        <v>2426653</v>
      </c>
      <c r="I23" s="902">
        <f t="shared" si="27"/>
        <v>0</v>
      </c>
      <c r="J23" s="902">
        <f t="shared" si="27"/>
        <v>0</v>
      </c>
      <c r="K23" s="902">
        <f t="shared" si="27"/>
        <v>0</v>
      </c>
      <c r="L23" s="902">
        <f t="shared" si="27"/>
        <v>0</v>
      </c>
      <c r="M23" s="3786"/>
      <c r="N23" s="3786"/>
      <c r="O23" s="659"/>
    </row>
    <row r="24" spans="1:19" ht="14.25" hidden="1" customHeight="1">
      <c r="A24" s="3781"/>
      <c r="B24" s="898" t="s">
        <v>78</v>
      </c>
      <c r="C24" s="745"/>
      <c r="D24" s="903">
        <f>+D460</f>
        <v>0</v>
      </c>
      <c r="E24" s="903">
        <f t="shared" ref="E24" si="28">+E460</f>
        <v>0</v>
      </c>
      <c r="F24" s="903">
        <f t="shared" ref="F24:L24" si="29">+F460</f>
        <v>0</v>
      </c>
      <c r="G24" s="903">
        <f t="shared" si="29"/>
        <v>0</v>
      </c>
      <c r="H24" s="903">
        <f t="shared" si="29"/>
        <v>0</v>
      </c>
      <c r="I24" s="903">
        <f t="shared" si="29"/>
        <v>0</v>
      </c>
      <c r="J24" s="903">
        <f t="shared" si="29"/>
        <v>0</v>
      </c>
      <c r="K24" s="903">
        <f t="shared" si="29"/>
        <v>0</v>
      </c>
      <c r="L24" s="903">
        <f t="shared" si="29"/>
        <v>0</v>
      </c>
      <c r="M24" s="3786"/>
      <c r="N24" s="3786"/>
      <c r="O24" s="742"/>
    </row>
    <row r="25" spans="1:19" ht="14.25" customHeight="1">
      <c r="A25" s="3781"/>
      <c r="B25" s="23" t="s">
        <v>15</v>
      </c>
      <c r="C25" s="24"/>
      <c r="D25" s="896">
        <f t="shared" ref="D25:L25" si="30">+D45+D342</f>
        <v>19640200</v>
      </c>
      <c r="E25" s="896">
        <f t="shared" si="30"/>
        <v>9354831</v>
      </c>
      <c r="F25" s="896">
        <f t="shared" si="30"/>
        <v>1693881</v>
      </c>
      <c r="G25" s="896">
        <f t="shared" si="30"/>
        <v>6164835</v>
      </c>
      <c r="H25" s="896">
        <f t="shared" si="30"/>
        <v>2426653</v>
      </c>
      <c r="I25" s="896">
        <f t="shared" si="30"/>
        <v>0</v>
      </c>
      <c r="J25" s="896">
        <f t="shared" si="30"/>
        <v>0</v>
      </c>
      <c r="K25" s="896">
        <f t="shared" si="30"/>
        <v>0</v>
      </c>
      <c r="L25" s="896">
        <f t="shared" si="30"/>
        <v>0</v>
      </c>
      <c r="M25" s="3786"/>
      <c r="N25" s="3786"/>
      <c r="O25" s="742"/>
      <c r="P25" s="426">
        <f>D25-D15</f>
        <v>0</v>
      </c>
      <c r="Q25" s="426">
        <f>G25-'[1]Tab. 6A -Drogi'!$G$25</f>
        <v>1088670</v>
      </c>
    </row>
    <row r="26" spans="1:19" ht="14.25" hidden="1" customHeight="1">
      <c r="A26" s="3781"/>
      <c r="B26" s="23" t="s">
        <v>52</v>
      </c>
      <c r="C26" s="24"/>
      <c r="D26" s="896">
        <f t="shared" ref="D26:L26" si="31">+D461+D48</f>
        <v>0</v>
      </c>
      <c r="E26" s="896">
        <f t="shared" si="31"/>
        <v>0</v>
      </c>
      <c r="F26" s="896">
        <f t="shared" si="31"/>
        <v>0</v>
      </c>
      <c r="G26" s="896">
        <f t="shared" si="31"/>
        <v>0</v>
      </c>
      <c r="H26" s="896">
        <f t="shared" si="31"/>
        <v>0</v>
      </c>
      <c r="I26" s="896">
        <f t="shared" si="31"/>
        <v>0</v>
      </c>
      <c r="J26" s="896">
        <f t="shared" si="31"/>
        <v>0</v>
      </c>
      <c r="K26" s="896">
        <f t="shared" si="31"/>
        <v>0</v>
      </c>
      <c r="L26" s="896">
        <f t="shared" si="31"/>
        <v>0</v>
      </c>
      <c r="M26" s="3786"/>
      <c r="N26" s="3786"/>
      <c r="O26" s="742"/>
      <c r="P26" s="426">
        <f>D16-D26</f>
        <v>0</v>
      </c>
    </row>
    <row r="27" spans="1:19" ht="14.25" customHeight="1">
      <c r="A27" s="3781"/>
      <c r="B27" s="156" t="s">
        <v>17</v>
      </c>
      <c r="C27" s="25"/>
      <c r="D27" s="896">
        <f>+D46</f>
        <v>10887000</v>
      </c>
      <c r="E27" s="896">
        <f t="shared" ref="E27:E28" si="32">+E46</f>
        <v>0</v>
      </c>
      <c r="F27" s="896">
        <f t="shared" ref="F27:L28" si="33">+F46</f>
        <v>0</v>
      </c>
      <c r="G27" s="896">
        <f t="shared" si="33"/>
        <v>10887000</v>
      </c>
      <c r="H27" s="896">
        <f t="shared" si="33"/>
        <v>0</v>
      </c>
      <c r="I27" s="896">
        <f t="shared" si="33"/>
        <v>0</v>
      </c>
      <c r="J27" s="896">
        <f t="shared" si="33"/>
        <v>0</v>
      </c>
      <c r="K27" s="896">
        <f t="shared" si="33"/>
        <v>0</v>
      </c>
      <c r="L27" s="896">
        <f t="shared" si="33"/>
        <v>0</v>
      </c>
      <c r="M27" s="3786"/>
      <c r="N27" s="3786"/>
      <c r="O27" s="742"/>
      <c r="P27" s="426">
        <f>D17-D27</f>
        <v>0</v>
      </c>
    </row>
    <row r="28" spans="1:19" ht="14.25" hidden="1" customHeight="1">
      <c r="A28" s="3781"/>
      <c r="B28" s="156" t="s">
        <v>80</v>
      </c>
      <c r="C28" s="25"/>
      <c r="D28" s="896">
        <f>+D47</f>
        <v>0</v>
      </c>
      <c r="E28" s="896">
        <f t="shared" si="32"/>
        <v>0</v>
      </c>
      <c r="F28" s="896">
        <f t="shared" si="33"/>
        <v>0</v>
      </c>
      <c r="G28" s="896">
        <f t="shared" si="33"/>
        <v>0</v>
      </c>
      <c r="H28" s="896">
        <f t="shared" si="33"/>
        <v>0</v>
      </c>
      <c r="I28" s="896">
        <f t="shared" si="33"/>
        <v>0</v>
      </c>
      <c r="J28" s="896">
        <f t="shared" si="33"/>
        <v>0</v>
      </c>
      <c r="K28" s="896">
        <f t="shared" si="33"/>
        <v>0</v>
      </c>
      <c r="L28" s="896">
        <f t="shared" si="33"/>
        <v>0</v>
      </c>
      <c r="M28" s="3786"/>
      <c r="N28" s="3786"/>
      <c r="O28" s="742"/>
    </row>
    <row r="29" spans="1:19" ht="14.25" customHeight="1">
      <c r="A29" s="3781"/>
      <c r="B29" s="2443" t="s">
        <v>18</v>
      </c>
      <c r="C29" s="2444"/>
      <c r="D29" s="902">
        <f>+D30+D31+D32+D33</f>
        <v>735295735</v>
      </c>
      <c r="E29" s="902">
        <f t="shared" ref="E29" si="34">+E30+E31+E32+E33</f>
        <v>25497315</v>
      </c>
      <c r="F29" s="902">
        <f>+F30+F31+F32+F33</f>
        <v>177218311</v>
      </c>
      <c r="G29" s="902">
        <f t="shared" ref="G29:L29" si="35">+G30+G31+G32+G33</f>
        <v>256577244</v>
      </c>
      <c r="H29" s="902">
        <f t="shared" si="35"/>
        <v>151463581</v>
      </c>
      <c r="I29" s="902">
        <f t="shared" si="35"/>
        <v>97121916</v>
      </c>
      <c r="J29" s="902">
        <f t="shared" si="35"/>
        <v>27417368</v>
      </c>
      <c r="K29" s="902">
        <f t="shared" si="35"/>
        <v>0</v>
      </c>
      <c r="L29" s="902">
        <f t="shared" si="35"/>
        <v>0</v>
      </c>
      <c r="M29" s="3786"/>
      <c r="N29" s="3786"/>
      <c r="O29" s="742"/>
      <c r="P29" s="426">
        <f>D31-D19</f>
        <v>0</v>
      </c>
    </row>
    <row r="30" spans="1:19" ht="14.25" hidden="1" customHeight="1">
      <c r="A30" s="3781"/>
      <c r="B30" s="904" t="s">
        <v>17</v>
      </c>
      <c r="C30" s="2445"/>
      <c r="D30" s="896">
        <f t="shared" ref="D30:L30" si="36">+D50</f>
        <v>0</v>
      </c>
      <c r="E30" s="896">
        <f t="shared" si="36"/>
        <v>0</v>
      </c>
      <c r="F30" s="896">
        <f t="shared" si="36"/>
        <v>0</v>
      </c>
      <c r="G30" s="896">
        <f t="shared" si="36"/>
        <v>0</v>
      </c>
      <c r="H30" s="896">
        <f t="shared" si="36"/>
        <v>0</v>
      </c>
      <c r="I30" s="896">
        <f t="shared" si="36"/>
        <v>0</v>
      </c>
      <c r="J30" s="896">
        <f t="shared" si="36"/>
        <v>0</v>
      </c>
      <c r="K30" s="896">
        <f t="shared" si="36"/>
        <v>0</v>
      </c>
      <c r="L30" s="896">
        <f t="shared" si="36"/>
        <v>0</v>
      </c>
      <c r="M30" s="3786"/>
      <c r="N30" s="3786"/>
      <c r="O30" s="742"/>
    </row>
    <row r="31" spans="1:19" ht="14.25" customHeight="1">
      <c r="A31" s="3781"/>
      <c r="B31" s="900" t="s">
        <v>20</v>
      </c>
      <c r="C31" s="2436"/>
      <c r="D31" s="2446">
        <f t="shared" ref="D31:F31" si="37">+D350+D500</f>
        <v>799122</v>
      </c>
      <c r="E31" s="2446">
        <f t="shared" ref="E31" si="38">+E350+E500</f>
        <v>0</v>
      </c>
      <c r="F31" s="2446">
        <f t="shared" si="37"/>
        <v>45734</v>
      </c>
      <c r="G31" s="2446">
        <f t="shared" ref="G31:L31" si="39">+G350</f>
        <v>259104</v>
      </c>
      <c r="H31" s="2446">
        <f t="shared" si="39"/>
        <v>341780</v>
      </c>
      <c r="I31" s="2446">
        <f t="shared" si="39"/>
        <v>152504</v>
      </c>
      <c r="J31" s="2446">
        <f t="shared" si="39"/>
        <v>0</v>
      </c>
      <c r="K31" s="2446">
        <f t="shared" si="39"/>
        <v>0</v>
      </c>
      <c r="L31" s="2446">
        <f t="shared" si="39"/>
        <v>0</v>
      </c>
      <c r="M31" s="3786"/>
      <c r="N31" s="3786"/>
      <c r="O31" s="742"/>
      <c r="P31" s="426">
        <f>D32-D20</f>
        <v>0</v>
      </c>
    </row>
    <row r="32" spans="1:19" ht="14.25" customHeight="1" thickBot="1">
      <c r="A32" s="3781"/>
      <c r="B32" s="900" t="s">
        <v>21</v>
      </c>
      <c r="C32" s="2445"/>
      <c r="D32" s="2446">
        <f>+D51+D463+D360</f>
        <v>734496613</v>
      </c>
      <c r="E32" s="2446">
        <f t="shared" ref="E32:L32" si="40">+E51+E463+E360</f>
        <v>25497315</v>
      </c>
      <c r="F32" s="2446">
        <f t="shared" si="40"/>
        <v>177172577</v>
      </c>
      <c r="G32" s="2446">
        <f t="shared" si="40"/>
        <v>256318140</v>
      </c>
      <c r="H32" s="2446">
        <f t="shared" si="40"/>
        <v>151121801</v>
      </c>
      <c r="I32" s="2446">
        <f t="shared" si="40"/>
        <v>96969412</v>
      </c>
      <c r="J32" s="2446">
        <f t="shared" si="40"/>
        <v>27417368</v>
      </c>
      <c r="K32" s="2446">
        <f t="shared" si="40"/>
        <v>0</v>
      </c>
      <c r="L32" s="2446">
        <f t="shared" si="40"/>
        <v>0</v>
      </c>
      <c r="M32" s="3786"/>
      <c r="N32" s="3786"/>
      <c r="O32" s="742"/>
    </row>
    <row r="33" spans="1:17" ht="13.5" hidden="1" thickBot="1">
      <c r="A33" s="3782"/>
      <c r="B33" s="26" t="s">
        <v>79</v>
      </c>
      <c r="C33" s="27"/>
      <c r="D33" s="747">
        <f>+D464</f>
        <v>0</v>
      </c>
      <c r="E33" s="747">
        <f t="shared" ref="E33" si="41">+E464</f>
        <v>0</v>
      </c>
      <c r="F33" s="747">
        <f t="shared" ref="F33:L33" si="42">+F464</f>
        <v>0</v>
      </c>
      <c r="G33" s="747">
        <f t="shared" si="42"/>
        <v>0</v>
      </c>
      <c r="H33" s="747">
        <f t="shared" si="42"/>
        <v>0</v>
      </c>
      <c r="I33" s="747">
        <f t="shared" si="42"/>
        <v>0</v>
      </c>
      <c r="J33" s="747">
        <f t="shared" si="42"/>
        <v>0</v>
      </c>
      <c r="K33" s="747">
        <f t="shared" si="42"/>
        <v>0</v>
      </c>
      <c r="L33" s="747">
        <f t="shared" si="42"/>
        <v>0</v>
      </c>
      <c r="M33" s="3787"/>
      <c r="N33" s="3787"/>
      <c r="O33" s="2447"/>
    </row>
    <row r="34" spans="1:17" ht="25.5" customHeight="1">
      <c r="A34" s="2448" t="s">
        <v>194</v>
      </c>
      <c r="B34" s="2449" t="s">
        <v>210</v>
      </c>
      <c r="C34" s="2450"/>
      <c r="D34" s="2451"/>
      <c r="E34" s="2452"/>
      <c r="F34" s="2452"/>
      <c r="G34" s="2452"/>
      <c r="H34" s="2452"/>
      <c r="I34" s="2452"/>
      <c r="J34" s="2452"/>
      <c r="K34" s="2452"/>
      <c r="L34" s="2452"/>
      <c r="M34" s="2453"/>
      <c r="N34" s="2454"/>
      <c r="O34" s="2455"/>
    </row>
    <row r="35" spans="1:17" ht="14.25" customHeight="1">
      <c r="A35" s="748"/>
      <c r="B35" s="881" t="s">
        <v>10</v>
      </c>
      <c r="C35" s="1475"/>
      <c r="D35" s="855">
        <f>+D36+D41</f>
        <v>860104435</v>
      </c>
      <c r="E35" s="855">
        <f t="shared" ref="E35:L35" si="43">+E36+E41</f>
        <v>44967942</v>
      </c>
      <c r="F35" s="855">
        <f t="shared" si="43"/>
        <v>213466976</v>
      </c>
      <c r="G35" s="855">
        <f t="shared" si="43"/>
        <v>318423798</v>
      </c>
      <c r="H35" s="855">
        <f t="shared" si="43"/>
        <v>148720043</v>
      </c>
      <c r="I35" s="855">
        <f t="shared" si="43"/>
        <v>104525676</v>
      </c>
      <c r="J35" s="855">
        <f t="shared" si="43"/>
        <v>30000000</v>
      </c>
      <c r="K35" s="855">
        <f t="shared" si="43"/>
        <v>0</v>
      </c>
      <c r="L35" s="855">
        <f t="shared" si="43"/>
        <v>0</v>
      </c>
      <c r="M35" s="2043">
        <f t="shared" ref="M35" si="44">+M36+M41</f>
        <v>815136493</v>
      </c>
      <c r="N35" s="2043">
        <f t="shared" ref="N35" si="45">+N36+N41</f>
        <v>601669517</v>
      </c>
      <c r="O35" s="749"/>
      <c r="P35" s="426"/>
    </row>
    <row r="36" spans="1:17" s="738" customFormat="1" ht="14.25" customHeight="1">
      <c r="A36" s="748"/>
      <c r="B36" s="905" t="s">
        <v>24</v>
      </c>
      <c r="C36" s="2456"/>
      <c r="D36" s="882">
        <f>+D37+D38+D39+D40</f>
        <v>149663367</v>
      </c>
      <c r="E36" s="882">
        <f t="shared" ref="E36:L36" si="46">+E37+E38+E39+E40</f>
        <v>13583751</v>
      </c>
      <c r="F36" s="882">
        <f t="shared" si="46"/>
        <v>32328869</v>
      </c>
      <c r="G36" s="882">
        <f t="shared" si="46"/>
        <v>58746145</v>
      </c>
      <c r="H36" s="882">
        <f t="shared" si="46"/>
        <v>24468751</v>
      </c>
      <c r="I36" s="882">
        <f t="shared" si="46"/>
        <v>16035851</v>
      </c>
      <c r="J36" s="882">
        <f t="shared" si="46"/>
        <v>4500000</v>
      </c>
      <c r="K36" s="882">
        <f t="shared" si="46"/>
        <v>0</v>
      </c>
      <c r="L36" s="882">
        <f t="shared" si="46"/>
        <v>0</v>
      </c>
      <c r="M36" s="906">
        <f>+M37+M38+M39+M40</f>
        <v>136079616</v>
      </c>
      <c r="N36" s="906">
        <f>+N37+N38+N39+N40</f>
        <v>103750747</v>
      </c>
      <c r="O36" s="749"/>
      <c r="Q36" s="735"/>
    </row>
    <row r="37" spans="1:17" ht="14.25" customHeight="1">
      <c r="A37" s="748"/>
      <c r="B37" s="907" t="s">
        <v>12</v>
      </c>
      <c r="C37" s="2457"/>
      <c r="D37" s="883">
        <f>+D303+D147+D315+D291+D329+D82+D131+D56+D94+D70+D106+D116+D159+D171+D183+D195+D207+D219+D231+D243+D255+D267+D279</f>
        <v>119193170</v>
      </c>
      <c r="E37" s="883">
        <f t="shared" ref="E37:L37" si="47">+E303+E147+E315+E291+E329+E82+E131+E56+E94+E70+E106+E116+E159+E171+E183+E195+E207+E219+E231+E243+E255+E267+E279</f>
        <v>4280429</v>
      </c>
      <c r="F37" s="883">
        <f t="shared" si="47"/>
        <v>30241188</v>
      </c>
      <c r="G37" s="883">
        <f t="shared" si="47"/>
        <v>42093604</v>
      </c>
      <c r="H37" s="883">
        <f t="shared" si="47"/>
        <v>22042098</v>
      </c>
      <c r="I37" s="883">
        <f t="shared" si="47"/>
        <v>16035851</v>
      </c>
      <c r="J37" s="883">
        <f t="shared" si="47"/>
        <v>4500000</v>
      </c>
      <c r="K37" s="883">
        <f t="shared" si="47"/>
        <v>0</v>
      </c>
      <c r="L37" s="883">
        <f t="shared" si="47"/>
        <v>0</v>
      </c>
      <c r="M37" s="862">
        <f>SUM(F37:K37)</f>
        <v>114912741</v>
      </c>
      <c r="N37" s="862">
        <f t="shared" ref="M37:N39" si="48">SUM(G37:L37)</f>
        <v>84671553</v>
      </c>
      <c r="O37" s="752"/>
      <c r="P37" s="426"/>
      <c r="Q37" s="735"/>
    </row>
    <row r="38" spans="1:17" ht="14.25" customHeight="1">
      <c r="A38" s="748"/>
      <c r="B38" s="858" t="s">
        <v>15</v>
      </c>
      <c r="C38" s="2458"/>
      <c r="D38" s="883">
        <f t="shared" ref="D38:L38" si="49">+D148+D317+D292+D83+D118+D133+D95+D208+D220+D172+D232</f>
        <v>19583197</v>
      </c>
      <c r="E38" s="883">
        <f t="shared" si="49"/>
        <v>9303322</v>
      </c>
      <c r="F38" s="883">
        <f t="shared" si="49"/>
        <v>2087681</v>
      </c>
      <c r="G38" s="883">
        <f t="shared" si="49"/>
        <v>5765541</v>
      </c>
      <c r="H38" s="883">
        <f t="shared" si="49"/>
        <v>2426653</v>
      </c>
      <c r="I38" s="883">
        <f t="shared" si="49"/>
        <v>0</v>
      </c>
      <c r="J38" s="883">
        <f t="shared" si="49"/>
        <v>0</v>
      </c>
      <c r="K38" s="883">
        <f t="shared" si="49"/>
        <v>0</v>
      </c>
      <c r="L38" s="883">
        <f t="shared" si="49"/>
        <v>0</v>
      </c>
      <c r="M38" s="862">
        <f t="shared" si="48"/>
        <v>10279875</v>
      </c>
      <c r="N38" s="862">
        <f t="shared" si="48"/>
        <v>8192194</v>
      </c>
      <c r="O38" s="752"/>
      <c r="P38" s="426">
        <f>D38-D45</f>
        <v>0</v>
      </c>
      <c r="Q38" s="735"/>
    </row>
    <row r="39" spans="1:17" ht="14.25" customHeight="1">
      <c r="A39" s="748"/>
      <c r="B39" s="858" t="s">
        <v>17</v>
      </c>
      <c r="C39" s="2458"/>
      <c r="D39" s="883">
        <f t="shared" ref="D39:L39" si="50">+D117+D132+D57+D71+D330</f>
        <v>10887000</v>
      </c>
      <c r="E39" s="883">
        <f t="shared" si="50"/>
        <v>0</v>
      </c>
      <c r="F39" s="883">
        <f t="shared" si="50"/>
        <v>0</v>
      </c>
      <c r="G39" s="883">
        <f t="shared" si="50"/>
        <v>10887000</v>
      </c>
      <c r="H39" s="883">
        <f t="shared" si="50"/>
        <v>0</v>
      </c>
      <c r="I39" s="883">
        <f t="shared" si="50"/>
        <v>0</v>
      </c>
      <c r="J39" s="883">
        <f t="shared" si="50"/>
        <v>0</v>
      </c>
      <c r="K39" s="883">
        <f t="shared" si="50"/>
        <v>0</v>
      </c>
      <c r="L39" s="883">
        <f t="shared" si="50"/>
        <v>0</v>
      </c>
      <c r="M39" s="862">
        <f t="shared" si="48"/>
        <v>10887000</v>
      </c>
      <c r="N39" s="862">
        <f t="shared" si="48"/>
        <v>10887000</v>
      </c>
      <c r="O39" s="752"/>
      <c r="P39" s="426">
        <f>D39-D46</f>
        <v>0</v>
      </c>
      <c r="Q39" s="735"/>
    </row>
    <row r="40" spans="1:17" ht="14.25" hidden="1" customHeight="1">
      <c r="A40" s="748"/>
      <c r="B40" s="858" t="s">
        <v>52</v>
      </c>
      <c r="C40" s="2458"/>
      <c r="D40" s="883">
        <f>+D304+D316</f>
        <v>0</v>
      </c>
      <c r="E40" s="883">
        <f t="shared" ref="E40:L40" si="51">+E304+E316</f>
        <v>0</v>
      </c>
      <c r="F40" s="883">
        <f t="shared" si="51"/>
        <v>0</v>
      </c>
      <c r="G40" s="883">
        <f t="shared" si="51"/>
        <v>0</v>
      </c>
      <c r="H40" s="883">
        <f t="shared" si="51"/>
        <v>0</v>
      </c>
      <c r="I40" s="883">
        <f t="shared" si="51"/>
        <v>0</v>
      </c>
      <c r="J40" s="883">
        <f t="shared" si="51"/>
        <v>0</v>
      </c>
      <c r="K40" s="883">
        <f t="shared" si="51"/>
        <v>0</v>
      </c>
      <c r="L40" s="883">
        <f t="shared" si="51"/>
        <v>0</v>
      </c>
      <c r="M40" s="862">
        <f>SUM(E40:K40)</f>
        <v>0</v>
      </c>
      <c r="N40" s="862">
        <f>SUM(F40:L40)</f>
        <v>0</v>
      </c>
      <c r="O40" s="752"/>
      <c r="P40" s="426"/>
      <c r="Q40" s="735"/>
    </row>
    <row r="41" spans="1:17" s="738" customFormat="1" ht="14.25" customHeight="1">
      <c r="A41" s="748"/>
      <c r="B41" s="884" t="s">
        <v>18</v>
      </c>
      <c r="C41" s="2459"/>
      <c r="D41" s="882">
        <f>+D42</f>
        <v>710441068</v>
      </c>
      <c r="E41" s="882">
        <f t="shared" ref="E41:L41" si="52">+E42</f>
        <v>31384191</v>
      </c>
      <c r="F41" s="882">
        <f t="shared" si="52"/>
        <v>181138107</v>
      </c>
      <c r="G41" s="882">
        <f t="shared" si="52"/>
        <v>259677653</v>
      </c>
      <c r="H41" s="882">
        <f t="shared" si="52"/>
        <v>124251292</v>
      </c>
      <c r="I41" s="882">
        <f t="shared" si="52"/>
        <v>88489825</v>
      </c>
      <c r="J41" s="882">
        <f t="shared" si="52"/>
        <v>25500000</v>
      </c>
      <c r="K41" s="882">
        <f t="shared" si="52"/>
        <v>0</v>
      </c>
      <c r="L41" s="882">
        <f t="shared" si="52"/>
        <v>0</v>
      </c>
      <c r="M41" s="2460">
        <f>+M42</f>
        <v>679056877</v>
      </c>
      <c r="N41" s="2460">
        <f>+N42</f>
        <v>497918770</v>
      </c>
      <c r="O41" s="752"/>
      <c r="Q41" s="735"/>
    </row>
    <row r="42" spans="1:17" ht="14.25" customHeight="1">
      <c r="A42" s="748"/>
      <c r="B42" s="908" t="s">
        <v>21</v>
      </c>
      <c r="C42" s="909"/>
      <c r="D42" s="910">
        <f>+D306+D150+D120+D319+D294+D332+D85+D136+D60+D97+D73+D108+D162+D174+D186+D198+D210+D222+D234+D246+D258+D270+D282</f>
        <v>710441068</v>
      </c>
      <c r="E42" s="910">
        <f t="shared" ref="E42:L42" si="53">+E306+E150+E120+E319+E294+E332+E85+E136+E60+E97+E73+E108+E162+E174+E186+E198+E210+E222+E234+E246+E258+E270+E282</f>
        <v>31384191</v>
      </c>
      <c r="F42" s="910">
        <f t="shared" si="53"/>
        <v>181138107</v>
      </c>
      <c r="G42" s="910">
        <f t="shared" si="53"/>
        <v>259677653</v>
      </c>
      <c r="H42" s="910">
        <f t="shared" si="53"/>
        <v>124251292</v>
      </c>
      <c r="I42" s="910">
        <f t="shared" si="53"/>
        <v>88489825</v>
      </c>
      <c r="J42" s="910">
        <f t="shared" si="53"/>
        <v>25500000</v>
      </c>
      <c r="K42" s="910">
        <f t="shared" si="53"/>
        <v>0</v>
      </c>
      <c r="L42" s="910">
        <f t="shared" si="53"/>
        <v>0</v>
      </c>
      <c r="M42" s="862">
        <f>SUM(F42:K42)</f>
        <v>679056877</v>
      </c>
      <c r="N42" s="862">
        <f>SUM(G42:L42)</f>
        <v>497918770</v>
      </c>
      <c r="O42" s="749"/>
      <c r="P42" s="426">
        <f>D42-D51</f>
        <v>0</v>
      </c>
      <c r="Q42" s="735"/>
    </row>
    <row r="43" spans="1:17" ht="14.25" customHeight="1">
      <c r="A43" s="748"/>
      <c r="B43" s="2440" t="s">
        <v>22</v>
      </c>
      <c r="C43" s="1475"/>
      <c r="D43" s="855">
        <f>+D44+D49</f>
        <v>740911265</v>
      </c>
      <c r="E43" s="855">
        <f t="shared" ref="E43:L43" si="54">+E44+E49</f>
        <v>34795143</v>
      </c>
      <c r="F43" s="855">
        <f t="shared" si="54"/>
        <v>178866458</v>
      </c>
      <c r="G43" s="855">
        <f t="shared" si="54"/>
        <v>267124571</v>
      </c>
      <c r="H43" s="855">
        <f t="shared" si="54"/>
        <v>146135268</v>
      </c>
      <c r="I43" s="855">
        <f t="shared" si="54"/>
        <v>88489825</v>
      </c>
      <c r="J43" s="855">
        <f t="shared" si="54"/>
        <v>25500000</v>
      </c>
      <c r="K43" s="855">
        <f t="shared" si="54"/>
        <v>0</v>
      </c>
      <c r="L43" s="855">
        <f t="shared" si="54"/>
        <v>0</v>
      </c>
      <c r="M43" s="3788" t="s">
        <v>23</v>
      </c>
      <c r="N43" s="3788" t="s">
        <v>23</v>
      </c>
      <c r="O43" s="752"/>
    </row>
    <row r="44" spans="1:17" ht="14.25" customHeight="1">
      <c r="A44" s="748"/>
      <c r="B44" s="856" t="s">
        <v>24</v>
      </c>
      <c r="C44" s="755"/>
      <c r="D44" s="35">
        <f>+D45+D46+D47+D48</f>
        <v>30470197</v>
      </c>
      <c r="E44" s="35">
        <f t="shared" ref="E44:L44" si="55">+E45+E46+E47+E48</f>
        <v>9297828</v>
      </c>
      <c r="F44" s="35">
        <f t="shared" si="55"/>
        <v>1693881</v>
      </c>
      <c r="G44" s="35">
        <f t="shared" si="55"/>
        <v>17051835</v>
      </c>
      <c r="H44" s="35">
        <f t="shared" si="55"/>
        <v>2426653</v>
      </c>
      <c r="I44" s="35">
        <f t="shared" si="55"/>
        <v>0</v>
      </c>
      <c r="J44" s="35">
        <f t="shared" si="55"/>
        <v>0</v>
      </c>
      <c r="K44" s="35">
        <f t="shared" si="55"/>
        <v>0</v>
      </c>
      <c r="L44" s="35">
        <f t="shared" si="55"/>
        <v>0</v>
      </c>
      <c r="M44" s="3789"/>
      <c r="N44" s="3789"/>
      <c r="O44" s="752"/>
      <c r="P44" s="426"/>
    </row>
    <row r="45" spans="1:17" ht="14.25" customHeight="1">
      <c r="A45" s="748"/>
      <c r="B45" s="36" t="s">
        <v>15</v>
      </c>
      <c r="C45" s="37"/>
      <c r="D45" s="857">
        <f t="shared" ref="D45:L45" si="56">+D153+D323+D297+D88+D124+D140+D100+D213+D225+D177+D237</f>
        <v>19583197</v>
      </c>
      <c r="E45" s="857">
        <f t="shared" si="56"/>
        <v>9297828</v>
      </c>
      <c r="F45" s="857">
        <f t="shared" si="56"/>
        <v>1693881</v>
      </c>
      <c r="G45" s="857">
        <f t="shared" si="56"/>
        <v>6164835</v>
      </c>
      <c r="H45" s="857">
        <f t="shared" si="56"/>
        <v>2426653</v>
      </c>
      <c r="I45" s="857">
        <f t="shared" si="56"/>
        <v>0</v>
      </c>
      <c r="J45" s="857">
        <f t="shared" si="56"/>
        <v>0</v>
      </c>
      <c r="K45" s="857">
        <f t="shared" si="56"/>
        <v>0</v>
      </c>
      <c r="L45" s="857">
        <f t="shared" si="56"/>
        <v>0</v>
      </c>
      <c r="M45" s="3789"/>
      <c r="N45" s="3789"/>
      <c r="O45" s="752"/>
    </row>
    <row r="46" spans="1:17" ht="14.25" customHeight="1">
      <c r="A46" s="748"/>
      <c r="B46" s="858" t="s">
        <v>17</v>
      </c>
      <c r="C46" s="37"/>
      <c r="D46" s="857">
        <f t="shared" ref="D46:L46" si="57">+D123+D139+D63+D76+D335</f>
        <v>10887000</v>
      </c>
      <c r="E46" s="857">
        <f t="shared" si="57"/>
        <v>0</v>
      </c>
      <c r="F46" s="857">
        <f t="shared" si="57"/>
        <v>0</v>
      </c>
      <c r="G46" s="857">
        <f t="shared" si="57"/>
        <v>10887000</v>
      </c>
      <c r="H46" s="857">
        <f t="shared" si="57"/>
        <v>0</v>
      </c>
      <c r="I46" s="857">
        <f t="shared" si="57"/>
        <v>0</v>
      </c>
      <c r="J46" s="857">
        <f t="shared" si="57"/>
        <v>0</v>
      </c>
      <c r="K46" s="857">
        <f t="shared" si="57"/>
        <v>0</v>
      </c>
      <c r="L46" s="857">
        <f t="shared" si="57"/>
        <v>0</v>
      </c>
      <c r="M46" s="3789"/>
      <c r="N46" s="3789"/>
      <c r="O46" s="752"/>
    </row>
    <row r="47" spans="1:17" ht="14.25" hidden="1" customHeight="1">
      <c r="A47" s="748"/>
      <c r="B47" s="858" t="s">
        <v>26</v>
      </c>
      <c r="C47" s="37"/>
      <c r="D47" s="857"/>
      <c r="E47" s="857"/>
      <c r="F47" s="857"/>
      <c r="G47" s="857"/>
      <c r="H47" s="857"/>
      <c r="I47" s="857"/>
      <c r="J47" s="857"/>
      <c r="K47" s="857"/>
      <c r="L47" s="857"/>
      <c r="M47" s="3789"/>
      <c r="N47" s="3789"/>
      <c r="O47" s="752"/>
    </row>
    <row r="48" spans="1:17" ht="14.25" hidden="1" customHeight="1">
      <c r="A48" s="748"/>
      <c r="B48" s="858" t="s">
        <v>52</v>
      </c>
      <c r="C48" s="37"/>
      <c r="D48" s="857">
        <f>+D309+D322</f>
        <v>0</v>
      </c>
      <c r="E48" s="857">
        <f t="shared" ref="E48:L48" si="58">+E309+E322</f>
        <v>0</v>
      </c>
      <c r="F48" s="857">
        <f t="shared" si="58"/>
        <v>0</v>
      </c>
      <c r="G48" s="857">
        <f t="shared" si="58"/>
        <v>0</v>
      </c>
      <c r="H48" s="857">
        <f t="shared" si="58"/>
        <v>0</v>
      </c>
      <c r="I48" s="857">
        <f t="shared" si="58"/>
        <v>0</v>
      </c>
      <c r="J48" s="857">
        <f t="shared" si="58"/>
        <v>0</v>
      </c>
      <c r="K48" s="857">
        <f t="shared" si="58"/>
        <v>0</v>
      </c>
      <c r="L48" s="857">
        <f t="shared" si="58"/>
        <v>0</v>
      </c>
      <c r="M48" s="3789"/>
      <c r="N48" s="3789"/>
      <c r="O48" s="752"/>
    </row>
    <row r="49" spans="1:16" ht="10.5" customHeight="1">
      <c r="A49" s="748"/>
      <c r="B49" s="859" t="s">
        <v>18</v>
      </c>
      <c r="C49" s="2461"/>
      <c r="D49" s="860">
        <f t="shared" ref="D49:L49" si="59">+D50+D51</f>
        <v>710441068</v>
      </c>
      <c r="E49" s="860">
        <f t="shared" si="59"/>
        <v>25497315</v>
      </c>
      <c r="F49" s="860">
        <f t="shared" si="59"/>
        <v>177172577</v>
      </c>
      <c r="G49" s="860">
        <f t="shared" si="59"/>
        <v>250072736</v>
      </c>
      <c r="H49" s="860">
        <f t="shared" si="59"/>
        <v>143708615</v>
      </c>
      <c r="I49" s="860">
        <f t="shared" si="59"/>
        <v>88489825</v>
      </c>
      <c r="J49" s="860">
        <f t="shared" si="59"/>
        <v>25500000</v>
      </c>
      <c r="K49" s="860">
        <f t="shared" si="59"/>
        <v>0</v>
      </c>
      <c r="L49" s="860">
        <f t="shared" si="59"/>
        <v>0</v>
      </c>
      <c r="M49" s="3789"/>
      <c r="N49" s="3789"/>
      <c r="O49" s="752"/>
    </row>
    <row r="50" spans="1:16" ht="14.25" hidden="1" customHeight="1">
      <c r="A50" s="748"/>
      <c r="B50" s="858" t="s">
        <v>17</v>
      </c>
      <c r="C50" s="2458"/>
      <c r="D50" s="857">
        <f>+D126+D142+D65</f>
        <v>0</v>
      </c>
      <c r="E50" s="857">
        <f t="shared" ref="E50:L50" si="60">+E126+E142+E65</f>
        <v>0</v>
      </c>
      <c r="F50" s="857">
        <f t="shared" si="60"/>
        <v>0</v>
      </c>
      <c r="G50" s="857">
        <f t="shared" si="60"/>
        <v>0</v>
      </c>
      <c r="H50" s="857">
        <f t="shared" si="60"/>
        <v>0</v>
      </c>
      <c r="I50" s="857">
        <f t="shared" si="60"/>
        <v>0</v>
      </c>
      <c r="J50" s="857">
        <f t="shared" si="60"/>
        <v>0</v>
      </c>
      <c r="K50" s="857">
        <f t="shared" si="60"/>
        <v>0</v>
      </c>
      <c r="L50" s="857">
        <f t="shared" si="60"/>
        <v>0</v>
      </c>
      <c r="M50" s="3789"/>
      <c r="N50" s="3789"/>
      <c r="O50" s="752"/>
      <c r="P50" s="426"/>
    </row>
    <row r="51" spans="1:16" ht="12.75" customHeight="1" thickBot="1">
      <c r="A51" s="756"/>
      <c r="B51" s="38" t="s">
        <v>21</v>
      </c>
      <c r="C51" s="39"/>
      <c r="D51" s="2462">
        <f>+D311+D155+D127+D325+D299+D337++D90+D143+D66+D102+D78+D111+D167+D179+D191+D203+D215+D227+D239+D251+D263+D275+D287</f>
        <v>710441068</v>
      </c>
      <c r="E51" s="2462">
        <f t="shared" ref="E51:L51" si="61">+E311+E155+E127+E325+E299+E337++E90+E143+E66+E102+E78+E111+E167+E179+E191+E203+E215+E227+E239+E251+E263+E275+E287</f>
        <v>25497315</v>
      </c>
      <c r="F51" s="2462">
        <f t="shared" si="61"/>
        <v>177172577</v>
      </c>
      <c r="G51" s="2462">
        <f t="shared" si="61"/>
        <v>250072736</v>
      </c>
      <c r="H51" s="2462">
        <f t="shared" si="61"/>
        <v>143708615</v>
      </c>
      <c r="I51" s="2462">
        <f t="shared" si="61"/>
        <v>88489825</v>
      </c>
      <c r="J51" s="2462">
        <f t="shared" si="61"/>
        <v>25500000</v>
      </c>
      <c r="K51" s="2462">
        <f t="shared" si="61"/>
        <v>0</v>
      </c>
      <c r="L51" s="2462">
        <f t="shared" si="61"/>
        <v>0</v>
      </c>
      <c r="M51" s="3790"/>
      <c r="N51" s="3790"/>
      <c r="O51" s="757"/>
      <c r="P51" s="426"/>
    </row>
    <row r="52" spans="1:16" s="257" customFormat="1" ht="14.25" customHeight="1" thickBot="1">
      <c r="A52" s="3058"/>
      <c r="B52" s="271" t="s">
        <v>502</v>
      </c>
      <c r="C52" s="427"/>
      <c r="D52" s="767"/>
      <c r="E52" s="1400"/>
      <c r="F52" s="768"/>
      <c r="G52" s="768"/>
      <c r="H52" s="768"/>
      <c r="I52" s="768"/>
      <c r="J52" s="768"/>
      <c r="K52" s="768"/>
      <c r="L52" s="768"/>
      <c r="M52" s="428"/>
      <c r="N52" s="428"/>
      <c r="O52" s="429"/>
    </row>
    <row r="53" spans="1:16" ht="23.25" hidden="1" customHeight="1">
      <c r="A53" s="3742"/>
      <c r="B53" s="402" t="s">
        <v>429</v>
      </c>
      <c r="C53" s="56" t="s">
        <v>81</v>
      </c>
      <c r="D53" s="57"/>
      <c r="E53" s="40"/>
      <c r="F53" s="42"/>
      <c r="G53" s="42"/>
      <c r="H53" s="42"/>
      <c r="I53" s="42"/>
      <c r="J53" s="42"/>
      <c r="K53" s="42"/>
      <c r="L53" s="42"/>
      <c r="M53" s="43"/>
      <c r="N53" s="43"/>
      <c r="O53" s="44" t="s">
        <v>82</v>
      </c>
    </row>
    <row r="54" spans="1:16" ht="13.5" hidden="1" thickBot="1">
      <c r="A54" s="3743"/>
      <c r="B54" s="581" t="s">
        <v>10</v>
      </c>
      <c r="C54" s="1475"/>
      <c r="D54" s="1489">
        <f t="shared" ref="D54" si="62">+D55+D58</f>
        <v>0</v>
      </c>
      <c r="E54" s="1489">
        <f>+E55+E58</f>
        <v>0</v>
      </c>
      <c r="F54" s="1489">
        <f>+F55+F58</f>
        <v>0</v>
      </c>
      <c r="G54" s="1489"/>
      <c r="H54" s="1489"/>
      <c r="I54" s="1489"/>
      <c r="J54" s="1489"/>
      <c r="K54" s="1489"/>
      <c r="L54" s="1489"/>
      <c r="M54" s="1477">
        <f>+M55+M58</f>
        <v>0</v>
      </c>
      <c r="N54" s="1477">
        <f>+N55+N58</f>
        <v>0</v>
      </c>
      <c r="O54" s="3652" t="s">
        <v>83</v>
      </c>
    </row>
    <row r="55" spans="1:16" ht="12" hidden="1" customHeight="1">
      <c r="A55" s="3743"/>
      <c r="B55" s="555" t="s">
        <v>24</v>
      </c>
      <c r="C55" s="3655" t="s">
        <v>84</v>
      </c>
      <c r="D55" s="1490">
        <f t="shared" ref="D55" si="63">+D56+D57</f>
        <v>0</v>
      </c>
      <c r="E55" s="1490">
        <f>+E56+E57</f>
        <v>0</v>
      </c>
      <c r="F55" s="1490">
        <f>+F56+F57</f>
        <v>0</v>
      </c>
      <c r="G55" s="1490"/>
      <c r="H55" s="1490"/>
      <c r="I55" s="1490"/>
      <c r="J55" s="1490"/>
      <c r="K55" s="1490"/>
      <c r="L55" s="1490"/>
      <c r="M55" s="1480">
        <f>+M56+M57</f>
        <v>0</v>
      </c>
      <c r="N55" s="1480">
        <f>+N56+N57</f>
        <v>0</v>
      </c>
      <c r="O55" s="3652"/>
    </row>
    <row r="56" spans="1:16" ht="12" hidden="1" customHeight="1">
      <c r="A56" s="3743"/>
      <c r="B56" s="868" t="s">
        <v>12</v>
      </c>
      <c r="C56" s="3649"/>
      <c r="D56" s="1406">
        <f>E56+F56+G56+H56+I56+J56+K56+L56</f>
        <v>0</v>
      </c>
      <c r="E56" s="1453"/>
      <c r="F56" s="1491"/>
      <c r="G56" s="1492"/>
      <c r="H56" s="1492"/>
      <c r="I56" s="1492"/>
      <c r="J56" s="1492"/>
      <c r="K56" s="1492"/>
      <c r="L56" s="1492"/>
      <c r="M56" s="1493">
        <f>SUM(F56:K56)</f>
        <v>0</v>
      </c>
      <c r="N56" s="1493">
        <f>SUM(G56:L56)</f>
        <v>0</v>
      </c>
      <c r="O56" s="3652"/>
    </row>
    <row r="57" spans="1:16" ht="12" hidden="1" customHeight="1">
      <c r="A57" s="3743"/>
      <c r="B57" s="1568" t="s">
        <v>17</v>
      </c>
      <c r="C57" s="3649"/>
      <c r="D57" s="1406">
        <f>E57+F57+G57+H57+I57+J57+K57+L57</f>
        <v>0</v>
      </c>
      <c r="E57" s="1453"/>
      <c r="F57" s="1492"/>
      <c r="G57" s="1492"/>
      <c r="H57" s="1492"/>
      <c r="I57" s="1492"/>
      <c r="J57" s="1492"/>
      <c r="K57" s="1492"/>
      <c r="L57" s="1492"/>
      <c r="M57" s="1493">
        <f>SUM(F57:K57)</f>
        <v>0</v>
      </c>
      <c r="N57" s="1493">
        <f>SUM(G57:L57)</f>
        <v>0</v>
      </c>
      <c r="O57" s="3652"/>
    </row>
    <row r="58" spans="1:16" ht="12" hidden="1" customHeight="1">
      <c r="A58" s="3743"/>
      <c r="B58" s="1514" t="s">
        <v>18</v>
      </c>
      <c r="C58" s="3649"/>
      <c r="D58" s="1479">
        <f>+D59+D60</f>
        <v>0</v>
      </c>
      <c r="E58" s="1479">
        <f t="shared" ref="E58" si="64">+E59+E60</f>
        <v>0</v>
      </c>
      <c r="F58" s="1479"/>
      <c r="G58" s="1479"/>
      <c r="H58" s="1479"/>
      <c r="I58" s="1479"/>
      <c r="J58" s="1479"/>
      <c r="K58" s="1479"/>
      <c r="L58" s="1479"/>
      <c r="M58" s="1480">
        <f>+M59+M60</f>
        <v>0</v>
      </c>
      <c r="N58" s="1480">
        <f>+N59+N60</f>
        <v>0</v>
      </c>
      <c r="O58" s="3652"/>
    </row>
    <row r="59" spans="1:16" ht="12" hidden="1" customHeight="1">
      <c r="A59" s="3743"/>
      <c r="B59" s="642" t="s">
        <v>17</v>
      </c>
      <c r="C59" s="3649"/>
      <c r="D59" s="1406">
        <f>E59+F59+G59+H59+I59+J59+K59+L59</f>
        <v>0</v>
      </c>
      <c r="E59" s="1488"/>
      <c r="F59" s="1492"/>
      <c r="G59" s="1492"/>
      <c r="H59" s="1492"/>
      <c r="I59" s="1492"/>
      <c r="J59" s="199"/>
      <c r="K59" s="199"/>
      <c r="L59" s="199"/>
      <c r="M59" s="67"/>
      <c r="N59" s="67"/>
      <c r="O59" s="3652"/>
    </row>
    <row r="60" spans="1:16" ht="12" hidden="1" customHeight="1">
      <c r="A60" s="3743"/>
      <c r="B60" s="642" t="s">
        <v>21</v>
      </c>
      <c r="C60" s="3650"/>
      <c r="D60" s="1406">
        <f>E60+F60+G60+H60+I60+J60+K60+L60</f>
        <v>0</v>
      </c>
      <c r="E60" s="1453"/>
      <c r="F60" s="1492"/>
      <c r="G60" s="1492"/>
      <c r="H60" s="1492"/>
      <c r="I60" s="1492"/>
      <c r="J60" s="1492"/>
      <c r="K60" s="1492"/>
      <c r="L60" s="1492"/>
      <c r="M60" s="1493">
        <f>SUM(F60:K60)</f>
        <v>0</v>
      </c>
      <c r="N60" s="1493">
        <f>SUM(G60:L60)</f>
        <v>0</v>
      </c>
      <c r="O60" s="3664"/>
    </row>
    <row r="61" spans="1:16" ht="13.5" hidden="1" thickBot="1">
      <c r="A61" s="3743"/>
      <c r="B61" s="80" t="s">
        <v>22</v>
      </c>
      <c r="C61" s="1475"/>
      <c r="D61" s="1476">
        <f t="shared" ref="D61" si="65">+D64+D62</f>
        <v>0</v>
      </c>
      <c r="E61" s="1476">
        <f>+E64+E62</f>
        <v>0</v>
      </c>
      <c r="F61" s="1476"/>
      <c r="G61" s="1476"/>
      <c r="H61" s="1476"/>
      <c r="I61" s="1476"/>
      <c r="J61" s="1782"/>
      <c r="K61" s="1782"/>
      <c r="L61" s="1782"/>
      <c r="M61" s="3677" t="s">
        <v>23</v>
      </c>
      <c r="N61" s="3677" t="s">
        <v>23</v>
      </c>
      <c r="O61" s="3713" t="s">
        <v>199</v>
      </c>
      <c r="P61" s="426">
        <v>0</v>
      </c>
    </row>
    <row r="62" spans="1:16" ht="12" hidden="1" customHeight="1">
      <c r="A62" s="3743"/>
      <c r="B62" s="1483" t="s">
        <v>24</v>
      </c>
      <c r="C62" s="3655" t="s">
        <v>85</v>
      </c>
      <c r="D62" s="1479">
        <f t="shared" ref="D62:E62" si="66">+D63</f>
        <v>0</v>
      </c>
      <c r="E62" s="1479">
        <f t="shared" si="66"/>
        <v>0</v>
      </c>
      <c r="F62" s="1479"/>
      <c r="G62" s="1479"/>
      <c r="H62" s="1479"/>
      <c r="I62" s="1479"/>
      <c r="J62" s="1479"/>
      <c r="K62" s="1479"/>
      <c r="L62" s="1479"/>
      <c r="M62" s="3675"/>
      <c r="N62" s="3675"/>
      <c r="O62" s="3699"/>
    </row>
    <row r="63" spans="1:16" ht="12" hidden="1" customHeight="1">
      <c r="A63" s="3743"/>
      <c r="B63" s="1506" t="s">
        <v>17</v>
      </c>
      <c r="C63" s="3649"/>
      <c r="D63" s="1406">
        <f>E63+F63+G63+H63+I63+J63+K63+L63</f>
        <v>0</v>
      </c>
      <c r="E63" s="1453"/>
      <c r="F63" s="1496"/>
      <c r="G63" s="1496"/>
      <c r="H63" s="1496"/>
      <c r="I63" s="1479"/>
      <c r="J63" s="1479"/>
      <c r="K63" s="1479"/>
      <c r="L63" s="1479"/>
      <c r="M63" s="3675"/>
      <c r="N63" s="3675"/>
      <c r="O63" s="3699"/>
    </row>
    <row r="64" spans="1:16" ht="12" hidden="1" customHeight="1">
      <c r="A64" s="3743"/>
      <c r="B64" s="864" t="s">
        <v>18</v>
      </c>
      <c r="C64" s="3649"/>
      <c r="D64" s="1497">
        <f t="shared" ref="D64:E64" si="67">+D65+D66</f>
        <v>0</v>
      </c>
      <c r="E64" s="1497">
        <f t="shared" si="67"/>
        <v>0</v>
      </c>
      <c r="F64" s="1783"/>
      <c r="G64" s="1783"/>
      <c r="H64" s="1783"/>
      <c r="I64" s="1496"/>
      <c r="J64" s="1496"/>
      <c r="K64" s="1496"/>
      <c r="L64" s="1496"/>
      <c r="M64" s="3675"/>
      <c r="N64" s="3675"/>
      <c r="O64" s="3699"/>
    </row>
    <row r="65" spans="1:19" ht="12" hidden="1" customHeight="1">
      <c r="A65" s="3743"/>
      <c r="B65" s="642" t="s">
        <v>17</v>
      </c>
      <c r="C65" s="3649"/>
      <c r="D65" s="1406">
        <f>E65+F65+G65+H65+I65+J65+K65+L65</f>
        <v>0</v>
      </c>
      <c r="E65" s="1542"/>
      <c r="F65" s="1496"/>
      <c r="G65" s="1496"/>
      <c r="H65" s="1496"/>
      <c r="I65" s="1783"/>
      <c r="J65" s="1783"/>
      <c r="K65" s="1783"/>
      <c r="L65" s="1783"/>
      <c r="M65" s="3675"/>
      <c r="N65" s="3675"/>
      <c r="O65" s="3699"/>
    </row>
    <row r="66" spans="1:19" ht="10.5" hidden="1" customHeight="1" thickBot="1">
      <c r="A66" s="3744"/>
      <c r="B66" s="1286" t="s">
        <v>21</v>
      </c>
      <c r="C66" s="3701"/>
      <c r="D66" s="1578">
        <f>E66+F66+G66+H66+I66+J66+K66+L66</f>
        <v>0</v>
      </c>
      <c r="E66" s="1578"/>
      <c r="F66" s="1287"/>
      <c r="G66" s="1287"/>
      <c r="H66" s="1287"/>
      <c r="I66" s="1784"/>
      <c r="J66" s="1784"/>
      <c r="K66" s="1784"/>
      <c r="L66" s="1784"/>
      <c r="M66" s="3676"/>
      <c r="N66" s="3676"/>
      <c r="O66" s="3700"/>
    </row>
    <row r="67" spans="1:19" ht="25.5" hidden="1" customHeight="1">
      <c r="A67" s="3691"/>
      <c r="B67" s="72" t="s">
        <v>430</v>
      </c>
      <c r="C67" s="56" t="s">
        <v>81</v>
      </c>
      <c r="D67" s="57"/>
      <c r="E67" s="41"/>
      <c r="F67" s="40"/>
      <c r="G67" s="40"/>
      <c r="H67" s="230"/>
      <c r="I67" s="41"/>
      <c r="J67" s="230"/>
      <c r="K67" s="230"/>
      <c r="L67" s="230"/>
      <c r="M67" s="60"/>
      <c r="N67" s="60"/>
      <c r="O67" s="44" t="s">
        <v>82</v>
      </c>
      <c r="S67" s="761"/>
    </row>
    <row r="68" spans="1:19" ht="13.5" hidden="1" customHeight="1">
      <c r="A68" s="3692"/>
      <c r="B68" s="78" t="s">
        <v>10</v>
      </c>
      <c r="C68" s="22"/>
      <c r="D68" s="61">
        <f>+D69+D72</f>
        <v>0</v>
      </c>
      <c r="E68" s="61">
        <f>+E69+E72</f>
        <v>0</v>
      </c>
      <c r="F68" s="61">
        <f>+F69+F72</f>
        <v>0</v>
      </c>
      <c r="G68" s="61"/>
      <c r="H68" s="61"/>
      <c r="I68" s="61"/>
      <c r="J68" s="61"/>
      <c r="K68" s="61"/>
      <c r="L68" s="61"/>
      <c r="M68" s="63">
        <f>+M69+M72</f>
        <v>0</v>
      </c>
      <c r="N68" s="63">
        <f>+N69+N72</f>
        <v>0</v>
      </c>
      <c r="O68" s="3652" t="s">
        <v>83</v>
      </c>
      <c r="P68" s="426"/>
      <c r="Q68" s="426"/>
      <c r="R68" s="426"/>
      <c r="S68" s="426"/>
    </row>
    <row r="69" spans="1:19" ht="12" hidden="1" customHeight="1">
      <c r="A69" s="3692"/>
      <c r="B69" s="222" t="s">
        <v>24</v>
      </c>
      <c r="C69" s="3648" t="s">
        <v>84</v>
      </c>
      <c r="D69" s="64">
        <f>+D70+D71</f>
        <v>0</v>
      </c>
      <c r="E69" s="64">
        <f>+E70+E71</f>
        <v>0</v>
      </c>
      <c r="F69" s="64">
        <f>+F70+F71</f>
        <v>0</v>
      </c>
      <c r="G69" s="64"/>
      <c r="H69" s="64"/>
      <c r="I69" s="64"/>
      <c r="J69" s="64"/>
      <c r="K69" s="64"/>
      <c r="L69" s="64"/>
      <c r="M69" s="65">
        <f>+M70+M71</f>
        <v>0</v>
      </c>
      <c r="N69" s="65">
        <f>+N70+N71</f>
        <v>0</v>
      </c>
      <c r="O69" s="3652"/>
    </row>
    <row r="70" spans="1:19" ht="12" hidden="1" customHeight="1">
      <c r="A70" s="3692"/>
      <c r="B70" s="412" t="s">
        <v>12</v>
      </c>
      <c r="C70" s="3649"/>
      <c r="D70" s="239">
        <f>E70+F70+G70+H70+I70+J70+K70+L70</f>
        <v>0</v>
      </c>
      <c r="E70" s="275"/>
      <c r="F70" s="84"/>
      <c r="G70" s="46"/>
      <c r="H70" s="46"/>
      <c r="I70" s="46"/>
      <c r="J70" s="46"/>
      <c r="K70" s="46"/>
      <c r="L70" s="46"/>
      <c r="M70" s="862">
        <f>SUM(F70:K70)</f>
        <v>0</v>
      </c>
      <c r="N70" s="862">
        <f>SUM(G70:L70)</f>
        <v>0</v>
      </c>
      <c r="O70" s="3652"/>
    </row>
    <row r="71" spans="1:19" ht="12" hidden="1" customHeight="1">
      <c r="A71" s="3692"/>
      <c r="B71" s="412" t="s">
        <v>17</v>
      </c>
      <c r="C71" s="3649"/>
      <c r="D71" s="239">
        <f>E71+F71+G71+H71+I71+J71+K71+L71</f>
        <v>0</v>
      </c>
      <c r="E71" s="275"/>
      <c r="F71" s="46"/>
      <c r="G71" s="46"/>
      <c r="H71" s="46"/>
      <c r="I71" s="46"/>
      <c r="J71" s="46"/>
      <c r="K71" s="46"/>
      <c r="L71" s="46"/>
      <c r="M71" s="862">
        <f>SUM(F71:K71)</f>
        <v>0</v>
      </c>
      <c r="N71" s="862">
        <f>SUM(G71:L71)</f>
        <v>0</v>
      </c>
      <c r="O71" s="3652"/>
    </row>
    <row r="72" spans="1:19" ht="12" hidden="1" customHeight="1">
      <c r="A72" s="3692"/>
      <c r="B72" s="759" t="s">
        <v>18</v>
      </c>
      <c r="C72" s="3649"/>
      <c r="D72" s="47">
        <f>+D73</f>
        <v>0</v>
      </c>
      <c r="E72" s="47">
        <f t="shared" ref="E72" si="68">+E73</f>
        <v>0</v>
      </c>
      <c r="F72" s="47"/>
      <c r="G72" s="47"/>
      <c r="H72" s="47"/>
      <c r="I72" s="47"/>
      <c r="J72" s="47"/>
      <c r="K72" s="47"/>
      <c r="L72" s="47"/>
      <c r="M72" s="65">
        <f>+M73</f>
        <v>0</v>
      </c>
      <c r="N72" s="65">
        <f>+N73</f>
        <v>0</v>
      </c>
      <c r="O72" s="3652"/>
    </row>
    <row r="73" spans="1:19" ht="12" hidden="1" customHeight="1">
      <c r="A73" s="3692"/>
      <c r="B73" s="412" t="s">
        <v>21</v>
      </c>
      <c r="C73" s="254"/>
      <c r="D73" s="1285">
        <f>E73+F73+G73+H73+I73+J73+K73+L73</f>
        <v>0</v>
      </c>
      <c r="E73" s="275"/>
      <c r="F73" s="46"/>
      <c r="G73" s="46"/>
      <c r="H73" s="46"/>
      <c r="I73" s="46"/>
      <c r="J73" s="46"/>
      <c r="K73" s="46"/>
      <c r="L73" s="46"/>
      <c r="M73" s="862">
        <f>SUM(F73:K73)</f>
        <v>0</v>
      </c>
      <c r="N73" s="862">
        <f>SUM(G73:L73)</f>
        <v>0</v>
      </c>
      <c r="O73" s="3664"/>
    </row>
    <row r="74" spans="1:19" ht="12" hidden="1" customHeight="1">
      <c r="A74" s="3692"/>
      <c r="B74" s="183" t="s">
        <v>22</v>
      </c>
      <c r="C74" s="88"/>
      <c r="D74" s="98">
        <f t="shared" ref="D74" si="69">+D77+D75</f>
        <v>0</v>
      </c>
      <c r="E74" s="98">
        <f>+E77+E75</f>
        <v>0</v>
      </c>
      <c r="F74" s="98"/>
      <c r="G74" s="98"/>
      <c r="H74" s="98"/>
      <c r="I74" s="98"/>
      <c r="J74" s="98"/>
      <c r="K74" s="98"/>
      <c r="L74" s="98"/>
      <c r="M74" s="3675" t="s">
        <v>23</v>
      </c>
      <c r="N74" s="3675" t="s">
        <v>23</v>
      </c>
      <c r="O74" s="3740" t="s">
        <v>199</v>
      </c>
      <c r="P74" s="426"/>
    </row>
    <row r="75" spans="1:19" ht="12" hidden="1" customHeight="1">
      <c r="A75" s="3692"/>
      <c r="B75" s="758" t="s">
        <v>24</v>
      </c>
      <c r="C75" s="3648" t="s">
        <v>85</v>
      </c>
      <c r="D75" s="47">
        <f t="shared" ref="D75:E75" si="70">+D76</f>
        <v>0</v>
      </c>
      <c r="E75" s="47">
        <f t="shared" si="70"/>
        <v>0</v>
      </c>
      <c r="F75" s="47"/>
      <c r="G75" s="47"/>
      <c r="H75" s="47"/>
      <c r="I75" s="47"/>
      <c r="J75" s="47"/>
      <c r="K75" s="47"/>
      <c r="L75" s="47"/>
      <c r="M75" s="3675"/>
      <c r="N75" s="3675"/>
      <c r="O75" s="3652"/>
    </row>
    <row r="76" spans="1:19" ht="12" hidden="1" customHeight="1">
      <c r="A76" s="3692"/>
      <c r="B76" s="672" t="s">
        <v>17</v>
      </c>
      <c r="C76" s="3649"/>
      <c r="D76" s="239">
        <f>E76+F76+G76+H76+I76+J76+K76+L76</f>
        <v>0</v>
      </c>
      <c r="E76" s="275"/>
      <c r="F76" s="52"/>
      <c r="G76" s="52"/>
      <c r="H76" s="52"/>
      <c r="I76" s="52"/>
      <c r="J76" s="52"/>
      <c r="K76" s="52"/>
      <c r="L76" s="52"/>
      <c r="M76" s="3675"/>
      <c r="N76" s="3675"/>
      <c r="O76" s="3652"/>
    </row>
    <row r="77" spans="1:19" ht="12" hidden="1" customHeight="1">
      <c r="A77" s="3692"/>
      <c r="B77" s="759" t="s">
        <v>18</v>
      </c>
      <c r="C77" s="3649"/>
      <c r="D77" s="671">
        <f>+D78</f>
        <v>0</v>
      </c>
      <c r="E77" s="671">
        <f t="shared" ref="E77" si="71">+E78</f>
        <v>0</v>
      </c>
      <c r="F77" s="671"/>
      <c r="G77" s="671"/>
      <c r="H77" s="671"/>
      <c r="I77" s="671"/>
      <c r="J77" s="671"/>
      <c r="K77" s="671"/>
      <c r="L77" s="671"/>
      <c r="M77" s="3675"/>
      <c r="N77" s="3675"/>
      <c r="O77" s="3652"/>
    </row>
    <row r="78" spans="1:19" ht="12" hidden="1" customHeight="1" thickBot="1">
      <c r="A78" s="3693"/>
      <c r="B78" s="74" t="s">
        <v>21</v>
      </c>
      <c r="C78" s="3701"/>
      <c r="D78" s="239">
        <f>E78+F78+G78+H78+I78+J78+K78+L78</f>
        <v>0</v>
      </c>
      <c r="E78" s="275"/>
      <c r="F78" s="86"/>
      <c r="G78" s="86"/>
      <c r="H78" s="86"/>
      <c r="I78" s="86"/>
      <c r="J78" s="86"/>
      <c r="K78" s="86"/>
      <c r="L78" s="86"/>
      <c r="M78" s="3676"/>
      <c r="N78" s="3676"/>
      <c r="O78" s="3741"/>
    </row>
    <row r="79" spans="1:19" ht="23.25" customHeight="1">
      <c r="A79" s="3691" t="s">
        <v>63</v>
      </c>
      <c r="B79" s="3274" t="s">
        <v>551</v>
      </c>
      <c r="C79" s="56" t="s">
        <v>81</v>
      </c>
      <c r="D79" s="1159"/>
      <c r="E79" s="3171"/>
      <c r="F79" s="3171"/>
      <c r="G79" s="3171"/>
      <c r="H79" s="3171"/>
      <c r="I79" s="3171"/>
      <c r="J79" s="3171"/>
      <c r="K79" s="3171"/>
      <c r="L79" s="3172"/>
      <c r="M79" s="43"/>
      <c r="N79" s="43"/>
      <c r="O79" s="87"/>
    </row>
    <row r="80" spans="1:19">
      <c r="A80" s="3692"/>
      <c r="B80" s="881" t="s">
        <v>10</v>
      </c>
      <c r="C80" s="472"/>
      <c r="D80" s="861">
        <f>+D81+D84</f>
        <v>21340801</v>
      </c>
      <c r="E80" s="861">
        <f>+E81+E84</f>
        <v>21203332</v>
      </c>
      <c r="F80" s="861">
        <f>+F81+F84</f>
        <v>110369</v>
      </c>
      <c r="G80" s="861">
        <f>+G81+G84</f>
        <v>27100</v>
      </c>
      <c r="H80" s="861"/>
      <c r="I80" s="861"/>
      <c r="J80" s="861"/>
      <c r="K80" s="861"/>
      <c r="L80" s="861"/>
      <c r="M80" s="2038">
        <f>+M81+M84</f>
        <v>137469</v>
      </c>
      <c r="N80" s="2038">
        <f>+N81+N84</f>
        <v>27100</v>
      </c>
      <c r="O80" s="3652" t="s">
        <v>86</v>
      </c>
      <c r="P80" s="426"/>
    </row>
    <row r="81" spans="1:16" ht="12.75" customHeight="1">
      <c r="A81" s="3692"/>
      <c r="B81" s="555" t="s">
        <v>24</v>
      </c>
      <c r="C81" s="3646" t="s">
        <v>84</v>
      </c>
      <c r="D81" s="1171">
        <f>+D82+D83</f>
        <v>8880267</v>
      </c>
      <c r="E81" s="1171">
        <f>+E82+E83</f>
        <v>8742798</v>
      </c>
      <c r="F81" s="1171">
        <f>+F82+F83</f>
        <v>110369</v>
      </c>
      <c r="G81" s="1171">
        <f>+G82+G83</f>
        <v>27100</v>
      </c>
      <c r="H81" s="1171"/>
      <c r="I81" s="1171"/>
      <c r="J81" s="1171"/>
      <c r="K81" s="1171"/>
      <c r="L81" s="1171"/>
      <c r="M81" s="563">
        <f>M82</f>
        <v>137469</v>
      </c>
      <c r="N81" s="563">
        <f>N82</f>
        <v>27100</v>
      </c>
      <c r="O81" s="3652"/>
      <c r="P81" s="426"/>
    </row>
    <row r="82" spans="1:16" ht="10.5" customHeight="1">
      <c r="A82" s="3692"/>
      <c r="B82" s="642" t="s">
        <v>12</v>
      </c>
      <c r="C82" s="3649"/>
      <c r="D82" s="839">
        <f>E82+F82+G82+H82+I82+J82+K82+L82</f>
        <v>1390403</v>
      </c>
      <c r="E82" s="854">
        <f>1252934</f>
        <v>1252934</v>
      </c>
      <c r="F82" s="2054">
        <f>89000+111000-62631-27000</f>
        <v>110369</v>
      </c>
      <c r="G82" s="631">
        <f>27000+100</f>
        <v>27100</v>
      </c>
      <c r="H82" s="631"/>
      <c r="I82" s="631"/>
      <c r="J82" s="631"/>
      <c r="K82" s="631"/>
      <c r="L82" s="631"/>
      <c r="M82" s="862">
        <f>SUM(F82:K82)</f>
        <v>137469</v>
      </c>
      <c r="N82" s="862">
        <f>SUM(G82:L82)</f>
        <v>27100</v>
      </c>
      <c r="O82" s="3652"/>
    </row>
    <row r="83" spans="1:16" ht="12" customHeight="1">
      <c r="A83" s="3692"/>
      <c r="B83" s="90" t="s">
        <v>15</v>
      </c>
      <c r="C83" s="3649"/>
      <c r="D83" s="839">
        <f>E83+F83+G83+H83+I83+J83+K83+L83</f>
        <v>7489864</v>
      </c>
      <c r="E83" s="854">
        <f>7489864</f>
        <v>7489864</v>
      </c>
      <c r="F83" s="2054"/>
      <c r="G83" s="631"/>
      <c r="H83" s="631"/>
      <c r="I83" s="631"/>
      <c r="J83" s="631"/>
      <c r="K83" s="631"/>
      <c r="L83" s="631"/>
      <c r="M83" s="862">
        <f>SUM(F83:K83)</f>
        <v>0</v>
      </c>
      <c r="N83" s="3007">
        <f>SUM(G83:L83)</f>
        <v>0</v>
      </c>
      <c r="O83" s="3757"/>
    </row>
    <row r="84" spans="1:16" ht="12" customHeight="1">
      <c r="A84" s="3692"/>
      <c r="B84" s="864" t="s">
        <v>18</v>
      </c>
      <c r="C84" s="3649"/>
      <c r="D84" s="564">
        <f>+D85</f>
        <v>12460534</v>
      </c>
      <c r="E84" s="2046">
        <f>+E85</f>
        <v>12460534</v>
      </c>
      <c r="F84" s="2046"/>
      <c r="G84" s="2046"/>
      <c r="H84" s="564"/>
      <c r="I84" s="564"/>
      <c r="J84" s="564"/>
      <c r="K84" s="564"/>
      <c r="L84" s="564"/>
      <c r="M84" s="563">
        <f>+M85</f>
        <v>0</v>
      </c>
      <c r="N84" s="2996">
        <f>+N85</f>
        <v>0</v>
      </c>
      <c r="O84" s="3758"/>
    </row>
    <row r="85" spans="1:16" ht="11.25" customHeight="1">
      <c r="A85" s="3692"/>
      <c r="B85" s="642" t="s">
        <v>21</v>
      </c>
      <c r="C85" s="3650"/>
      <c r="D85" s="2051">
        <f>E85+F85+G85+H85+I85+J85+K85+L85</f>
        <v>12460534</v>
      </c>
      <c r="E85" s="854">
        <f>12460534</f>
        <v>12460534</v>
      </c>
      <c r="F85" s="631"/>
      <c r="G85" s="631"/>
      <c r="H85" s="631"/>
      <c r="I85" s="631"/>
      <c r="J85" s="631"/>
      <c r="K85" s="631"/>
      <c r="L85" s="631"/>
      <c r="M85" s="862">
        <f>SUM(F85:K85)</f>
        <v>0</v>
      </c>
      <c r="N85" s="3007">
        <f>SUM(G85:L85)</f>
        <v>0</v>
      </c>
      <c r="O85" s="3759"/>
    </row>
    <row r="86" spans="1:16">
      <c r="A86" s="3706"/>
      <c r="B86" s="80" t="s">
        <v>22</v>
      </c>
      <c r="C86" s="88"/>
      <c r="D86" s="98">
        <f>+D87+D89</f>
        <v>19950398</v>
      </c>
      <c r="E86" s="98">
        <f>+E87+E89</f>
        <v>19950398</v>
      </c>
      <c r="F86" s="98"/>
      <c r="G86" s="98"/>
      <c r="H86" s="98"/>
      <c r="I86" s="98"/>
      <c r="J86" s="98"/>
      <c r="K86" s="98"/>
      <c r="L86" s="98"/>
      <c r="M86" s="3803" t="s">
        <v>23</v>
      </c>
      <c r="N86" s="3800" t="s">
        <v>23</v>
      </c>
      <c r="O86" s="3760" t="s">
        <v>102</v>
      </c>
      <c r="P86" s="426"/>
    </row>
    <row r="87" spans="1:16" ht="13.5" customHeight="1">
      <c r="A87" s="3706"/>
      <c r="B87" s="866" t="s">
        <v>24</v>
      </c>
      <c r="C87" s="3646" t="s">
        <v>85</v>
      </c>
      <c r="D87" s="50">
        <f>+D88</f>
        <v>7489864</v>
      </c>
      <c r="E87" s="50">
        <f t="shared" ref="E87" si="72">+E88</f>
        <v>7489864</v>
      </c>
      <c r="F87" s="50"/>
      <c r="G87" s="50"/>
      <c r="H87" s="50"/>
      <c r="I87" s="50"/>
      <c r="J87" s="50"/>
      <c r="K87" s="50"/>
      <c r="L87" s="50"/>
      <c r="M87" s="3804"/>
      <c r="N87" s="3801"/>
      <c r="O87" s="3761"/>
    </row>
    <row r="88" spans="1:16" ht="11.25" customHeight="1">
      <c r="A88" s="3706"/>
      <c r="B88" s="90" t="s">
        <v>15</v>
      </c>
      <c r="C88" s="3649"/>
      <c r="D88" s="839">
        <f>E88+F88+G88+H88+I88+J88+K88+L88</f>
        <v>7489864</v>
      </c>
      <c r="E88" s="854">
        <f>7489864</f>
        <v>7489864</v>
      </c>
      <c r="F88" s="2044"/>
      <c r="G88" s="2044"/>
      <c r="H88" s="2044"/>
      <c r="I88" s="2044"/>
      <c r="J88" s="2044"/>
      <c r="K88" s="2044"/>
      <c r="L88" s="2044"/>
      <c r="M88" s="3804"/>
      <c r="N88" s="3801"/>
      <c r="O88" s="3761"/>
    </row>
    <row r="89" spans="1:16" s="257" customFormat="1" ht="12.75" customHeight="1" thickBot="1">
      <c r="A89" s="3706"/>
      <c r="B89" s="864" t="s">
        <v>18</v>
      </c>
      <c r="C89" s="3649"/>
      <c r="D89" s="780">
        <f t="shared" ref="D89:E89" si="73">+D90</f>
        <v>12460534</v>
      </c>
      <c r="E89" s="2048">
        <f t="shared" si="73"/>
        <v>12460534</v>
      </c>
      <c r="F89" s="2048"/>
      <c r="G89" s="2048"/>
      <c r="H89" s="2048"/>
      <c r="I89" s="2048"/>
      <c r="J89" s="2048"/>
      <c r="K89" s="2048"/>
      <c r="L89" s="2048"/>
      <c r="M89" s="3804"/>
      <c r="N89" s="3801"/>
      <c r="O89" s="3721"/>
    </row>
    <row r="90" spans="1:16" ht="12.75" customHeight="1" thickBot="1">
      <c r="A90" s="3706"/>
      <c r="B90" s="74" t="s">
        <v>21</v>
      </c>
      <c r="C90" s="3701"/>
      <c r="D90" s="1870">
        <f>E90+F90+G90+H90+I90+J90+K90+L90</f>
        <v>12460534</v>
      </c>
      <c r="E90" s="1870">
        <f>12460534</f>
        <v>12460534</v>
      </c>
      <c r="F90" s="55"/>
      <c r="G90" s="55"/>
      <c r="H90" s="55"/>
      <c r="I90" s="55"/>
      <c r="J90" s="55"/>
      <c r="K90" s="55"/>
      <c r="L90" s="55"/>
      <c r="M90" s="3805"/>
      <c r="N90" s="3802"/>
      <c r="O90" s="3762"/>
    </row>
    <row r="91" spans="1:16" ht="27.75" hidden="1" customHeight="1">
      <c r="A91" s="3692"/>
      <c r="B91" s="402" t="s">
        <v>431</v>
      </c>
      <c r="C91" s="56" t="s">
        <v>81</v>
      </c>
      <c r="D91" s="763"/>
      <c r="E91" s="92"/>
      <c r="F91" s="93"/>
      <c r="G91" s="93"/>
      <c r="H91" s="93"/>
      <c r="I91" s="93"/>
      <c r="J91" s="93"/>
      <c r="K91" s="93"/>
      <c r="L91" s="93"/>
      <c r="M91" s="43"/>
      <c r="N91" s="43"/>
      <c r="O91" s="3020"/>
      <c r="P91" s="426"/>
    </row>
    <row r="92" spans="1:16" ht="12" hidden="1" customHeight="1">
      <c r="A92" s="3692"/>
      <c r="B92" s="451" t="s">
        <v>10</v>
      </c>
      <c r="C92" s="1475"/>
      <c r="D92" s="1489">
        <f>+D93+D96</f>
        <v>0</v>
      </c>
      <c r="E92" s="1489">
        <f>+E93+E96</f>
        <v>0</v>
      </c>
      <c r="F92" s="1489">
        <f>+F93+F96</f>
        <v>0</v>
      </c>
      <c r="G92" s="1489"/>
      <c r="H92" s="1489"/>
      <c r="I92" s="1489"/>
      <c r="J92" s="1489"/>
      <c r="K92" s="1489"/>
      <c r="L92" s="1489"/>
      <c r="M92" s="1477">
        <f>+M93+M96</f>
        <v>0</v>
      </c>
      <c r="N92" s="2998">
        <f>+N93+N96</f>
        <v>0</v>
      </c>
      <c r="O92" s="3770" t="s">
        <v>86</v>
      </c>
    </row>
    <row r="93" spans="1:16" ht="13.5" hidden="1" customHeight="1">
      <c r="A93" s="3693"/>
      <c r="B93" s="587" t="s">
        <v>24</v>
      </c>
      <c r="C93" s="3655" t="s">
        <v>84</v>
      </c>
      <c r="D93" s="1490">
        <f>+D94+D95</f>
        <v>0</v>
      </c>
      <c r="E93" s="1490">
        <f>+E94+E95</f>
        <v>0</v>
      </c>
      <c r="F93" s="1490">
        <f>+F94+F95</f>
        <v>0</v>
      </c>
      <c r="G93" s="1490"/>
      <c r="H93" s="1490"/>
      <c r="I93" s="1490"/>
      <c r="J93" s="1490"/>
      <c r="K93" s="1490"/>
      <c r="L93" s="1490"/>
      <c r="M93" s="1480">
        <f>+M94+M95</f>
        <v>0</v>
      </c>
      <c r="N93" s="233">
        <f>+N94+N95</f>
        <v>0</v>
      </c>
      <c r="O93" s="3771"/>
      <c r="P93" s="426"/>
    </row>
    <row r="94" spans="1:16" ht="11.25" hidden="1" customHeight="1">
      <c r="A94" s="3704"/>
      <c r="B94" s="642" t="s">
        <v>12</v>
      </c>
      <c r="C94" s="3656"/>
      <c r="D94" s="1406">
        <f>E94+F94+G94+H94+I94+J94+K94+L94</f>
        <v>0</v>
      </c>
      <c r="E94" s="1453"/>
      <c r="F94" s="1491"/>
      <c r="G94" s="1492"/>
      <c r="H94" s="1492"/>
      <c r="I94" s="1492"/>
      <c r="J94" s="1492"/>
      <c r="K94" s="1492"/>
      <c r="L94" s="1492"/>
      <c r="M94" s="862">
        <f>SUM(F94:K94)</f>
        <v>0</v>
      </c>
      <c r="N94" s="2845">
        <f>SUM(G94:L94)</f>
        <v>0</v>
      </c>
      <c r="O94" s="3772"/>
      <c r="P94" s="426"/>
    </row>
    <row r="95" spans="1:16" ht="11.25" hidden="1" customHeight="1">
      <c r="A95" s="3704"/>
      <c r="B95" s="642" t="s">
        <v>15</v>
      </c>
      <c r="C95" s="3656"/>
      <c r="D95" s="1406">
        <f>E95+F95+G95+H95+I95+J95+K95+L95</f>
        <v>0</v>
      </c>
      <c r="E95" s="1453"/>
      <c r="F95" s="1492"/>
      <c r="G95" s="1492"/>
      <c r="H95" s="1492"/>
      <c r="I95" s="1492"/>
      <c r="J95" s="1492"/>
      <c r="K95" s="1492"/>
      <c r="L95" s="1492"/>
      <c r="M95" s="862">
        <f>SUM(F95:K95)</f>
        <v>0</v>
      </c>
      <c r="N95" s="2845">
        <f>SUM(G95:L95)</f>
        <v>0</v>
      </c>
      <c r="O95" s="3772"/>
      <c r="P95" s="426"/>
    </row>
    <row r="96" spans="1:16" ht="11.25" hidden="1" customHeight="1">
      <c r="A96" s="3704"/>
      <c r="B96" s="589" t="s">
        <v>18</v>
      </c>
      <c r="C96" s="3656"/>
      <c r="D96" s="1479">
        <f>+D97</f>
        <v>0</v>
      </c>
      <c r="E96" s="1479">
        <f t="shared" ref="E96" si="74">+E97</f>
        <v>0</v>
      </c>
      <c r="F96" s="1479"/>
      <c r="G96" s="1479"/>
      <c r="H96" s="1479"/>
      <c r="I96" s="1479"/>
      <c r="J96" s="1479"/>
      <c r="K96" s="1479"/>
      <c r="L96" s="1479"/>
      <c r="M96" s="1480">
        <f>+M97</f>
        <v>0</v>
      </c>
      <c r="N96" s="233">
        <f>+N97</f>
        <v>0</v>
      </c>
      <c r="O96" s="3770"/>
    </row>
    <row r="97" spans="1:16" ht="11.25" hidden="1" customHeight="1">
      <c r="A97" s="3704"/>
      <c r="B97" s="1494" t="s">
        <v>21</v>
      </c>
      <c r="C97" s="3670"/>
      <c r="D97" s="1406">
        <f>E97+F97+G97+H97+I97+J97+K97+L97</f>
        <v>0</v>
      </c>
      <c r="E97" s="1453"/>
      <c r="F97" s="1482"/>
      <c r="G97" s="1482"/>
      <c r="H97" s="1482"/>
      <c r="I97" s="1482"/>
      <c r="J97" s="1482"/>
      <c r="K97" s="1482"/>
      <c r="L97" s="1482"/>
      <c r="M97" s="862">
        <f>SUM(F97:K97)</f>
        <v>0</v>
      </c>
      <c r="N97" s="3007">
        <f>SUM(G97:L97)</f>
        <v>0</v>
      </c>
      <c r="O97" s="3771"/>
    </row>
    <row r="98" spans="1:16" ht="11.25" hidden="1" customHeight="1">
      <c r="A98" s="3769"/>
      <c r="B98" s="2422" t="s">
        <v>22</v>
      </c>
      <c r="C98" s="2951"/>
      <c r="D98" s="1476">
        <f>+D101+D99</f>
        <v>0</v>
      </c>
      <c r="E98" s="1476">
        <f>+E101+E99</f>
        <v>0</v>
      </c>
      <c r="F98" s="1476"/>
      <c r="G98" s="1476"/>
      <c r="H98" s="1476"/>
      <c r="I98" s="1476"/>
      <c r="J98" s="1476"/>
      <c r="K98" s="1476"/>
      <c r="L98" s="1476"/>
      <c r="M98" s="3751" t="s">
        <v>23</v>
      </c>
      <c r="N98" s="3726" t="s">
        <v>23</v>
      </c>
      <c r="O98" s="3720" t="s">
        <v>102</v>
      </c>
    </row>
    <row r="99" spans="1:16" ht="13.5" hidden="1" customHeight="1">
      <c r="A99" s="3707"/>
      <c r="B99" s="1495" t="s">
        <v>24</v>
      </c>
      <c r="C99" s="3655" t="s">
        <v>85</v>
      </c>
      <c r="D99" s="50">
        <f>+D100</f>
        <v>0</v>
      </c>
      <c r="E99" s="50">
        <f t="shared" ref="E99" si="75">+E100</f>
        <v>0</v>
      </c>
      <c r="F99" s="50"/>
      <c r="G99" s="50"/>
      <c r="H99" s="50"/>
      <c r="I99" s="50"/>
      <c r="J99" s="50"/>
      <c r="K99" s="50"/>
      <c r="L99" s="50"/>
      <c r="M99" s="3752"/>
      <c r="N99" s="3727"/>
      <c r="O99" s="3721"/>
    </row>
    <row r="100" spans="1:16" ht="11.25" hidden="1" customHeight="1">
      <c r="A100" s="3705"/>
      <c r="B100" s="90" t="s">
        <v>15</v>
      </c>
      <c r="C100" s="3701"/>
      <c r="D100" s="1453">
        <f>E100+F100+G100+H100+I100+J100+K100+L100</f>
        <v>0</v>
      </c>
      <c r="E100" s="1453"/>
      <c r="F100" s="2119"/>
      <c r="G100" s="2119"/>
      <c r="H100" s="2119"/>
      <c r="I100" s="2119"/>
      <c r="J100" s="2119"/>
      <c r="K100" s="2119"/>
      <c r="L100" s="2119"/>
      <c r="M100" s="3753"/>
      <c r="N100" s="3727"/>
      <c r="O100" s="3722"/>
    </row>
    <row r="101" spans="1:16" s="257" customFormat="1" ht="13.5" hidden="1" thickBot="1">
      <c r="A101" s="3705"/>
      <c r="B101" s="2956" t="s">
        <v>18</v>
      </c>
      <c r="C101" s="3725"/>
      <c r="D101" s="2966">
        <f>+D102</f>
        <v>0</v>
      </c>
      <c r="E101" s="2966">
        <f t="shared" ref="E101" si="76">+E102</f>
        <v>0</v>
      </c>
      <c r="F101" s="2966"/>
      <c r="G101" s="2966"/>
      <c r="H101" s="2966"/>
      <c r="I101" s="2966"/>
      <c r="J101" s="2966"/>
      <c r="K101" s="2966"/>
      <c r="L101" s="2966"/>
      <c r="M101" s="3754"/>
      <c r="N101" s="3728"/>
      <c r="O101" s="3723"/>
    </row>
    <row r="102" spans="1:16" ht="13.5" hidden="1" thickBot="1">
      <c r="A102" s="3706"/>
      <c r="B102" s="2897" t="s">
        <v>21</v>
      </c>
      <c r="C102" s="3649"/>
      <c r="D102" s="891">
        <f>E102+F102+G102+H102+I102+J102+K102+L102</f>
        <v>0</v>
      </c>
      <c r="E102" s="891"/>
      <c r="F102" s="2077"/>
      <c r="G102" s="2077"/>
      <c r="H102" s="2077"/>
      <c r="I102" s="2077"/>
      <c r="J102" s="2077"/>
      <c r="K102" s="2077"/>
      <c r="L102" s="2077"/>
      <c r="M102" s="3752"/>
      <c r="N102" s="3729"/>
      <c r="O102" s="3724"/>
    </row>
    <row r="103" spans="1:16" ht="26.25" hidden="1" customHeight="1">
      <c r="A103" s="3763"/>
      <c r="B103" s="2930" t="s">
        <v>432</v>
      </c>
      <c r="C103" s="2931" t="s">
        <v>81</v>
      </c>
      <c r="D103" s="2932"/>
      <c r="E103" s="2933"/>
      <c r="F103" s="2933"/>
      <c r="G103" s="2933"/>
      <c r="H103" s="2933"/>
      <c r="I103" s="2933"/>
      <c r="J103" s="2933"/>
      <c r="K103" s="2933"/>
      <c r="L103" s="2933"/>
      <c r="M103" s="2934"/>
      <c r="N103" s="2934"/>
      <c r="O103" s="2935"/>
    </row>
    <row r="104" spans="1:16" ht="13.5" hidden="1" customHeight="1">
      <c r="A104" s="3763"/>
      <c r="B104" s="2928" t="s">
        <v>10</v>
      </c>
      <c r="C104" s="2915"/>
      <c r="D104" s="2936">
        <f>+D105+D107</f>
        <v>0</v>
      </c>
      <c r="E104" s="2936">
        <f t="shared" ref="E104" si="77">+E105+E107</f>
        <v>0</v>
      </c>
      <c r="F104" s="2936">
        <f>+F105+F107</f>
        <v>0</v>
      </c>
      <c r="G104" s="2936"/>
      <c r="H104" s="2936"/>
      <c r="I104" s="2936"/>
      <c r="J104" s="2936"/>
      <c r="K104" s="2936"/>
      <c r="L104" s="2936"/>
      <c r="M104" s="2937">
        <f>+M105+M107</f>
        <v>0</v>
      </c>
      <c r="N104" s="2937">
        <f>+N105+N107</f>
        <v>0</v>
      </c>
      <c r="O104" s="3764" t="s">
        <v>86</v>
      </c>
      <c r="P104" s="426"/>
    </row>
    <row r="105" spans="1:16" ht="13.5" hidden="1" customHeight="1">
      <c r="A105" s="3763"/>
      <c r="B105" s="2992" t="s">
        <v>24</v>
      </c>
      <c r="C105" s="3767" t="s">
        <v>84</v>
      </c>
      <c r="D105" s="235">
        <f>+D106</f>
        <v>0</v>
      </c>
      <c r="E105" s="235">
        <f t="shared" ref="E105:F105" si="78">+E106</f>
        <v>0</v>
      </c>
      <c r="F105" s="235">
        <f t="shared" si="78"/>
        <v>0</v>
      </c>
      <c r="G105" s="235"/>
      <c r="H105" s="235"/>
      <c r="I105" s="235"/>
      <c r="J105" s="235"/>
      <c r="K105" s="235"/>
      <c r="L105" s="235"/>
      <c r="M105" s="66">
        <f>+M106</f>
        <v>0</v>
      </c>
      <c r="N105" s="66">
        <f>+N106</f>
        <v>0</v>
      </c>
      <c r="O105" s="3764"/>
      <c r="P105" s="426"/>
    </row>
    <row r="106" spans="1:16" ht="13.5" hidden="1" customHeight="1">
      <c r="A106" s="3693"/>
      <c r="B106" s="2980" t="s">
        <v>12</v>
      </c>
      <c r="C106" s="3656"/>
      <c r="D106" s="891">
        <f>E106+F106+G106+H106+I106+J106+K106+L106</f>
        <v>0</v>
      </c>
      <c r="E106" s="892"/>
      <c r="F106" s="198"/>
      <c r="G106" s="198"/>
      <c r="H106" s="880"/>
      <c r="I106" s="880"/>
      <c r="J106" s="880"/>
      <c r="K106" s="880"/>
      <c r="L106" s="880"/>
      <c r="M106" s="2981">
        <f>SUM(F106:K106)</f>
        <v>0</v>
      </c>
      <c r="N106" s="2982">
        <f>SUM(G106:L106)</f>
        <v>0</v>
      </c>
      <c r="O106" s="3765"/>
    </row>
    <row r="107" spans="1:16" ht="13.5" hidden="1" customHeight="1">
      <c r="A107" s="3704"/>
      <c r="B107" s="589" t="s">
        <v>18</v>
      </c>
      <c r="C107" s="3656"/>
      <c r="D107" s="1479">
        <f>+D108</f>
        <v>0</v>
      </c>
      <c r="E107" s="1479">
        <f t="shared" ref="E107" si="79">+E108</f>
        <v>0</v>
      </c>
      <c r="F107" s="1479"/>
      <c r="G107" s="1479"/>
      <c r="H107" s="1479"/>
      <c r="I107" s="1479"/>
      <c r="J107" s="1479"/>
      <c r="K107" s="1479"/>
      <c r="L107" s="1479"/>
      <c r="M107" s="1785">
        <f>+M108</f>
        <v>0</v>
      </c>
      <c r="N107" s="2859">
        <f>+N108</f>
        <v>0</v>
      </c>
      <c r="O107" s="3766"/>
    </row>
    <row r="108" spans="1:16" ht="13.5" hidden="1" customHeight="1">
      <c r="A108" s="3704"/>
      <c r="B108" s="595" t="s">
        <v>21</v>
      </c>
      <c r="C108" s="3656"/>
      <c r="D108" s="839">
        <f>E108+F108+G108+H108+I108+J108+K108+L108</f>
        <v>0</v>
      </c>
      <c r="E108" s="1453"/>
      <c r="F108" s="1488"/>
      <c r="G108" s="1488"/>
      <c r="H108" s="1492"/>
      <c r="I108" s="1492"/>
      <c r="J108" s="1492"/>
      <c r="K108" s="1492"/>
      <c r="L108" s="1492"/>
      <c r="M108" s="1493">
        <f>SUM(F108:K108)</f>
        <v>0</v>
      </c>
      <c r="N108" s="2845">
        <f>SUM(G108:L108)</f>
        <v>0</v>
      </c>
      <c r="O108" s="3766"/>
    </row>
    <row r="109" spans="1:16" ht="12.75" hidden="1" customHeight="1">
      <c r="A109" s="3705"/>
      <c r="B109" s="581" t="s">
        <v>22</v>
      </c>
      <c r="C109" s="1475"/>
      <c r="D109" s="1476">
        <f>+D110</f>
        <v>0</v>
      </c>
      <c r="E109" s="1476">
        <f t="shared" ref="E109:E110" si="80">+E110</f>
        <v>0</v>
      </c>
      <c r="F109" s="1476"/>
      <c r="G109" s="1476"/>
      <c r="H109" s="1476"/>
      <c r="I109" s="1476"/>
      <c r="J109" s="1476"/>
      <c r="K109" s="1476"/>
      <c r="L109" s="1476"/>
      <c r="M109" s="3755" t="s">
        <v>23</v>
      </c>
      <c r="N109" s="3746" t="s">
        <v>23</v>
      </c>
      <c r="O109" s="3768" t="s">
        <v>102</v>
      </c>
      <c r="P109" s="426"/>
    </row>
    <row r="110" spans="1:16" s="257" customFormat="1" ht="12.75" hidden="1" customHeight="1">
      <c r="A110" s="3705"/>
      <c r="B110" s="864" t="s">
        <v>18</v>
      </c>
      <c r="C110" s="3655" t="s">
        <v>85</v>
      </c>
      <c r="D110" s="1504">
        <f>+D111</f>
        <v>0</v>
      </c>
      <c r="E110" s="1497">
        <f t="shared" si="80"/>
        <v>0</v>
      </c>
      <c r="F110" s="1504"/>
      <c r="G110" s="1497"/>
      <c r="H110" s="1497"/>
      <c r="I110" s="1497"/>
      <c r="J110" s="1497"/>
      <c r="K110" s="1497"/>
      <c r="L110" s="1497"/>
      <c r="M110" s="3630"/>
      <c r="N110" s="3747"/>
      <c r="O110" s="3768"/>
    </row>
    <row r="111" spans="1:16" s="257" customFormat="1" ht="12.75" hidden="1" customHeight="1" thickBot="1">
      <c r="A111" s="3705"/>
      <c r="B111" s="722" t="s">
        <v>21</v>
      </c>
      <c r="C111" s="3657"/>
      <c r="D111" s="2283">
        <f>E111+F111+G111+H111+I111+J111+K111+L111</f>
        <v>0</v>
      </c>
      <c r="E111" s="2283"/>
      <c r="F111" s="1288"/>
      <c r="G111" s="446"/>
      <c r="H111" s="446"/>
      <c r="I111" s="446"/>
      <c r="J111" s="446"/>
      <c r="K111" s="446"/>
      <c r="L111" s="446"/>
      <c r="M111" s="3631"/>
      <c r="N111" s="3748"/>
      <c r="O111" s="3768"/>
    </row>
    <row r="112" spans="1:16" s="257" customFormat="1" ht="16.5" customHeight="1" thickBot="1">
      <c r="A112" s="3058"/>
      <c r="B112" s="271" t="s">
        <v>501</v>
      </c>
      <c r="C112" s="427"/>
      <c r="D112" s="767"/>
      <c r="E112" s="1400"/>
      <c r="F112" s="768"/>
      <c r="G112" s="768"/>
      <c r="H112" s="768"/>
      <c r="I112" s="768"/>
      <c r="J112" s="768"/>
      <c r="K112" s="768"/>
      <c r="L112" s="768"/>
      <c r="M112" s="428"/>
      <c r="N112" s="428"/>
      <c r="O112" s="2872"/>
    </row>
    <row r="113" spans="1:17" s="257" customFormat="1" ht="40.5" hidden="1" customHeight="1">
      <c r="A113" s="3704"/>
      <c r="B113" s="402" t="s">
        <v>433</v>
      </c>
      <c r="C113" s="56"/>
      <c r="D113" s="57"/>
      <c r="E113" s="42"/>
      <c r="F113" s="42"/>
      <c r="G113" s="42"/>
      <c r="H113" s="42"/>
      <c r="I113" s="42"/>
      <c r="J113" s="42"/>
      <c r="K113" s="42"/>
      <c r="L113" s="42"/>
      <c r="M113" s="43"/>
      <c r="N113" s="43"/>
      <c r="O113" s="2873"/>
      <c r="P113" s="226"/>
    </row>
    <row r="114" spans="1:17" s="257" customFormat="1" ht="13.5" hidden="1" customHeight="1">
      <c r="A114" s="3691"/>
      <c r="B114" s="1474" t="s">
        <v>10</v>
      </c>
      <c r="C114" s="2392" t="s">
        <v>81</v>
      </c>
      <c r="D114" s="1489">
        <f>+D115+D119</f>
        <v>0</v>
      </c>
      <c r="E114" s="1532">
        <f t="shared" ref="E114" si="81">+E115+E119</f>
        <v>0</v>
      </c>
      <c r="F114" s="1532">
        <f t="shared" ref="F114" si="82">+F115+F119</f>
        <v>0</v>
      </c>
      <c r="G114" s="1532"/>
      <c r="H114" s="1532"/>
      <c r="I114" s="1532"/>
      <c r="J114" s="1532"/>
      <c r="K114" s="1532"/>
      <c r="L114" s="1532"/>
      <c r="M114" s="1533">
        <f>M115+M119</f>
        <v>0</v>
      </c>
      <c r="N114" s="2861">
        <f>N115+N119</f>
        <v>0</v>
      </c>
      <c r="O114" s="3756" t="s">
        <v>86</v>
      </c>
      <c r="P114" s="3686" t="s">
        <v>347</v>
      </c>
    </row>
    <row r="115" spans="1:17" s="257" customFormat="1" ht="14.25" hidden="1" customHeight="1">
      <c r="A115" s="3692"/>
      <c r="B115" s="1483" t="s">
        <v>24</v>
      </c>
      <c r="C115" s="3655" t="s">
        <v>84</v>
      </c>
      <c r="D115" s="1490">
        <f>+D116+D117+D118</f>
        <v>0</v>
      </c>
      <c r="E115" s="1490">
        <f t="shared" ref="E115" si="83">+E116+E117+E118</f>
        <v>0</v>
      </c>
      <c r="F115" s="1490">
        <f t="shared" ref="F115" si="84">+F116+F117+F118</f>
        <v>0</v>
      </c>
      <c r="G115" s="1490"/>
      <c r="H115" s="1490"/>
      <c r="I115" s="1490"/>
      <c r="J115" s="1490"/>
      <c r="K115" s="1490"/>
      <c r="L115" s="1490"/>
      <c r="M115" s="1517">
        <f>M116</f>
        <v>0</v>
      </c>
      <c r="N115" s="1517">
        <f>N116</f>
        <v>0</v>
      </c>
      <c r="O115" s="3652"/>
      <c r="P115" s="3686"/>
    </row>
    <row r="116" spans="1:17" s="257" customFormat="1" ht="12.75" hidden="1" customHeight="1">
      <c r="A116" s="3692"/>
      <c r="B116" s="1568" t="s">
        <v>12</v>
      </c>
      <c r="C116" s="3649"/>
      <c r="D116" s="839">
        <f>E116+F116+G116+H116+I116+J116+K116+L116</f>
        <v>0</v>
      </c>
      <c r="E116" s="1453"/>
      <c r="F116" s="2070"/>
      <c r="G116" s="2070"/>
      <c r="H116" s="2070"/>
      <c r="I116" s="2070"/>
      <c r="J116" s="2070"/>
      <c r="K116" s="2070"/>
      <c r="L116" s="2070"/>
      <c r="M116" s="1493">
        <f>SUM(F116:K116)</f>
        <v>0</v>
      </c>
      <c r="N116" s="1493">
        <f>SUM(G116:L116)</f>
        <v>0</v>
      </c>
      <c r="O116" s="3652"/>
      <c r="P116" s="3686"/>
    </row>
    <row r="117" spans="1:17" s="257" customFormat="1" ht="14.25" hidden="1" customHeight="1">
      <c r="A117" s="3692"/>
      <c r="B117" s="1506" t="s">
        <v>17</v>
      </c>
      <c r="C117" s="3656"/>
      <c r="D117" s="839">
        <f>SUM(E117:I117)</f>
        <v>0</v>
      </c>
      <c r="E117" s="1511"/>
      <c r="F117" s="872"/>
      <c r="G117" s="1511"/>
      <c r="H117" s="1511"/>
      <c r="I117" s="1511"/>
      <c r="J117" s="1511"/>
      <c r="K117" s="1511"/>
      <c r="L117" s="1511"/>
      <c r="M117" s="443"/>
      <c r="N117" s="443"/>
      <c r="O117" s="3652"/>
      <c r="P117" s="3686"/>
    </row>
    <row r="118" spans="1:17" s="257" customFormat="1" ht="14.25" hidden="1" customHeight="1">
      <c r="A118" s="3692"/>
      <c r="B118" s="1506" t="s">
        <v>15</v>
      </c>
      <c r="C118" s="3656"/>
      <c r="D118" s="839">
        <f>SUM(E118:I118)</f>
        <v>0</v>
      </c>
      <c r="E118" s="1511"/>
      <c r="F118" s="872"/>
      <c r="G118" s="1511"/>
      <c r="H118" s="1511"/>
      <c r="I118" s="1511"/>
      <c r="J118" s="1511"/>
      <c r="K118" s="1511"/>
      <c r="L118" s="1511"/>
      <c r="M118" s="443"/>
      <c r="N118" s="443"/>
      <c r="O118" s="3652"/>
      <c r="P118" s="3686"/>
    </row>
    <row r="119" spans="1:17" s="257" customFormat="1" ht="14.25" hidden="1" customHeight="1">
      <c r="A119" s="3692"/>
      <c r="B119" s="1514" t="s">
        <v>18</v>
      </c>
      <c r="C119" s="3656"/>
      <c r="D119" s="1479">
        <f>+D120</f>
        <v>0</v>
      </c>
      <c r="E119" s="1479">
        <f t="shared" ref="E119" si="85">+E120</f>
        <v>0</v>
      </c>
      <c r="F119" s="1479"/>
      <c r="G119" s="1479"/>
      <c r="H119" s="1479"/>
      <c r="I119" s="1485"/>
      <c r="J119" s="1479"/>
      <c r="K119" s="1479"/>
      <c r="L119" s="1479"/>
      <c r="M119" s="1517">
        <f>M120</f>
        <v>0</v>
      </c>
      <c r="N119" s="1517">
        <f>N120</f>
        <v>0</v>
      </c>
      <c r="O119" s="3652"/>
      <c r="P119" s="3686"/>
    </row>
    <row r="120" spans="1:17" s="257" customFormat="1" ht="12.75" hidden="1" customHeight="1">
      <c r="A120" s="3692"/>
      <c r="B120" s="595" t="s">
        <v>21</v>
      </c>
      <c r="C120" s="3670"/>
      <c r="D120" s="839">
        <f>E120+F120+G120+H120+I120+J120+K120+L120</f>
        <v>0</v>
      </c>
      <c r="E120" s="1453"/>
      <c r="F120" s="872"/>
      <c r="G120" s="1511"/>
      <c r="H120" s="1511"/>
      <c r="I120" s="1511"/>
      <c r="J120" s="872"/>
      <c r="K120" s="872"/>
      <c r="L120" s="872"/>
      <c r="M120" s="1493">
        <f>SUM(F120:K120)</f>
        <v>0</v>
      </c>
      <c r="N120" s="1493">
        <f>SUM(G120:L120)</f>
        <v>0</v>
      </c>
      <c r="O120" s="3664"/>
      <c r="P120" s="3686"/>
    </row>
    <row r="121" spans="1:17" s="257" customFormat="1" ht="21.75" hidden="1" customHeight="1">
      <c r="A121" s="3706"/>
      <c r="B121" s="1474" t="s">
        <v>22</v>
      </c>
      <c r="C121" s="560" t="s">
        <v>306</v>
      </c>
      <c r="D121" s="1476">
        <f>+D125+D122</f>
        <v>0</v>
      </c>
      <c r="E121" s="1476">
        <f t="shared" ref="E121" si="86">+E125+E122</f>
        <v>0</v>
      </c>
      <c r="F121" s="1476">
        <f>+F125+F122</f>
        <v>0</v>
      </c>
      <c r="G121" s="1476"/>
      <c r="H121" s="1476"/>
      <c r="I121" s="1476"/>
      <c r="J121" s="1476"/>
      <c r="K121" s="1476"/>
      <c r="L121" s="1476"/>
      <c r="M121" s="3677" t="s">
        <v>23</v>
      </c>
      <c r="N121" s="3677" t="s">
        <v>23</v>
      </c>
      <c r="O121" s="3713" t="s">
        <v>102</v>
      </c>
      <c r="P121" s="769"/>
      <c r="Q121" s="769">
        <v>-1217020</v>
      </c>
    </row>
    <row r="122" spans="1:17" s="257" customFormat="1" ht="14.25" hidden="1" customHeight="1">
      <c r="A122" s="3706"/>
      <c r="B122" s="1483" t="s">
        <v>24</v>
      </c>
      <c r="C122" s="3655" t="s">
        <v>191</v>
      </c>
      <c r="D122" s="50">
        <f>+D123+D124</f>
        <v>0</v>
      </c>
      <c r="E122" s="50">
        <f t="shared" ref="E122" si="87">+E123+E124</f>
        <v>0</v>
      </c>
      <c r="F122" s="50">
        <f>+F123+F124</f>
        <v>0</v>
      </c>
      <c r="G122" s="50"/>
      <c r="H122" s="50"/>
      <c r="I122" s="50"/>
      <c r="J122" s="50"/>
      <c r="K122" s="50"/>
      <c r="L122" s="50"/>
      <c r="M122" s="3675"/>
      <c r="N122" s="3675"/>
      <c r="O122" s="3699"/>
    </row>
    <row r="123" spans="1:17" s="257" customFormat="1" ht="14.25" hidden="1" customHeight="1">
      <c r="A123" s="3706"/>
      <c r="B123" s="1506" t="s">
        <v>17</v>
      </c>
      <c r="C123" s="3649"/>
      <c r="D123" s="839">
        <f t="shared" ref="D123:D124" si="88">E123+F123+G123+H123+I123+J123+K123+L123</f>
        <v>0</v>
      </c>
      <c r="E123" s="1542"/>
      <c r="F123" s="1496">
        <v>0</v>
      </c>
      <c r="G123" s="1496"/>
      <c r="H123" s="1496"/>
      <c r="I123" s="1496"/>
      <c r="J123" s="1496"/>
      <c r="K123" s="1496"/>
      <c r="L123" s="1496"/>
      <c r="M123" s="3675"/>
      <c r="N123" s="3675"/>
      <c r="O123" s="3699"/>
    </row>
    <row r="124" spans="1:17" s="257" customFormat="1" ht="13.5" hidden="1" thickBot="1">
      <c r="A124" s="3707"/>
      <c r="B124" s="867" t="s">
        <v>15</v>
      </c>
      <c r="C124" s="3701"/>
      <c r="D124" s="2283">
        <f t="shared" si="88"/>
        <v>0</v>
      </c>
      <c r="E124" s="2393"/>
      <c r="F124" s="2393">
        <v>0</v>
      </c>
      <c r="G124" s="2393"/>
      <c r="H124" s="2393"/>
      <c r="I124" s="2393"/>
      <c r="J124" s="2393"/>
      <c r="K124" s="2393"/>
      <c r="L124" s="2393"/>
      <c r="M124" s="3676"/>
      <c r="N124" s="3676"/>
      <c r="O124" s="3700"/>
    </row>
    <row r="125" spans="1:17" s="257" customFormat="1" ht="14.25" hidden="1" customHeight="1">
      <c r="A125" s="3706"/>
      <c r="B125" s="804" t="s">
        <v>18</v>
      </c>
      <c r="C125" s="3649"/>
      <c r="D125" s="50">
        <f>+D127+D126</f>
        <v>0</v>
      </c>
      <c r="E125" s="50">
        <f t="shared" ref="E125" si="89">+E127+E126</f>
        <v>0</v>
      </c>
      <c r="F125" s="50">
        <f>+F127+F126</f>
        <v>0</v>
      </c>
      <c r="G125" s="2075"/>
      <c r="H125" s="2075"/>
      <c r="I125" s="2075"/>
      <c r="J125" s="2075"/>
      <c r="K125" s="2075"/>
      <c r="L125" s="2075"/>
      <c r="M125" s="3675"/>
      <c r="N125" s="3675"/>
      <c r="O125" s="3699"/>
    </row>
    <row r="126" spans="1:17" s="257" customFormat="1" ht="14.25" hidden="1" customHeight="1">
      <c r="A126" s="3706"/>
      <c r="B126" s="1289" t="s">
        <v>17</v>
      </c>
      <c r="C126" s="3649"/>
      <c r="D126" s="239">
        <f>E126+F126+G126+H126+I126+J126+K126+L126</f>
        <v>0</v>
      </c>
      <c r="E126" s="1290"/>
      <c r="F126" s="396"/>
      <c r="G126" s="444"/>
      <c r="H126" s="444"/>
      <c r="I126" s="444"/>
      <c r="J126" s="444"/>
      <c r="K126" s="444"/>
      <c r="L126" s="444"/>
      <c r="M126" s="3675"/>
      <c r="N126" s="3675"/>
      <c r="O126" s="3699"/>
    </row>
    <row r="127" spans="1:17" s="258" customFormat="1" ht="14.25" hidden="1" customHeight="1" thickBot="1">
      <c r="A127" s="3707"/>
      <c r="B127" s="1291" t="s">
        <v>21</v>
      </c>
      <c r="C127" s="3701"/>
      <c r="D127" s="239">
        <f>E127+F127+G127+H127+I127+J127+K127+L127</f>
        <v>0</v>
      </c>
      <c r="E127" s="275"/>
      <c r="F127" s="1292"/>
      <c r="G127" s="445"/>
      <c r="H127" s="445"/>
      <c r="I127" s="445"/>
      <c r="J127" s="445"/>
      <c r="K127" s="445"/>
      <c r="L127" s="445"/>
      <c r="M127" s="3676"/>
      <c r="N127" s="3676"/>
      <c r="O127" s="3700"/>
    </row>
    <row r="128" spans="1:17" ht="27" customHeight="1">
      <c r="A128" s="3691" t="s">
        <v>64</v>
      </c>
      <c r="B128" s="72" t="s">
        <v>470</v>
      </c>
      <c r="C128" s="56"/>
      <c r="D128" s="1159"/>
      <c r="E128" s="3161"/>
      <c r="F128" s="3161"/>
      <c r="G128" s="3161"/>
      <c r="H128" s="3161"/>
      <c r="I128" s="3161"/>
      <c r="J128" s="3161"/>
      <c r="K128" s="3161"/>
      <c r="L128" s="41"/>
      <c r="M128" s="60"/>
      <c r="N128" s="60"/>
      <c r="O128" s="44"/>
    </row>
    <row r="129" spans="1:17" ht="14.25" customHeight="1">
      <c r="A129" s="3692"/>
      <c r="B129" s="881" t="s">
        <v>10</v>
      </c>
      <c r="C129" s="2055" t="s">
        <v>81</v>
      </c>
      <c r="D129" s="861">
        <f t="shared" ref="D129:G129" si="90">+D130+D134</f>
        <v>41962510</v>
      </c>
      <c r="E129" s="861">
        <f t="shared" ref="E129" si="91">+E130+E134</f>
        <v>21145902</v>
      </c>
      <c r="F129" s="861">
        <f t="shared" si="90"/>
        <v>20739608</v>
      </c>
      <c r="G129" s="861">
        <f t="shared" si="90"/>
        <v>77000</v>
      </c>
      <c r="H129" s="861"/>
      <c r="I129" s="861"/>
      <c r="J129" s="861"/>
      <c r="K129" s="861"/>
      <c r="L129" s="861"/>
      <c r="M129" s="847">
        <f>M130+M134</f>
        <v>20816608</v>
      </c>
      <c r="N129" s="847">
        <f>N130+N134</f>
        <v>77000</v>
      </c>
      <c r="O129" s="3652" t="s">
        <v>86</v>
      </c>
    </row>
    <row r="130" spans="1:17" ht="12" customHeight="1">
      <c r="A130" s="3692"/>
      <c r="B130" s="866" t="s">
        <v>24</v>
      </c>
      <c r="C130" s="3646" t="s">
        <v>84</v>
      </c>
      <c r="D130" s="645">
        <f>+D131+D132+D133</f>
        <v>4841589</v>
      </c>
      <c r="E130" s="645">
        <f t="shared" ref="E130" si="92">+E131+E132+E133</f>
        <v>3234734</v>
      </c>
      <c r="F130" s="645">
        <f t="shared" ref="F130:G130" si="93">+F131+F132+F133</f>
        <v>1529855</v>
      </c>
      <c r="G130" s="645">
        <f t="shared" si="93"/>
        <v>77000</v>
      </c>
      <c r="H130" s="645"/>
      <c r="I130" s="645"/>
      <c r="J130" s="645"/>
      <c r="K130" s="645"/>
      <c r="L130" s="645"/>
      <c r="M130" s="563">
        <f>+M131+M133</f>
        <v>1606855</v>
      </c>
      <c r="N130" s="563">
        <f>+N131+N133</f>
        <v>77000</v>
      </c>
      <c r="O130" s="3652"/>
      <c r="P130" s="226" t="s">
        <v>367</v>
      </c>
    </row>
    <row r="131" spans="1:17" ht="11.25" customHeight="1">
      <c r="A131" s="3692"/>
      <c r="B131" s="2056" t="s">
        <v>12</v>
      </c>
      <c r="C131" s="3649"/>
      <c r="D131" s="239">
        <f>E131+F131+G131+H131+I131+J131+K131+L131</f>
        <v>3341589</v>
      </c>
      <c r="E131" s="275">
        <f>2234734</f>
        <v>2234734</v>
      </c>
      <c r="F131" s="854">
        <f>1933354-1900000+166646+197047+159852+78533+2000000-585432-1020145</f>
        <v>1029855</v>
      </c>
      <c r="G131" s="631">
        <v>77000</v>
      </c>
      <c r="H131" s="631"/>
      <c r="I131" s="631"/>
      <c r="J131" s="631"/>
      <c r="K131" s="631"/>
      <c r="L131" s="631"/>
      <c r="M131" s="862">
        <f>SUM(F131:K131)</f>
        <v>1106855</v>
      </c>
      <c r="N131" s="862">
        <f>SUM(G131:L131)</f>
        <v>77000</v>
      </c>
      <c r="O131" s="3652"/>
    </row>
    <row r="132" spans="1:17" ht="12" hidden="1" customHeight="1">
      <c r="A132" s="3692"/>
      <c r="B132" s="642" t="s">
        <v>17</v>
      </c>
      <c r="C132" s="3649"/>
      <c r="D132" s="239">
        <f>E132+F132+G132+H132+I132+J132+K132+L132</f>
        <v>0</v>
      </c>
      <c r="E132" s="632"/>
      <c r="F132" s="631"/>
      <c r="G132" s="631"/>
      <c r="H132" s="631"/>
      <c r="I132" s="631"/>
      <c r="J132" s="199"/>
      <c r="K132" s="199"/>
      <c r="L132" s="199"/>
      <c r="M132" s="67"/>
      <c r="N132" s="67"/>
      <c r="O132" s="3652"/>
    </row>
    <row r="133" spans="1:17" ht="12" customHeight="1">
      <c r="A133" s="3692"/>
      <c r="B133" s="2057" t="s">
        <v>15</v>
      </c>
      <c r="C133" s="3649"/>
      <c r="D133" s="239">
        <f>E133+F133+G133+H133+I133+J133+K133+L133</f>
        <v>1500000</v>
      </c>
      <c r="E133" s="275">
        <f>1000000</f>
        <v>1000000</v>
      </c>
      <c r="F133" s="631">
        <f>500000</f>
        <v>500000</v>
      </c>
      <c r="G133" s="631"/>
      <c r="H133" s="631"/>
      <c r="I133" s="631"/>
      <c r="J133" s="632"/>
      <c r="K133" s="632"/>
      <c r="L133" s="632"/>
      <c r="M133" s="862">
        <f>SUM(F133:K133)</f>
        <v>500000</v>
      </c>
      <c r="N133" s="862">
        <f>SUM(G133:L133)</f>
        <v>0</v>
      </c>
      <c r="O133" s="3652"/>
    </row>
    <row r="134" spans="1:17">
      <c r="A134" s="3692"/>
      <c r="B134" s="2058" t="s">
        <v>18</v>
      </c>
      <c r="C134" s="3649"/>
      <c r="D134" s="564">
        <f t="shared" ref="D134:F134" si="94">+D135+D136</f>
        <v>37120921</v>
      </c>
      <c r="E134" s="564">
        <f t="shared" si="94"/>
        <v>17911168</v>
      </c>
      <c r="F134" s="564">
        <f t="shared" si="94"/>
        <v>19209753</v>
      </c>
      <c r="G134" s="564"/>
      <c r="H134" s="564"/>
      <c r="I134" s="564"/>
      <c r="J134" s="564"/>
      <c r="K134" s="564"/>
      <c r="L134" s="564"/>
      <c r="M134" s="563">
        <f>+M135+M136</f>
        <v>19209753</v>
      </c>
      <c r="N134" s="563">
        <f>+N135+N136</f>
        <v>0</v>
      </c>
      <c r="O134" s="3652"/>
    </row>
    <row r="135" spans="1:17" ht="12" hidden="1" customHeight="1">
      <c r="A135" s="3692"/>
      <c r="B135" s="642" t="s">
        <v>17</v>
      </c>
      <c r="C135" s="3649"/>
      <c r="D135" s="851">
        <v>0</v>
      </c>
      <c r="E135" s="637"/>
      <c r="F135" s="631"/>
      <c r="G135" s="631"/>
      <c r="H135" s="631"/>
      <c r="I135" s="631"/>
      <c r="J135" s="199"/>
      <c r="K135" s="199"/>
      <c r="L135" s="199"/>
      <c r="M135" s="67"/>
      <c r="N135" s="67"/>
      <c r="O135" s="3652"/>
    </row>
    <row r="136" spans="1:17" ht="12" customHeight="1">
      <c r="A136" s="3692"/>
      <c r="B136" s="642" t="s">
        <v>21</v>
      </c>
      <c r="C136" s="3650"/>
      <c r="D136" s="239">
        <f>E136+F136+G136+H136+I136+J136+K136+L136</f>
        <v>37120921</v>
      </c>
      <c r="E136" s="275">
        <f>17911168</f>
        <v>17911168</v>
      </c>
      <c r="F136" s="854">
        <f>10955672-8630312+17358828-100+791-377238-83726-14162</f>
        <v>19209753</v>
      </c>
      <c r="G136" s="631"/>
      <c r="H136" s="631"/>
      <c r="I136" s="631"/>
      <c r="J136" s="631"/>
      <c r="K136" s="631"/>
      <c r="L136" s="631"/>
      <c r="M136" s="862">
        <f>SUM(F136:K136)</f>
        <v>19209753</v>
      </c>
      <c r="N136" s="862">
        <f>SUM(G136:L136)</f>
        <v>0</v>
      </c>
      <c r="O136" s="3664"/>
      <c r="P136" s="426">
        <f>D136-D143</f>
        <v>0</v>
      </c>
    </row>
    <row r="137" spans="1:17" ht="21.75" customHeight="1">
      <c r="A137" s="3692"/>
      <c r="B137" s="80" t="s">
        <v>22</v>
      </c>
      <c r="C137" s="560" t="s">
        <v>306</v>
      </c>
      <c r="D137" s="626">
        <f t="shared" ref="D137:G137" si="95">+D141+D138</f>
        <v>38620921</v>
      </c>
      <c r="E137" s="626">
        <f>+E138+E141</f>
        <v>14036781</v>
      </c>
      <c r="F137" s="626">
        <f t="shared" si="95"/>
        <v>24046022</v>
      </c>
      <c r="G137" s="626">
        <f t="shared" si="95"/>
        <v>538118</v>
      </c>
      <c r="H137" s="626"/>
      <c r="I137" s="626"/>
      <c r="J137" s="626"/>
      <c r="K137" s="626"/>
      <c r="L137" s="626"/>
      <c r="M137" s="3697" t="s">
        <v>23</v>
      </c>
      <c r="N137" s="3697" t="s">
        <v>23</v>
      </c>
      <c r="O137" s="3698" t="s">
        <v>102</v>
      </c>
      <c r="P137" s="426"/>
      <c r="Q137" s="426">
        <v>-14140496</v>
      </c>
    </row>
    <row r="138" spans="1:17">
      <c r="A138" s="3692"/>
      <c r="B138" s="866" t="s">
        <v>24</v>
      </c>
      <c r="C138" s="3646" t="s">
        <v>460</v>
      </c>
      <c r="D138" s="564">
        <f>+D139+D140</f>
        <v>1500000</v>
      </c>
      <c r="E138" s="564">
        <f>+E140</f>
        <v>1000000</v>
      </c>
      <c r="F138" s="564">
        <f>+F139+F140</f>
        <v>500000</v>
      </c>
      <c r="G138" s="865">
        <f>+G139+G140</f>
        <v>0</v>
      </c>
      <c r="H138" s="564"/>
      <c r="I138" s="564"/>
      <c r="J138" s="564"/>
      <c r="K138" s="564"/>
      <c r="L138" s="564"/>
      <c r="M138" s="3630"/>
      <c r="N138" s="3630"/>
      <c r="O138" s="3699"/>
    </row>
    <row r="139" spans="1:17" ht="12" hidden="1" customHeight="1">
      <c r="A139" s="3692"/>
      <c r="B139" s="2057" t="s">
        <v>17</v>
      </c>
      <c r="C139" s="3649"/>
      <c r="D139" s="839">
        <f>SUM(E139:I139)</f>
        <v>0</v>
      </c>
      <c r="E139" s="2059"/>
      <c r="F139" s="851">
        <v>0</v>
      </c>
      <c r="G139" s="1765"/>
      <c r="H139" s="851"/>
      <c r="I139" s="851"/>
      <c r="J139" s="851"/>
      <c r="K139" s="851"/>
      <c r="L139" s="851"/>
      <c r="M139" s="3630"/>
      <c r="N139" s="3630"/>
      <c r="O139" s="3699"/>
    </row>
    <row r="140" spans="1:17">
      <c r="A140" s="3692"/>
      <c r="B140" s="2057" t="s">
        <v>15</v>
      </c>
      <c r="C140" s="3649"/>
      <c r="D140" s="239">
        <f>E140+F140+G140+H140+I140+J140+K140+L140</f>
        <v>1500000</v>
      </c>
      <c r="E140" s="275">
        <f>1000000</f>
        <v>1000000</v>
      </c>
      <c r="F140" s="851">
        <f>500000</f>
        <v>500000</v>
      </c>
      <c r="G140" s="1765">
        <v>0</v>
      </c>
      <c r="H140" s="851"/>
      <c r="I140" s="851"/>
      <c r="J140" s="851"/>
      <c r="K140" s="851"/>
      <c r="L140" s="851"/>
      <c r="M140" s="3630"/>
      <c r="N140" s="3630"/>
      <c r="O140" s="3699"/>
    </row>
    <row r="141" spans="1:17" ht="13.5" customHeight="1">
      <c r="A141" s="3692"/>
      <c r="B141" s="864" t="s">
        <v>18</v>
      </c>
      <c r="C141" s="3649"/>
      <c r="D141" s="780">
        <f t="shared" ref="D141" si="96">+D142+D143</f>
        <v>37120921</v>
      </c>
      <c r="E141" s="780">
        <f>+E143</f>
        <v>13036781</v>
      </c>
      <c r="F141" s="2060">
        <f>+F142+F143</f>
        <v>23546022</v>
      </c>
      <c r="G141" s="2060">
        <f>+G142+G143</f>
        <v>538118</v>
      </c>
      <c r="H141" s="2060"/>
      <c r="I141" s="2060"/>
      <c r="J141" s="2060"/>
      <c r="K141" s="2060"/>
      <c r="L141" s="2060"/>
      <c r="M141" s="3630"/>
      <c r="N141" s="3630"/>
      <c r="O141" s="3699"/>
    </row>
    <row r="142" spans="1:17" ht="12" hidden="1" customHeight="1">
      <c r="A142" s="3692"/>
      <c r="B142" s="642" t="s">
        <v>17</v>
      </c>
      <c r="C142" s="3649"/>
      <c r="D142" s="839">
        <f>SUM(E142:I142)</f>
        <v>0</v>
      </c>
      <c r="E142" s="2059"/>
      <c r="F142" s="851"/>
      <c r="G142" s="851"/>
      <c r="H142" s="851"/>
      <c r="I142" s="851"/>
      <c r="J142" s="851"/>
      <c r="K142" s="851"/>
      <c r="L142" s="851"/>
      <c r="M142" s="3630"/>
      <c r="N142" s="3630"/>
      <c r="O142" s="3699"/>
    </row>
    <row r="143" spans="1:17" ht="14.25" customHeight="1" thickBot="1">
      <c r="A143" s="3693"/>
      <c r="B143" s="1286" t="s">
        <v>21</v>
      </c>
      <c r="C143" s="3701"/>
      <c r="D143" s="239">
        <f>E143+F143+G143+H143+I143+J143+K143+L143</f>
        <v>37120921</v>
      </c>
      <c r="E143" s="275">
        <f>13036781</f>
        <v>13036781</v>
      </c>
      <c r="F143" s="833">
        <f>10955672-500000+20900496-6760000-36782-120-377238-636006</f>
        <v>23546022</v>
      </c>
      <c r="G143" s="1287">
        <f>552280-14162</f>
        <v>538118</v>
      </c>
      <c r="H143" s="1287"/>
      <c r="I143" s="1287"/>
      <c r="J143" s="1287"/>
      <c r="K143" s="1287"/>
      <c r="L143" s="1287"/>
      <c r="M143" s="3631"/>
      <c r="N143" s="3631"/>
      <c r="O143" s="3700"/>
    </row>
    <row r="144" spans="1:17" ht="30" hidden="1" customHeight="1">
      <c r="A144" s="3691"/>
      <c r="B144" s="72" t="s">
        <v>434</v>
      </c>
      <c r="C144" s="56"/>
      <c r="D144" s="57"/>
      <c r="E144" s="42"/>
      <c r="F144" s="42"/>
      <c r="G144" s="42"/>
      <c r="H144" s="42"/>
      <c r="I144" s="42"/>
      <c r="J144" s="42"/>
      <c r="K144" s="42"/>
      <c r="L144" s="42"/>
      <c r="M144" s="43"/>
      <c r="N144" s="43"/>
      <c r="O144" s="87"/>
    </row>
    <row r="145" spans="1:17" ht="13.5" hidden="1" customHeight="1">
      <c r="A145" s="3692"/>
      <c r="B145" s="581" t="s">
        <v>10</v>
      </c>
      <c r="C145" s="1509" t="s">
        <v>81</v>
      </c>
      <c r="D145" s="1489">
        <f t="shared" ref="D145" si="97">+D146+D149</f>
        <v>0</v>
      </c>
      <c r="E145" s="1412">
        <f>+E146+E149</f>
        <v>0</v>
      </c>
      <c r="F145" s="1412">
        <f>+F146+F149</f>
        <v>0</v>
      </c>
      <c r="G145" s="1412"/>
      <c r="H145" s="1412"/>
      <c r="I145" s="1412"/>
      <c r="J145" s="1412"/>
      <c r="K145" s="1412"/>
      <c r="L145" s="1412"/>
      <c r="M145" s="1413">
        <f>M146+M149</f>
        <v>0</v>
      </c>
      <c r="N145" s="1413">
        <f>N146+N149</f>
        <v>0</v>
      </c>
      <c r="O145" s="3652" t="s">
        <v>86</v>
      </c>
      <c r="P145" s="426"/>
    </row>
    <row r="146" spans="1:17" ht="13.5" hidden="1" customHeight="1">
      <c r="A146" s="3692"/>
      <c r="B146" s="555" t="s">
        <v>24</v>
      </c>
      <c r="C146" s="3655" t="s">
        <v>84</v>
      </c>
      <c r="D146" s="1490">
        <f>+D147+D148</f>
        <v>0</v>
      </c>
      <c r="E146" s="1490">
        <f>+E147</f>
        <v>0</v>
      </c>
      <c r="F146" s="1490">
        <f>+F147+F148</f>
        <v>0</v>
      </c>
      <c r="G146" s="1490"/>
      <c r="H146" s="1490"/>
      <c r="I146" s="1490"/>
      <c r="J146" s="1490"/>
      <c r="K146" s="1490"/>
      <c r="L146" s="1490"/>
      <c r="M146" s="1480">
        <f>M147</f>
        <v>0</v>
      </c>
      <c r="N146" s="1480">
        <f>N147</f>
        <v>0</v>
      </c>
      <c r="O146" s="3652"/>
      <c r="P146" s="426"/>
    </row>
    <row r="147" spans="1:17" ht="11.25" hidden="1" customHeight="1">
      <c r="A147" s="3692"/>
      <c r="B147" s="868" t="s">
        <v>12</v>
      </c>
      <c r="C147" s="3656"/>
      <c r="D147" s="1406">
        <f>E147+F147+G147+H147+I147+J147+K147+L147</f>
        <v>0</v>
      </c>
      <c r="E147" s="1453"/>
      <c r="F147" s="1453"/>
      <c r="G147" s="1453"/>
      <c r="H147" s="1453"/>
      <c r="I147" s="1453"/>
      <c r="J147" s="1453"/>
      <c r="K147" s="1453"/>
      <c r="L147" s="1453"/>
      <c r="M147" s="862">
        <f>SUM(F147:K147)</f>
        <v>0</v>
      </c>
      <c r="N147" s="862">
        <f>SUM(G147:L147)</f>
        <v>0</v>
      </c>
      <c r="O147" s="3652"/>
      <c r="P147" s="426"/>
    </row>
    <row r="148" spans="1:17" ht="10.5" hidden="1" customHeight="1">
      <c r="A148" s="3692"/>
      <c r="B148" s="1293" t="s">
        <v>15</v>
      </c>
      <c r="C148" s="3656"/>
      <c r="D148" s="1406">
        <f>SUM(E148:I148)</f>
        <v>0</v>
      </c>
      <c r="E148" s="1510">
        <v>0</v>
      </c>
      <c r="F148" s="1511"/>
      <c r="G148" s="1511"/>
      <c r="H148" s="1511"/>
      <c r="I148" s="1511"/>
      <c r="J148" s="199"/>
      <c r="K148" s="199"/>
      <c r="L148" s="199"/>
      <c r="M148" s="67"/>
      <c r="N148" s="67"/>
      <c r="O148" s="3652"/>
    </row>
    <row r="149" spans="1:17" ht="12.75" hidden="1" customHeight="1">
      <c r="A149" s="3692"/>
      <c r="B149" s="864" t="s">
        <v>18</v>
      </c>
      <c r="C149" s="3656"/>
      <c r="D149" s="1479">
        <f>+D150</f>
        <v>0</v>
      </c>
      <c r="E149" s="1423">
        <f>+E150</f>
        <v>0</v>
      </c>
      <c r="F149" s="1423">
        <f t="shared" ref="F149" si="98">+F150</f>
        <v>0</v>
      </c>
      <c r="G149" s="1423"/>
      <c r="H149" s="1423"/>
      <c r="I149" s="1423"/>
      <c r="J149" s="1479"/>
      <c r="K149" s="1479"/>
      <c r="L149" s="1479"/>
      <c r="M149" s="1480">
        <f>M150</f>
        <v>0</v>
      </c>
      <c r="N149" s="1480">
        <f>N150</f>
        <v>0</v>
      </c>
      <c r="O149" s="3652"/>
    </row>
    <row r="150" spans="1:17" ht="12" hidden="1" customHeight="1">
      <c r="A150" s="3692"/>
      <c r="B150" s="868" t="s">
        <v>21</v>
      </c>
      <c r="C150" s="3670"/>
      <c r="D150" s="1512">
        <f>E150+F150+G150+H150+I150+J150+K150+L150</f>
        <v>0</v>
      </c>
      <c r="E150" s="1453"/>
      <c r="F150" s="1453"/>
      <c r="G150" s="1453"/>
      <c r="H150" s="1420"/>
      <c r="I150" s="1420"/>
      <c r="J150" s="1492"/>
      <c r="K150" s="1492"/>
      <c r="L150" s="1492"/>
      <c r="M150" s="862">
        <f>SUM(F150:K150)</f>
        <v>0</v>
      </c>
      <c r="N150" s="862">
        <f>SUM(G150:L150)</f>
        <v>0</v>
      </c>
      <c r="O150" s="3664"/>
    </row>
    <row r="151" spans="1:17" ht="23.25" hidden="1" thickBot="1">
      <c r="A151" s="3706"/>
      <c r="B151" s="91" t="s">
        <v>22</v>
      </c>
      <c r="C151" s="560" t="s">
        <v>306</v>
      </c>
      <c r="D151" s="98">
        <f t="shared" ref="D151" si="99">+D152+D154</f>
        <v>0</v>
      </c>
      <c r="E151" s="227">
        <f>+E154</f>
        <v>0</v>
      </c>
      <c r="F151" s="227">
        <f>+F152+F154</f>
        <v>0</v>
      </c>
      <c r="G151" s="227"/>
      <c r="H151" s="227"/>
      <c r="I151" s="227"/>
      <c r="J151" s="227"/>
      <c r="K151" s="227"/>
      <c r="L151" s="227"/>
      <c r="M151" s="3677" t="s">
        <v>23</v>
      </c>
      <c r="N151" s="3677" t="s">
        <v>23</v>
      </c>
      <c r="O151" s="3750" t="s">
        <v>102</v>
      </c>
      <c r="P151" s="426"/>
      <c r="Q151" s="426">
        <v>-1435987</v>
      </c>
    </row>
    <row r="152" spans="1:17" ht="13.5" hidden="1" customHeight="1">
      <c r="A152" s="3706"/>
      <c r="B152" s="1483" t="s">
        <v>24</v>
      </c>
      <c r="C152" s="3749" t="s">
        <v>200</v>
      </c>
      <c r="D152" s="50">
        <f>+D153</f>
        <v>0</v>
      </c>
      <c r="E152" s="259">
        <v>0</v>
      </c>
      <c r="F152" s="50"/>
      <c r="G152" s="50"/>
      <c r="H152" s="50"/>
      <c r="I152" s="50"/>
      <c r="J152" s="50"/>
      <c r="K152" s="50"/>
      <c r="L152" s="50"/>
      <c r="M152" s="3675"/>
      <c r="N152" s="3675"/>
      <c r="O152" s="3738"/>
    </row>
    <row r="153" spans="1:17" ht="13.5" hidden="1" thickBot="1">
      <c r="A153" s="3706"/>
      <c r="B153" s="90" t="s">
        <v>15</v>
      </c>
      <c r="C153" s="3735"/>
      <c r="D153" s="1406">
        <f>SUM(E153:I153)</f>
        <v>0</v>
      </c>
      <c r="E153" s="1513">
        <v>0</v>
      </c>
      <c r="F153" s="1422"/>
      <c r="G153" s="1422"/>
      <c r="H153" s="1422"/>
      <c r="I153" s="1422"/>
      <c r="J153" s="1422"/>
      <c r="K153" s="1422"/>
      <c r="L153" s="1422"/>
      <c r="M153" s="3675"/>
      <c r="N153" s="3675"/>
      <c r="O153" s="3738"/>
    </row>
    <row r="154" spans="1:17" ht="12" hidden="1" customHeight="1">
      <c r="A154" s="3706"/>
      <c r="B154" s="1514" t="s">
        <v>18</v>
      </c>
      <c r="C154" s="3735"/>
      <c r="D154" s="1479">
        <f t="shared" ref="D154:F154" si="100">+D155</f>
        <v>0</v>
      </c>
      <c r="E154" s="1423">
        <f>+E155</f>
        <v>0</v>
      </c>
      <c r="F154" s="1423">
        <f t="shared" si="100"/>
        <v>0</v>
      </c>
      <c r="G154" s="1423"/>
      <c r="H154" s="1423"/>
      <c r="I154" s="1423"/>
      <c r="J154" s="1423"/>
      <c r="K154" s="1423"/>
      <c r="L154" s="1423"/>
      <c r="M154" s="3675"/>
      <c r="N154" s="3675"/>
      <c r="O154" s="3738"/>
    </row>
    <row r="155" spans="1:17" ht="13.5" hidden="1" customHeight="1" thickBot="1">
      <c r="A155" s="3707"/>
      <c r="B155" s="867" t="s">
        <v>21</v>
      </c>
      <c r="C155" s="3731"/>
      <c r="D155" s="833">
        <f>E155+F155+G155+H155+I155+J155+K155+L155</f>
        <v>0</v>
      </c>
      <c r="E155" s="833"/>
      <c r="F155" s="448"/>
      <c r="G155" s="448"/>
      <c r="H155" s="448"/>
      <c r="I155" s="448"/>
      <c r="J155" s="448"/>
      <c r="K155" s="448"/>
      <c r="L155" s="448"/>
      <c r="M155" s="3676"/>
      <c r="N155" s="3676"/>
      <c r="O155" s="3739"/>
    </row>
    <row r="156" spans="1:17" ht="24">
      <c r="A156" s="3691" t="s">
        <v>65</v>
      </c>
      <c r="B156" s="72" t="s">
        <v>474</v>
      </c>
      <c r="C156" s="56" t="s">
        <v>81</v>
      </c>
      <c r="D156" s="1159"/>
      <c r="E156" s="3161"/>
      <c r="F156" s="3161"/>
      <c r="G156" s="3161"/>
      <c r="H156" s="3161"/>
      <c r="I156" s="3161"/>
      <c r="J156" s="3161"/>
      <c r="K156" s="3161"/>
      <c r="L156" s="41"/>
      <c r="M156" s="43"/>
      <c r="N156" s="43"/>
      <c r="O156" s="87"/>
    </row>
    <row r="157" spans="1:17" ht="12" customHeight="1">
      <c r="A157" s="3692"/>
      <c r="B157" s="451" t="s">
        <v>10</v>
      </c>
      <c r="C157" s="1499"/>
      <c r="D157" s="1489">
        <f>+D158+D161</f>
        <v>51648880</v>
      </c>
      <c r="E157" s="1532">
        <f t="shared" ref="E157" si="101">+E158+E161</f>
        <v>330606</v>
      </c>
      <c r="F157" s="1532">
        <f>+F158+F161</f>
        <v>27200773</v>
      </c>
      <c r="G157" s="1532">
        <f>+G158+G161</f>
        <v>24117501</v>
      </c>
      <c r="H157" s="1532"/>
      <c r="I157" s="1532"/>
      <c r="J157" s="1532"/>
      <c r="K157" s="1532"/>
      <c r="L157" s="1532"/>
      <c r="M157" s="1477">
        <f>M158+M161</f>
        <v>51318274</v>
      </c>
      <c r="N157" s="1477">
        <f>N158+N161</f>
        <v>24117501</v>
      </c>
      <c r="O157" s="3652" t="s">
        <v>86</v>
      </c>
      <c r="P157" s="426"/>
    </row>
    <row r="158" spans="1:17">
      <c r="A158" s="3692"/>
      <c r="B158" s="587" t="s">
        <v>24</v>
      </c>
      <c r="C158" s="3655" t="s">
        <v>84</v>
      </c>
      <c r="D158" s="1490">
        <f>+D159+D160</f>
        <v>8087332</v>
      </c>
      <c r="E158" s="1490">
        <f t="shared" ref="E158" si="102">+E159+E160</f>
        <v>49591</v>
      </c>
      <c r="F158" s="1490">
        <f>+F159+F160</f>
        <v>4091322</v>
      </c>
      <c r="G158" s="1490">
        <f>+G159+G160</f>
        <v>3946419</v>
      </c>
      <c r="H158" s="1490"/>
      <c r="I158" s="1490"/>
      <c r="J158" s="1490"/>
      <c r="K158" s="1490"/>
      <c r="L158" s="1490"/>
      <c r="M158" s="1480">
        <f>M159</f>
        <v>8037741</v>
      </c>
      <c r="N158" s="1480">
        <f>N159</f>
        <v>3946419</v>
      </c>
      <c r="O158" s="3652"/>
      <c r="P158" s="3687" t="s">
        <v>348</v>
      </c>
    </row>
    <row r="159" spans="1:17" ht="11.25" customHeight="1">
      <c r="A159" s="3692"/>
      <c r="B159" s="642" t="s">
        <v>12</v>
      </c>
      <c r="C159" s="3656"/>
      <c r="D159" s="839">
        <f>E159+F159+G159+H159+I159+J159+K159+L159</f>
        <v>8087332</v>
      </c>
      <c r="E159" s="1453">
        <v>49591</v>
      </c>
      <c r="F159" s="1453">
        <f>5700000+1500000+135000-2630000-22696-590982</f>
        <v>4091322</v>
      </c>
      <c r="G159" s="1453">
        <f>1875000+1435625-240216-14972+590982+300000</f>
        <v>3946419</v>
      </c>
      <c r="H159" s="1453"/>
      <c r="I159" s="1453"/>
      <c r="J159" s="1453"/>
      <c r="K159" s="1453"/>
      <c r="L159" s="1453"/>
      <c r="M159" s="1493">
        <f>SUM(F159:K159)</f>
        <v>8037741</v>
      </c>
      <c r="N159" s="1493">
        <f>SUM(G159:L159)</f>
        <v>3946419</v>
      </c>
      <c r="O159" s="3652"/>
      <c r="P159" s="3687"/>
    </row>
    <row r="160" spans="1:17" ht="10.5" hidden="1" customHeight="1">
      <c r="A160" s="3692"/>
      <c r="B160" s="420" t="s">
        <v>15</v>
      </c>
      <c r="C160" s="3656"/>
      <c r="D160" s="839">
        <f>SUM(E160:I160)</f>
        <v>0</v>
      </c>
      <c r="E160" s="2061">
        <v>0</v>
      </c>
      <c r="F160" s="869"/>
      <c r="G160" s="869"/>
      <c r="H160" s="869"/>
      <c r="I160" s="869"/>
      <c r="J160" s="199"/>
      <c r="K160" s="199"/>
      <c r="L160" s="199"/>
      <c r="M160" s="67"/>
      <c r="N160" s="67"/>
      <c r="O160" s="3652"/>
      <c r="P160" s="3687"/>
    </row>
    <row r="161" spans="1:16">
      <c r="A161" s="3692"/>
      <c r="B161" s="589" t="s">
        <v>18</v>
      </c>
      <c r="C161" s="3656"/>
      <c r="D161" s="1479">
        <f>+D162</f>
        <v>43561548</v>
      </c>
      <c r="E161" s="1485">
        <f t="shared" ref="E161:G161" si="103">+E162</f>
        <v>281015</v>
      </c>
      <c r="F161" s="1485">
        <f t="shared" si="103"/>
        <v>23109451</v>
      </c>
      <c r="G161" s="1485">
        <f t="shared" si="103"/>
        <v>20171082</v>
      </c>
      <c r="H161" s="1485"/>
      <c r="I161" s="1485"/>
      <c r="J161" s="1479"/>
      <c r="K161" s="1479"/>
      <c r="L161" s="1479"/>
      <c r="M161" s="1480">
        <f>M162</f>
        <v>43280533</v>
      </c>
      <c r="N161" s="1480">
        <f>N162</f>
        <v>20171082</v>
      </c>
      <c r="O161" s="3652"/>
      <c r="P161" s="3687"/>
    </row>
    <row r="162" spans="1:16" ht="12" customHeight="1">
      <c r="A162" s="3692"/>
      <c r="B162" s="642" t="s">
        <v>21</v>
      </c>
      <c r="C162" s="3670"/>
      <c r="D162" s="839">
        <f>E162+F162+G162+H162+I162+J162+K162+L162</f>
        <v>43561548</v>
      </c>
      <c r="E162" s="1453">
        <v>281015</v>
      </c>
      <c r="F162" s="1453">
        <f>32300000+8500000+765000-15470000-128613-2856936</f>
        <v>23109451</v>
      </c>
      <c r="G162" s="1453">
        <f>10625000+4125213+2648772-84839+2856936</f>
        <v>20171082</v>
      </c>
      <c r="H162" s="1488"/>
      <c r="I162" s="1488"/>
      <c r="J162" s="1492"/>
      <c r="K162" s="1492"/>
      <c r="L162" s="1492"/>
      <c r="M162" s="1493">
        <f>SUM(F162:K162)</f>
        <v>43280533</v>
      </c>
      <c r="N162" s="1493">
        <f>SUM(G162:L162)</f>
        <v>20171082</v>
      </c>
      <c r="O162" s="3664"/>
      <c r="P162" s="3687"/>
    </row>
    <row r="163" spans="1:16" ht="12" customHeight="1">
      <c r="A163" s="3706"/>
      <c r="B163" s="1151" t="s">
        <v>22</v>
      </c>
      <c r="C163" s="88"/>
      <c r="D163" s="98">
        <f t="shared" ref="D163" si="104">+D164+D166</f>
        <v>43561548</v>
      </c>
      <c r="E163" s="227">
        <f>+E164+E166</f>
        <v>0</v>
      </c>
      <c r="F163" s="227">
        <f>+F164+F166</f>
        <v>26097077</v>
      </c>
      <c r="G163" s="227">
        <f>+G164+G166</f>
        <v>17464471</v>
      </c>
      <c r="H163" s="227"/>
      <c r="I163" s="227"/>
      <c r="J163" s="227"/>
      <c r="K163" s="227"/>
      <c r="L163" s="227"/>
      <c r="M163" s="3745" t="s">
        <v>23</v>
      </c>
      <c r="N163" s="3745" t="s">
        <v>23</v>
      </c>
      <c r="O163" s="3737" t="s">
        <v>102</v>
      </c>
    </row>
    <row r="164" spans="1:16" ht="13.5" hidden="1" customHeight="1">
      <c r="A164" s="3706"/>
      <c r="B164" s="1495" t="s">
        <v>24</v>
      </c>
      <c r="C164" s="3730" t="s">
        <v>200</v>
      </c>
      <c r="D164" s="50">
        <f>+D165</f>
        <v>0</v>
      </c>
      <c r="E164" s="50"/>
      <c r="F164" s="50"/>
      <c r="G164" s="50"/>
      <c r="H164" s="50"/>
      <c r="I164" s="50"/>
      <c r="J164" s="50"/>
      <c r="K164" s="50"/>
      <c r="L164" s="50"/>
      <c r="M164" s="3675"/>
      <c r="N164" s="3675"/>
      <c r="O164" s="3738"/>
    </row>
    <row r="165" spans="1:16" ht="13.5" hidden="1" customHeight="1">
      <c r="A165" s="3706"/>
      <c r="B165" s="90" t="s">
        <v>15</v>
      </c>
      <c r="C165" s="3735"/>
      <c r="D165" s="839">
        <f>SUM(E165:I165)</f>
        <v>0</v>
      </c>
      <c r="E165" s="1496"/>
      <c r="F165" s="1496"/>
      <c r="G165" s="1496"/>
      <c r="H165" s="1496"/>
      <c r="I165" s="1496"/>
      <c r="J165" s="1496"/>
      <c r="K165" s="1496"/>
      <c r="L165" s="1496"/>
      <c r="M165" s="3675"/>
      <c r="N165" s="3675"/>
      <c r="O165" s="3738"/>
    </row>
    <row r="166" spans="1:16" ht="12" customHeight="1">
      <c r="A166" s="3706"/>
      <c r="B166" s="2524" t="s">
        <v>18</v>
      </c>
      <c r="C166" s="3735"/>
      <c r="D166" s="1479">
        <f t="shared" ref="D166:G166" si="105">+D167</f>
        <v>43561548</v>
      </c>
      <c r="E166" s="1485">
        <f t="shared" si="105"/>
        <v>0</v>
      </c>
      <c r="F166" s="1485">
        <f t="shared" si="105"/>
        <v>26097077</v>
      </c>
      <c r="G166" s="1485">
        <f t="shared" si="105"/>
        <v>17464471</v>
      </c>
      <c r="H166" s="1485"/>
      <c r="I166" s="1485"/>
      <c r="J166" s="1485"/>
      <c r="K166" s="1485"/>
      <c r="L166" s="1485"/>
      <c r="M166" s="3675"/>
      <c r="N166" s="3675"/>
      <c r="O166" s="3738"/>
    </row>
    <row r="167" spans="1:16" ht="13.5" customHeight="1" thickBot="1">
      <c r="A167" s="3707"/>
      <c r="B167" s="867" t="s">
        <v>21</v>
      </c>
      <c r="C167" s="3731"/>
      <c r="D167" s="833">
        <f>E167+F167+G167+H167+I167+J167+K167+L167</f>
        <v>43561548</v>
      </c>
      <c r="E167" s="833">
        <v>0</v>
      </c>
      <c r="F167" s="448">
        <f>29000000+6000000-8623985-128613-150325</f>
        <v>26097077</v>
      </c>
      <c r="G167" s="448">
        <f>14775000+6625213-4001228-84839+150325</f>
        <v>17464471</v>
      </c>
      <c r="H167" s="448"/>
      <c r="I167" s="448"/>
      <c r="J167" s="448"/>
      <c r="K167" s="448"/>
      <c r="L167" s="448"/>
      <c r="M167" s="3676"/>
      <c r="N167" s="3676"/>
      <c r="O167" s="3739"/>
    </row>
    <row r="168" spans="1:16" ht="24">
      <c r="A168" s="3691" t="s">
        <v>66</v>
      </c>
      <c r="B168" s="72" t="s">
        <v>552</v>
      </c>
      <c r="C168" s="56" t="s">
        <v>81</v>
      </c>
      <c r="D168" s="1159"/>
      <c r="E168" s="3161"/>
      <c r="F168" s="3161"/>
      <c r="G168" s="3161"/>
      <c r="H168" s="3161"/>
      <c r="I168" s="3161"/>
      <c r="J168" s="3161"/>
      <c r="K168" s="3161"/>
      <c r="L168" s="41"/>
      <c r="M168" s="43"/>
      <c r="N168" s="43"/>
      <c r="O168" s="87"/>
      <c r="P168" s="226" t="s">
        <v>388</v>
      </c>
    </row>
    <row r="169" spans="1:16" ht="13.5" customHeight="1">
      <c r="A169" s="3692"/>
      <c r="B169" s="2440" t="s">
        <v>10</v>
      </c>
      <c r="C169" s="1475"/>
      <c r="D169" s="861">
        <f>+D170+D173</f>
        <v>14296975</v>
      </c>
      <c r="E169" s="2045">
        <f t="shared" ref="E169" si="106">+E170+E173</f>
        <v>1591</v>
      </c>
      <c r="F169" s="2045">
        <f>+F170+F173</f>
        <v>1891948</v>
      </c>
      <c r="G169" s="2045">
        <f>+G170+G173</f>
        <v>12403436</v>
      </c>
      <c r="H169" s="2045"/>
      <c r="I169" s="2045"/>
      <c r="J169" s="2045"/>
      <c r="K169" s="2045"/>
      <c r="L169" s="2045"/>
      <c r="M169" s="2038">
        <f>M170+M173</f>
        <v>14295384</v>
      </c>
      <c r="N169" s="2038">
        <f>N170+N173</f>
        <v>12403436</v>
      </c>
      <c r="O169" s="3652" t="s">
        <v>86</v>
      </c>
      <c r="P169" s="426"/>
    </row>
    <row r="170" spans="1:16" ht="13.5" customHeight="1">
      <c r="A170" s="3692"/>
      <c r="B170" s="2478" t="s">
        <v>24</v>
      </c>
      <c r="C170" s="3646" t="s">
        <v>84</v>
      </c>
      <c r="D170" s="645">
        <f>+D171+D172</f>
        <v>2466682</v>
      </c>
      <c r="E170" s="645">
        <f t="shared" ref="E170" si="107">+E171+E172</f>
        <v>239</v>
      </c>
      <c r="F170" s="645">
        <f>+F171+F172</f>
        <v>362939</v>
      </c>
      <c r="G170" s="645">
        <f>+G171+G172</f>
        <v>2103504</v>
      </c>
      <c r="H170" s="645"/>
      <c r="I170" s="645"/>
      <c r="J170" s="645"/>
      <c r="K170" s="645"/>
      <c r="L170" s="645"/>
      <c r="M170" s="563">
        <f>M171+M172</f>
        <v>2466443</v>
      </c>
      <c r="N170" s="563">
        <f>N171+N172</f>
        <v>2103504</v>
      </c>
      <c r="O170" s="3652"/>
      <c r="P170" s="3687"/>
    </row>
    <row r="171" spans="1:16">
      <c r="A171" s="3692"/>
      <c r="B171" s="2479" t="s">
        <v>12</v>
      </c>
      <c r="C171" s="3656"/>
      <c r="D171" s="839">
        <f>E171+F171+G171+H171+I171+J171+K171+L171</f>
        <v>2199812</v>
      </c>
      <c r="E171" s="854">
        <v>239</v>
      </c>
      <c r="F171" s="854">
        <f>2821000+15000-1954801-48563-304636-41551-203290</f>
        <v>283159</v>
      </c>
      <c r="G171" s="854">
        <f>2016162+18262+304636-188902+202673-436417</f>
        <v>1916414</v>
      </c>
      <c r="H171" s="854"/>
      <c r="I171" s="854"/>
      <c r="J171" s="854"/>
      <c r="K171" s="854"/>
      <c r="L171" s="854"/>
      <c r="M171" s="862">
        <f>SUM(F171:K171)</f>
        <v>2199573</v>
      </c>
      <c r="N171" s="862">
        <f>SUM(G171:L171)</f>
        <v>1916414</v>
      </c>
      <c r="O171" s="3652"/>
      <c r="P171" s="3687"/>
    </row>
    <row r="172" spans="1:16" ht="10.5" customHeight="1">
      <c r="A172" s="3692"/>
      <c r="B172" s="1293" t="s">
        <v>15</v>
      </c>
      <c r="C172" s="3656"/>
      <c r="D172" s="839">
        <f>SUM(E172:I172)</f>
        <v>266870</v>
      </c>
      <c r="E172" s="2061">
        <v>0</v>
      </c>
      <c r="F172" s="869">
        <f>79781-1</f>
        <v>79780</v>
      </c>
      <c r="G172" s="869">
        <f>150673+36417</f>
        <v>187090</v>
      </c>
      <c r="H172" s="869"/>
      <c r="I172" s="869"/>
      <c r="J172" s="2047"/>
      <c r="K172" s="2047"/>
      <c r="L172" s="2047"/>
      <c r="M172" s="862">
        <f>SUM(F172:K172)</f>
        <v>266870</v>
      </c>
      <c r="N172" s="862">
        <f>SUM(G172:L172)</f>
        <v>187090</v>
      </c>
      <c r="O172" s="3652"/>
      <c r="P172" s="3687"/>
    </row>
    <row r="173" spans="1:16" ht="12.75" customHeight="1">
      <c r="A173" s="3692"/>
      <c r="B173" s="2480" t="s">
        <v>18</v>
      </c>
      <c r="C173" s="3656"/>
      <c r="D173" s="564">
        <f>+D174</f>
        <v>11830293</v>
      </c>
      <c r="E173" s="2046">
        <f t="shared" ref="E173:G173" si="108">+E174</f>
        <v>1352</v>
      </c>
      <c r="F173" s="2046">
        <f t="shared" si="108"/>
        <v>1529009</v>
      </c>
      <c r="G173" s="2046">
        <f t="shared" si="108"/>
        <v>10299932</v>
      </c>
      <c r="H173" s="2046"/>
      <c r="I173" s="2046"/>
      <c r="J173" s="564"/>
      <c r="K173" s="564"/>
      <c r="L173" s="564"/>
      <c r="M173" s="563">
        <f>M174</f>
        <v>11828941</v>
      </c>
      <c r="N173" s="563">
        <f>N174</f>
        <v>10299932</v>
      </c>
      <c r="O173" s="3652"/>
      <c r="P173" s="3687"/>
    </row>
    <row r="174" spans="1:16">
      <c r="A174" s="3692"/>
      <c r="B174" s="2479" t="s">
        <v>21</v>
      </c>
      <c r="C174" s="3670"/>
      <c r="D174" s="2051">
        <f>E174+F174+G174+H174+I174+J174+K174+L174</f>
        <v>11830293</v>
      </c>
      <c r="E174" s="854">
        <v>1352</v>
      </c>
      <c r="F174" s="854">
        <f>15079000+85000-11487872+534253-1388381-117724-1175267</f>
        <v>1529009</v>
      </c>
      <c r="G174" s="854">
        <f>11424920-705956+1388381-1279186+1171773-1700000</f>
        <v>10299932</v>
      </c>
      <c r="H174" s="2047"/>
      <c r="I174" s="2047"/>
      <c r="J174" s="631"/>
      <c r="K174" s="631"/>
      <c r="L174" s="631"/>
      <c r="M174" s="862">
        <f>SUM(F174:K174)</f>
        <v>11828941</v>
      </c>
      <c r="N174" s="862">
        <f>SUM(G174:L174)</f>
        <v>10299932</v>
      </c>
      <c r="O174" s="3664"/>
      <c r="P174" s="3687"/>
    </row>
    <row r="175" spans="1:16" ht="13.5" thickBot="1">
      <c r="A175" s="3707"/>
      <c r="B175" s="91" t="s">
        <v>22</v>
      </c>
      <c r="C175" s="88"/>
      <c r="D175" s="98">
        <f t="shared" ref="D175" si="109">+D176+D178</f>
        <v>12097163</v>
      </c>
      <c r="E175" s="227">
        <f>+E176+E178</f>
        <v>0</v>
      </c>
      <c r="F175" s="227">
        <f>+F176+F178</f>
        <v>700892</v>
      </c>
      <c r="G175" s="227">
        <f>+G176+G178</f>
        <v>11396271</v>
      </c>
      <c r="H175" s="227"/>
      <c r="I175" s="227"/>
      <c r="J175" s="227"/>
      <c r="K175" s="227"/>
      <c r="L175" s="227"/>
      <c r="M175" s="3745" t="s">
        <v>23</v>
      </c>
      <c r="N175" s="3745" t="s">
        <v>23</v>
      </c>
      <c r="O175" s="3737" t="s">
        <v>102</v>
      </c>
    </row>
    <row r="176" spans="1:16" ht="13.5" customHeight="1" thickBot="1">
      <c r="A176" s="3705"/>
      <c r="B176" s="866" t="s">
        <v>24</v>
      </c>
      <c r="C176" s="3730" t="s">
        <v>461</v>
      </c>
      <c r="D176" s="50">
        <f>+D177</f>
        <v>266870</v>
      </c>
      <c r="E176" s="50">
        <v>0</v>
      </c>
      <c r="F176" s="50">
        <f>F177</f>
        <v>79780</v>
      </c>
      <c r="G176" s="50">
        <f>G177</f>
        <v>187090</v>
      </c>
      <c r="H176" s="50"/>
      <c r="I176" s="50"/>
      <c r="J176" s="50"/>
      <c r="K176" s="50"/>
      <c r="L176" s="50"/>
      <c r="M176" s="3675"/>
      <c r="N176" s="3675"/>
      <c r="O176" s="3738"/>
    </row>
    <row r="177" spans="1:16" ht="13.5" customHeight="1" thickBot="1">
      <c r="A177" s="3705"/>
      <c r="B177" s="3275" t="s">
        <v>15</v>
      </c>
      <c r="C177" s="3735"/>
      <c r="D177" s="839">
        <f>SUM(E177:I177)</f>
        <v>266870</v>
      </c>
      <c r="E177" s="2044">
        <v>0</v>
      </c>
      <c r="F177" s="2044">
        <f>79781-1</f>
        <v>79780</v>
      </c>
      <c r="G177" s="2044">
        <f>150673+36417</f>
        <v>187090</v>
      </c>
      <c r="H177" s="2044"/>
      <c r="I177" s="2044"/>
      <c r="J177" s="2044"/>
      <c r="K177" s="2044"/>
      <c r="L177" s="2044"/>
      <c r="M177" s="3675"/>
      <c r="N177" s="3675"/>
      <c r="O177" s="3738"/>
    </row>
    <row r="178" spans="1:16" ht="12" customHeight="1" thickBot="1">
      <c r="A178" s="3705"/>
      <c r="B178" s="2058" t="s">
        <v>18</v>
      </c>
      <c r="C178" s="3735"/>
      <c r="D178" s="564">
        <f t="shared" ref="D178:G178" si="110">+D179</f>
        <v>11830293</v>
      </c>
      <c r="E178" s="2046">
        <f t="shared" si="110"/>
        <v>0</v>
      </c>
      <c r="F178" s="2046">
        <f t="shared" si="110"/>
        <v>621112</v>
      </c>
      <c r="G178" s="2046">
        <f t="shared" si="110"/>
        <v>11209181</v>
      </c>
      <c r="H178" s="2046"/>
      <c r="I178" s="2046"/>
      <c r="J178" s="2046"/>
      <c r="K178" s="2046"/>
      <c r="L178" s="2046"/>
      <c r="M178" s="3675"/>
      <c r="N178" s="3675"/>
      <c r="O178" s="3738"/>
    </row>
    <row r="179" spans="1:16" ht="13.5" customHeight="1" thickBot="1">
      <c r="A179" s="3705"/>
      <c r="B179" s="722" t="s">
        <v>21</v>
      </c>
      <c r="C179" s="3731"/>
      <c r="D179" s="2283">
        <f>E179+F179+G179+H179+I179+J179+K179+L179</f>
        <v>11830293</v>
      </c>
      <c r="E179" s="2283">
        <v>0</v>
      </c>
      <c r="F179" s="1786">
        <f>14164000-10486520+534253-1388381-2193352-8888</f>
        <v>621112</v>
      </c>
      <c r="G179" s="1786">
        <f>1000000+10424920-705956+1388381+796442+5394-1700000</f>
        <v>11209181</v>
      </c>
      <c r="H179" s="1786"/>
      <c r="I179" s="1786"/>
      <c r="J179" s="1786"/>
      <c r="K179" s="1786"/>
      <c r="L179" s="1786"/>
      <c r="M179" s="3676"/>
      <c r="N179" s="3676"/>
      <c r="O179" s="3739"/>
    </row>
    <row r="180" spans="1:16" ht="24.75" thickBot="1">
      <c r="A180" s="3704" t="s">
        <v>67</v>
      </c>
      <c r="B180" s="72" t="s">
        <v>553</v>
      </c>
      <c r="C180" s="56" t="s">
        <v>81</v>
      </c>
      <c r="D180" s="1159"/>
      <c r="E180" s="3161"/>
      <c r="F180" s="3161"/>
      <c r="G180" s="3161"/>
      <c r="H180" s="3161"/>
      <c r="I180" s="3161"/>
      <c r="J180" s="3161"/>
      <c r="K180" s="3161"/>
      <c r="L180" s="41"/>
      <c r="M180" s="43"/>
      <c r="N180" s="43"/>
      <c r="O180" s="87"/>
      <c r="P180" s="226" t="s">
        <v>269</v>
      </c>
    </row>
    <row r="181" spans="1:16" ht="13.5" thickBot="1">
      <c r="A181" s="3704"/>
      <c r="B181" s="581" t="s">
        <v>10</v>
      </c>
      <c r="C181" s="472"/>
      <c r="D181" s="861">
        <f>+D182+D185</f>
        <v>46249468</v>
      </c>
      <c r="E181" s="2045">
        <f>+E182+E185</f>
        <v>0</v>
      </c>
      <c r="F181" s="2045">
        <f>+F182+F185</f>
        <v>14408172</v>
      </c>
      <c r="G181" s="2045">
        <f>+G182+G185</f>
        <v>31841296</v>
      </c>
      <c r="H181" s="2045"/>
      <c r="I181" s="2045"/>
      <c r="J181" s="2045"/>
      <c r="K181" s="2045"/>
      <c r="L181" s="2045"/>
      <c r="M181" s="2038">
        <f>M182+M185</f>
        <v>46249468</v>
      </c>
      <c r="N181" s="2038">
        <f>N182+N185</f>
        <v>31841296</v>
      </c>
      <c r="O181" s="3652" t="s">
        <v>86</v>
      </c>
      <c r="P181" s="426"/>
    </row>
    <row r="182" spans="1:16" ht="13.5" customHeight="1" thickBot="1">
      <c r="A182" s="3704"/>
      <c r="B182" s="555" t="s">
        <v>24</v>
      </c>
      <c r="C182" s="3646" t="s">
        <v>84</v>
      </c>
      <c r="D182" s="645">
        <f>+D183+D184</f>
        <v>7796992</v>
      </c>
      <c r="E182" s="645">
        <f>+E183+E184</f>
        <v>0</v>
      </c>
      <c r="F182" s="645">
        <f>+F183+F184</f>
        <v>2611259</v>
      </c>
      <c r="G182" s="645">
        <f>+G183+G184</f>
        <v>5185733</v>
      </c>
      <c r="H182" s="645"/>
      <c r="I182" s="645"/>
      <c r="J182" s="645"/>
      <c r="K182" s="645"/>
      <c r="L182" s="645"/>
      <c r="M182" s="563">
        <f>M183</f>
        <v>7796992</v>
      </c>
      <c r="N182" s="563">
        <f>N183</f>
        <v>5185733</v>
      </c>
      <c r="O182" s="3652"/>
      <c r="P182" s="426"/>
    </row>
    <row r="183" spans="1:16" ht="13.5" thickBot="1">
      <c r="A183" s="3704"/>
      <c r="B183" s="868" t="s">
        <v>12</v>
      </c>
      <c r="C183" s="3656"/>
      <c r="D183" s="839">
        <f>E183+F183+G183+H183+I183+J183+K183+L183</f>
        <v>7796992</v>
      </c>
      <c r="E183" s="854">
        <v>0</v>
      </c>
      <c r="F183" s="854">
        <f>4500000-1204062+1962312-2646991</f>
        <v>2611259</v>
      </c>
      <c r="G183" s="854">
        <f>4215000+1785000+1171207-1962312+2646991-2670153</f>
        <v>5185733</v>
      </c>
      <c r="H183" s="854"/>
      <c r="I183" s="854"/>
      <c r="J183" s="854"/>
      <c r="K183" s="854"/>
      <c r="L183" s="854"/>
      <c r="M183" s="862">
        <f>SUM(F183:K183)</f>
        <v>7796992</v>
      </c>
      <c r="N183" s="862">
        <f>SUM(G183:L183)</f>
        <v>5185733</v>
      </c>
      <c r="O183" s="3652"/>
      <c r="P183" s="426"/>
    </row>
    <row r="184" spans="1:16" ht="10.5" hidden="1" customHeight="1">
      <c r="A184" s="3704"/>
      <c r="B184" s="1293" t="s">
        <v>15</v>
      </c>
      <c r="C184" s="3656"/>
      <c r="D184" s="839">
        <f>SUM(E184:I184)</f>
        <v>0</v>
      </c>
      <c r="E184" s="2061">
        <v>0</v>
      </c>
      <c r="F184" s="869"/>
      <c r="G184" s="869"/>
      <c r="H184" s="869"/>
      <c r="I184" s="869"/>
      <c r="J184" s="199"/>
      <c r="K184" s="199"/>
      <c r="L184" s="199"/>
      <c r="M184" s="67"/>
      <c r="N184" s="67"/>
      <c r="O184" s="3652"/>
    </row>
    <row r="185" spans="1:16" ht="12.75" customHeight="1" thickBot="1">
      <c r="A185" s="3704"/>
      <c r="B185" s="864" t="s">
        <v>18</v>
      </c>
      <c r="C185" s="3656"/>
      <c r="D185" s="564">
        <f>+D186</f>
        <v>38452476</v>
      </c>
      <c r="E185" s="2046">
        <f t="shared" ref="E185:G185" si="111">+E186</f>
        <v>0</v>
      </c>
      <c r="F185" s="2046">
        <f t="shared" si="111"/>
        <v>11796913</v>
      </c>
      <c r="G185" s="2046">
        <f t="shared" si="111"/>
        <v>26655563</v>
      </c>
      <c r="H185" s="2046"/>
      <c r="I185" s="2046"/>
      <c r="J185" s="564"/>
      <c r="K185" s="564"/>
      <c r="L185" s="564"/>
      <c r="M185" s="563">
        <f>M186</f>
        <v>38452476</v>
      </c>
      <c r="N185" s="563">
        <f>N186</f>
        <v>26655563</v>
      </c>
      <c r="O185" s="3652"/>
    </row>
    <row r="186" spans="1:16" ht="13.5" thickBot="1">
      <c r="A186" s="3704"/>
      <c r="B186" s="344" t="s">
        <v>21</v>
      </c>
      <c r="C186" s="3670"/>
      <c r="D186" s="2051">
        <f>E186+F186+G186+H186+I186+J186+K186+L186</f>
        <v>38452476</v>
      </c>
      <c r="E186" s="854">
        <v>0</v>
      </c>
      <c r="F186" s="854">
        <f>38250000+85000-21335000+1110315-5313565-999837</f>
        <v>11796913</v>
      </c>
      <c r="G186" s="854">
        <f>13685000+11815000-1296496+5313565+999837-3861343</f>
        <v>26655563</v>
      </c>
      <c r="H186" s="2047"/>
      <c r="I186" s="2047"/>
      <c r="J186" s="631"/>
      <c r="K186" s="631"/>
      <c r="L186" s="631"/>
      <c r="M186" s="862">
        <f>SUM(F186:K186)</f>
        <v>38452476</v>
      </c>
      <c r="N186" s="862">
        <f>SUM(G186:L186)</f>
        <v>26655563</v>
      </c>
      <c r="O186" s="3664"/>
    </row>
    <row r="187" spans="1:16" ht="11.25" customHeight="1" thickBot="1">
      <c r="A187" s="3705"/>
      <c r="B187" s="19" t="s">
        <v>22</v>
      </c>
      <c r="C187" s="88"/>
      <c r="D187" s="98">
        <f t="shared" ref="D187:E187" si="112">+D188+D190</f>
        <v>38452476</v>
      </c>
      <c r="E187" s="227">
        <f t="shared" si="112"/>
        <v>0</v>
      </c>
      <c r="F187" s="227">
        <f>+F188+F190</f>
        <v>0</v>
      </c>
      <c r="G187" s="227">
        <f>+G188+G190</f>
        <v>31000000</v>
      </c>
      <c r="H187" s="227">
        <f>+H188+H190</f>
        <v>7452476</v>
      </c>
      <c r="I187" s="227"/>
      <c r="J187" s="227"/>
      <c r="K187" s="227"/>
      <c r="L187" s="227"/>
      <c r="M187" s="3745" t="s">
        <v>23</v>
      </c>
      <c r="N187" s="3745" t="s">
        <v>23</v>
      </c>
      <c r="O187" s="3737" t="s">
        <v>102</v>
      </c>
    </row>
    <row r="188" spans="1:16" ht="13.5" hidden="1" customHeight="1">
      <c r="A188" s="3705"/>
      <c r="B188" s="866" t="s">
        <v>24</v>
      </c>
      <c r="C188" s="3730" t="s">
        <v>200</v>
      </c>
      <c r="D188" s="50">
        <f>+D189</f>
        <v>0</v>
      </c>
      <c r="E188" s="259">
        <v>0</v>
      </c>
      <c r="F188" s="50"/>
      <c r="G188" s="50"/>
      <c r="H188" s="50"/>
      <c r="I188" s="50"/>
      <c r="J188" s="50"/>
      <c r="K188" s="50"/>
      <c r="L188" s="50"/>
      <c r="M188" s="3675"/>
      <c r="N188" s="3675"/>
      <c r="O188" s="3738"/>
    </row>
    <row r="189" spans="1:16" ht="13.5" hidden="1" customHeight="1">
      <c r="A189" s="3705"/>
      <c r="B189" s="90" t="s">
        <v>15</v>
      </c>
      <c r="C189" s="3735"/>
      <c r="D189" s="839">
        <f>SUM(E189:I189)</f>
        <v>0</v>
      </c>
      <c r="E189" s="2062">
        <v>0</v>
      </c>
      <c r="F189" s="2044"/>
      <c r="G189" s="2044"/>
      <c r="H189" s="2044"/>
      <c r="I189" s="2044"/>
      <c r="J189" s="2044"/>
      <c r="K189" s="2044"/>
      <c r="L189" s="2044"/>
      <c r="M189" s="3675"/>
      <c r="N189" s="3675"/>
      <c r="O189" s="3738"/>
    </row>
    <row r="190" spans="1:16" ht="12" customHeight="1" thickBot="1">
      <c r="A190" s="3705"/>
      <c r="B190" s="2058" t="s">
        <v>18</v>
      </c>
      <c r="C190" s="3735"/>
      <c r="D190" s="564">
        <f t="shared" ref="D190:H190" si="113">+D191</f>
        <v>38452476</v>
      </c>
      <c r="E190" s="2046">
        <f t="shared" si="113"/>
        <v>0</v>
      </c>
      <c r="F190" s="2046">
        <f t="shared" si="113"/>
        <v>0</v>
      </c>
      <c r="G190" s="2046">
        <f t="shared" si="113"/>
        <v>31000000</v>
      </c>
      <c r="H190" s="2046">
        <f t="shared" si="113"/>
        <v>7452476</v>
      </c>
      <c r="I190" s="2046"/>
      <c r="J190" s="2046"/>
      <c r="K190" s="2046"/>
      <c r="L190" s="2046"/>
      <c r="M190" s="3675"/>
      <c r="N190" s="3675"/>
      <c r="O190" s="3738"/>
    </row>
    <row r="191" spans="1:16" ht="13.5" customHeight="1" thickBot="1">
      <c r="A191" s="3705"/>
      <c r="B191" s="867" t="s">
        <v>21</v>
      </c>
      <c r="C191" s="3731"/>
      <c r="D191" s="1870">
        <f>E191+F191+G191+H191+I191+J191+K191+L191</f>
        <v>38452476</v>
      </c>
      <c r="E191" s="1870">
        <v>0</v>
      </c>
      <c r="F191" s="1786">
        <f>38335000-21335000+1110315-18110315</f>
        <v>0</v>
      </c>
      <c r="G191" s="1786">
        <f>13685000+11815000-1296496+18110315-11313819</f>
        <v>31000000</v>
      </c>
      <c r="H191" s="1786">
        <v>7452476</v>
      </c>
      <c r="I191" s="1786"/>
      <c r="J191" s="1786"/>
      <c r="K191" s="1786"/>
      <c r="L191" s="1786"/>
      <c r="M191" s="3676"/>
      <c r="N191" s="3676"/>
      <c r="O191" s="3739"/>
    </row>
    <row r="192" spans="1:16" ht="24.75" customHeight="1" thickBot="1">
      <c r="A192" s="3704" t="s">
        <v>115</v>
      </c>
      <c r="B192" s="72" t="s">
        <v>527</v>
      </c>
      <c r="C192" s="56" t="s">
        <v>81</v>
      </c>
      <c r="D192" s="1159"/>
      <c r="E192" s="3161"/>
      <c r="F192" s="3161"/>
      <c r="G192" s="3161"/>
      <c r="H192" s="3161"/>
      <c r="I192" s="3161"/>
      <c r="J192" s="3161"/>
      <c r="K192" s="3161"/>
      <c r="L192" s="41"/>
      <c r="M192" s="43"/>
      <c r="N192" s="43"/>
      <c r="O192" s="87"/>
    </row>
    <row r="193" spans="1:16" ht="13.5" thickBot="1">
      <c r="A193" s="3704"/>
      <c r="B193" s="581" t="s">
        <v>10</v>
      </c>
      <c r="C193" s="654"/>
      <c r="D193" s="861">
        <f>+D194+D197</f>
        <v>110000000</v>
      </c>
      <c r="E193" s="613">
        <f t="shared" ref="E193" si="114">+E194+E197</f>
        <v>0</v>
      </c>
      <c r="F193" s="613">
        <f>+F194+F197</f>
        <v>0</v>
      </c>
      <c r="G193" s="613">
        <f>+G194+G197</f>
        <v>1050000</v>
      </c>
      <c r="H193" s="613">
        <f t="shared" ref="H193:J193" si="115">+H194+H197</f>
        <v>38600000</v>
      </c>
      <c r="I193" s="613">
        <f t="shared" si="115"/>
        <v>40350000</v>
      </c>
      <c r="J193" s="613">
        <f t="shared" si="115"/>
        <v>30000000</v>
      </c>
      <c r="K193" s="613"/>
      <c r="L193" s="613"/>
      <c r="M193" s="847">
        <f>M194+M197</f>
        <v>110000000</v>
      </c>
      <c r="N193" s="847">
        <f>N194+N197</f>
        <v>110000000</v>
      </c>
      <c r="O193" s="3652" t="s">
        <v>86</v>
      </c>
      <c r="P193" s="426"/>
    </row>
    <row r="194" spans="1:16" ht="13.5" customHeight="1" thickBot="1">
      <c r="A194" s="3704"/>
      <c r="B194" s="555" t="s">
        <v>24</v>
      </c>
      <c r="C194" s="3646" t="s">
        <v>84</v>
      </c>
      <c r="D194" s="645">
        <f>+D195+D196</f>
        <v>16627500</v>
      </c>
      <c r="E194" s="645">
        <f t="shared" ref="E194" si="116">+E195+E196</f>
        <v>0</v>
      </c>
      <c r="F194" s="645">
        <f>+F195+F196</f>
        <v>0</v>
      </c>
      <c r="G194" s="645">
        <f>+G195+G196</f>
        <v>200000</v>
      </c>
      <c r="H194" s="645">
        <f t="shared" ref="H194:J194" si="117">+H195+H196</f>
        <v>5875000</v>
      </c>
      <c r="I194" s="645">
        <f t="shared" si="117"/>
        <v>6052500</v>
      </c>
      <c r="J194" s="645">
        <f t="shared" si="117"/>
        <v>4500000</v>
      </c>
      <c r="K194" s="645"/>
      <c r="L194" s="645"/>
      <c r="M194" s="563">
        <f>M195</f>
        <v>16627500</v>
      </c>
      <c r="N194" s="563">
        <f>N195</f>
        <v>16627500</v>
      </c>
      <c r="O194" s="3652"/>
      <c r="P194" s="426"/>
    </row>
    <row r="195" spans="1:16" ht="11.25" customHeight="1" thickBot="1">
      <c r="A195" s="3704"/>
      <c r="B195" s="868" t="s">
        <v>12</v>
      </c>
      <c r="C195" s="3656"/>
      <c r="D195" s="239">
        <f>E195+F195+G195+H195+I195+J195+K195+L195</f>
        <v>16627500</v>
      </c>
      <c r="E195" s="275"/>
      <c r="F195" s="854"/>
      <c r="G195" s="854">
        <v>200000</v>
      </c>
      <c r="H195" s="854">
        <v>5875000</v>
      </c>
      <c r="I195" s="854">
        <v>6052500</v>
      </c>
      <c r="J195" s="854">
        <v>4500000</v>
      </c>
      <c r="K195" s="854"/>
      <c r="L195" s="854"/>
      <c r="M195" s="862">
        <f>SUM(F195:K195)</f>
        <v>16627500</v>
      </c>
      <c r="N195" s="862">
        <f>SUM(G195:L195)</f>
        <v>16627500</v>
      </c>
      <c r="O195" s="3652"/>
      <c r="P195" s="426"/>
    </row>
    <row r="196" spans="1:16" ht="10.5" hidden="1" customHeight="1">
      <c r="A196" s="3704"/>
      <c r="B196" s="1293" t="s">
        <v>15</v>
      </c>
      <c r="C196" s="3656"/>
      <c r="D196" s="839">
        <f>SUM(E196:I196)</f>
        <v>0</v>
      </c>
      <c r="E196" s="2061">
        <v>0</v>
      </c>
      <c r="F196" s="869"/>
      <c r="G196" s="869"/>
      <c r="H196" s="869"/>
      <c r="I196" s="869"/>
      <c r="J196" s="199"/>
      <c r="K196" s="199"/>
      <c r="L196" s="199"/>
      <c r="M196" s="67"/>
      <c r="N196" s="67"/>
      <c r="O196" s="3652"/>
    </row>
    <row r="197" spans="1:16" ht="12.75" customHeight="1" thickBot="1">
      <c r="A197" s="3704"/>
      <c r="B197" s="864" t="s">
        <v>18</v>
      </c>
      <c r="C197" s="3656"/>
      <c r="D197" s="564">
        <f>+D198</f>
        <v>93372500</v>
      </c>
      <c r="E197" s="852">
        <f t="shared" ref="E197:J197" si="118">+E198</f>
        <v>0</v>
      </c>
      <c r="F197" s="852">
        <f t="shared" si="118"/>
        <v>0</v>
      </c>
      <c r="G197" s="852">
        <f t="shared" si="118"/>
        <v>850000</v>
      </c>
      <c r="H197" s="852">
        <f t="shared" si="118"/>
        <v>32725000</v>
      </c>
      <c r="I197" s="852">
        <f t="shared" si="118"/>
        <v>34297500</v>
      </c>
      <c r="J197" s="852">
        <f t="shared" si="118"/>
        <v>25500000</v>
      </c>
      <c r="K197" s="564"/>
      <c r="L197" s="564"/>
      <c r="M197" s="563">
        <f>M198</f>
        <v>93372500</v>
      </c>
      <c r="N197" s="563">
        <f>N198</f>
        <v>93372500</v>
      </c>
      <c r="O197" s="3652"/>
    </row>
    <row r="198" spans="1:16" ht="12" customHeight="1" thickBot="1">
      <c r="A198" s="3704"/>
      <c r="B198" s="868" t="s">
        <v>21</v>
      </c>
      <c r="C198" s="3670"/>
      <c r="D198" s="1512">
        <f>E198+F198+G198+H198+I198+J198+K198+L198</f>
        <v>93372500</v>
      </c>
      <c r="E198" s="275"/>
      <c r="F198" s="854"/>
      <c r="G198" s="854">
        <v>850000</v>
      </c>
      <c r="H198" s="632">
        <v>32725000</v>
      </c>
      <c r="I198" s="632">
        <v>34297500</v>
      </c>
      <c r="J198" s="631">
        <v>25500000</v>
      </c>
      <c r="K198" s="631"/>
      <c r="L198" s="631"/>
      <c r="M198" s="862">
        <f>SUM(F198:K198)</f>
        <v>93372500</v>
      </c>
      <c r="N198" s="862">
        <f>SUM(G198:L198)</f>
        <v>93372500</v>
      </c>
      <c r="O198" s="3664"/>
    </row>
    <row r="199" spans="1:16" ht="13.5" thickBot="1">
      <c r="A199" s="3705"/>
      <c r="B199" s="91" t="s">
        <v>22</v>
      </c>
      <c r="C199" s="88"/>
      <c r="D199" s="98">
        <f t="shared" ref="D199" si="119">+D200+D202</f>
        <v>93372500</v>
      </c>
      <c r="E199" s="227">
        <f t="shared" ref="E199" si="120">+E200+E202</f>
        <v>0</v>
      </c>
      <c r="F199" s="227">
        <f>+F200+F202</f>
        <v>0</v>
      </c>
      <c r="G199" s="227">
        <f>+G200+G202</f>
        <v>0</v>
      </c>
      <c r="H199" s="227">
        <f t="shared" ref="H199:J199" si="121">+H200+H202</f>
        <v>33575000</v>
      </c>
      <c r="I199" s="227">
        <f t="shared" si="121"/>
        <v>34297500</v>
      </c>
      <c r="J199" s="227">
        <f t="shared" si="121"/>
        <v>25500000</v>
      </c>
      <c r="K199" s="227"/>
      <c r="L199" s="227"/>
      <c r="M199" s="3745" t="s">
        <v>23</v>
      </c>
      <c r="N199" s="3745" t="s">
        <v>23</v>
      </c>
      <c r="O199" s="3737" t="s">
        <v>102</v>
      </c>
    </row>
    <row r="200" spans="1:16" ht="13.5" hidden="1" thickBot="1">
      <c r="A200" s="3705"/>
      <c r="B200" s="866" t="s">
        <v>24</v>
      </c>
      <c r="C200" s="3730" t="s">
        <v>200</v>
      </c>
      <c r="D200" s="50">
        <f>+D201</f>
        <v>0</v>
      </c>
      <c r="E200" s="50">
        <f t="shared" ref="E200" si="122">+E201</f>
        <v>0</v>
      </c>
      <c r="F200" s="50"/>
      <c r="G200" s="50"/>
      <c r="H200" s="50"/>
      <c r="I200" s="50"/>
      <c r="J200" s="50"/>
      <c r="K200" s="50"/>
      <c r="L200" s="50"/>
      <c r="M200" s="3675"/>
      <c r="N200" s="3676"/>
      <c r="O200" s="3739"/>
    </row>
    <row r="201" spans="1:16" ht="13.5" hidden="1" thickBot="1">
      <c r="A201" s="3705"/>
      <c r="B201" s="90" t="s">
        <v>15</v>
      </c>
      <c r="C201" s="3731"/>
      <c r="D201" s="839">
        <f>SUM(E201:I201)</f>
        <v>0</v>
      </c>
      <c r="E201" s="851">
        <v>0</v>
      </c>
      <c r="F201" s="851"/>
      <c r="G201" s="851"/>
      <c r="H201" s="851"/>
      <c r="I201" s="851"/>
      <c r="J201" s="851"/>
      <c r="K201" s="851"/>
      <c r="L201" s="851"/>
      <c r="M201" s="3675"/>
      <c r="N201" s="3679"/>
      <c r="O201" s="3807"/>
    </row>
    <row r="202" spans="1:16" ht="12" customHeight="1" thickBot="1">
      <c r="A202" s="3705"/>
      <c r="B202" s="2058" t="s">
        <v>18</v>
      </c>
      <c r="C202" s="3732"/>
      <c r="D202" s="564">
        <f t="shared" ref="D202:J202" si="123">+D203</f>
        <v>93372500</v>
      </c>
      <c r="E202" s="852">
        <f t="shared" si="123"/>
        <v>0</v>
      </c>
      <c r="F202" s="852">
        <f t="shared" si="123"/>
        <v>0</v>
      </c>
      <c r="G202" s="852">
        <f t="shared" si="123"/>
        <v>0</v>
      </c>
      <c r="H202" s="852">
        <f t="shared" si="123"/>
        <v>33575000</v>
      </c>
      <c r="I202" s="852">
        <f t="shared" si="123"/>
        <v>34297500</v>
      </c>
      <c r="J202" s="852">
        <f t="shared" si="123"/>
        <v>25500000</v>
      </c>
      <c r="K202" s="852"/>
      <c r="L202" s="852"/>
      <c r="M202" s="3675"/>
      <c r="N202" s="3679"/>
      <c r="O202" s="3807"/>
    </row>
    <row r="203" spans="1:16" ht="13.5" thickBot="1">
      <c r="A203" s="3705"/>
      <c r="B203" s="867" t="s">
        <v>21</v>
      </c>
      <c r="C203" s="3732"/>
      <c r="D203" s="239">
        <f>E203+F203+G203+H203+I203+J203+K203+L203</f>
        <v>93372500</v>
      </c>
      <c r="E203" s="275">
        <v>0</v>
      </c>
      <c r="F203" s="448"/>
      <c r="G203" s="448"/>
      <c r="H203" s="448">
        <v>33575000</v>
      </c>
      <c r="I203" s="448">
        <v>34297500</v>
      </c>
      <c r="J203" s="448">
        <v>25500000</v>
      </c>
      <c r="K203" s="448"/>
      <c r="L203" s="448"/>
      <c r="M203" s="3676"/>
      <c r="N203" s="3679"/>
      <c r="O203" s="3807"/>
    </row>
    <row r="204" spans="1:16" ht="24.75" customHeight="1" thickBot="1">
      <c r="A204" s="3691" t="s">
        <v>87</v>
      </c>
      <c r="B204" s="402" t="s">
        <v>554</v>
      </c>
      <c r="C204" s="3276" t="s">
        <v>81</v>
      </c>
      <c r="D204" s="3193"/>
      <c r="E204" s="3161"/>
      <c r="F204" s="3161"/>
      <c r="G204" s="3161"/>
      <c r="H204" s="3161"/>
      <c r="I204" s="3161"/>
      <c r="J204" s="3161"/>
      <c r="K204" s="3161"/>
      <c r="L204" s="41"/>
      <c r="M204" s="43"/>
      <c r="N204" s="2819"/>
      <c r="O204" s="3690" t="s">
        <v>86</v>
      </c>
    </row>
    <row r="205" spans="1:16" ht="13.5" thickBot="1">
      <c r="A205" s="3692"/>
      <c r="B205" s="451" t="s">
        <v>10</v>
      </c>
      <c r="C205" s="151"/>
      <c r="D205" s="115">
        <f>+D206+D209</f>
        <v>24177308</v>
      </c>
      <c r="E205" s="115">
        <f t="shared" ref="E205" si="124">+E206+E209</f>
        <v>598614</v>
      </c>
      <c r="F205" s="115">
        <f t="shared" ref="F205:H205" si="125">+F206+F209</f>
        <v>2091120</v>
      </c>
      <c r="G205" s="115">
        <f t="shared" si="125"/>
        <v>19060921</v>
      </c>
      <c r="H205" s="115">
        <f t="shared" si="125"/>
        <v>2426653</v>
      </c>
      <c r="I205" s="115"/>
      <c r="J205" s="115"/>
      <c r="K205" s="115"/>
      <c r="L205" s="115"/>
      <c r="M205" s="2063">
        <f>+M206+M209</f>
        <v>23578694</v>
      </c>
      <c r="N205" s="574">
        <f>+N206+N209</f>
        <v>21487574</v>
      </c>
      <c r="O205" s="3690"/>
      <c r="P205" s="226" t="s">
        <v>359</v>
      </c>
    </row>
    <row r="206" spans="1:16" ht="13.5" customHeight="1" thickBot="1">
      <c r="A206" s="3692"/>
      <c r="B206" s="587" t="s">
        <v>24</v>
      </c>
      <c r="C206" s="3806" t="s">
        <v>84</v>
      </c>
      <c r="D206" s="1516">
        <f>+D207+D208</f>
        <v>9328493</v>
      </c>
      <c r="E206" s="1516">
        <f t="shared" ref="E206" si="126">+E207</f>
        <v>598614</v>
      </c>
      <c r="F206" s="1516">
        <f>+F207+F208</f>
        <v>1120337</v>
      </c>
      <c r="G206" s="1516">
        <f>+G207+G208</f>
        <v>5182889</v>
      </c>
      <c r="H206" s="1516">
        <f>+H207+H208</f>
        <v>2426653</v>
      </c>
      <c r="I206" s="1516"/>
      <c r="J206" s="1516"/>
      <c r="K206" s="1516"/>
      <c r="L206" s="1516"/>
      <c r="M206" s="1517">
        <f>+M207+M208</f>
        <v>8729879</v>
      </c>
      <c r="N206" s="1517">
        <f>+N207+N208</f>
        <v>7609542</v>
      </c>
      <c r="O206" s="3690"/>
      <c r="P206" s="426"/>
    </row>
    <row r="207" spans="1:16" ht="13.5" thickBot="1">
      <c r="A207" s="3692"/>
      <c r="B207" s="642" t="s">
        <v>12</v>
      </c>
      <c r="C207" s="3695"/>
      <c r="D207" s="1406">
        <f>E207+F207+G207+H207+I207+J207+K207+L207</f>
        <v>718614</v>
      </c>
      <c r="E207" s="1453">
        <v>598614</v>
      </c>
      <c r="F207" s="1492">
        <f>2960680-2945680+5000-13764</f>
        <v>6236</v>
      </c>
      <c r="G207" s="1492">
        <v>113764</v>
      </c>
      <c r="H207" s="1492"/>
      <c r="I207" s="1492"/>
      <c r="J207" s="1492"/>
      <c r="K207" s="1492"/>
      <c r="L207" s="1492"/>
      <c r="M207" s="862">
        <f>SUM(F207:K207)</f>
        <v>120000</v>
      </c>
      <c r="N207" s="862">
        <f>SUM(G207:L207)</f>
        <v>113764</v>
      </c>
      <c r="O207" s="3690"/>
    </row>
    <row r="208" spans="1:16" ht="13.5" thickBot="1">
      <c r="A208" s="3692"/>
      <c r="B208" s="3277" t="s">
        <v>15</v>
      </c>
      <c r="C208" s="3695"/>
      <c r="D208" s="1406">
        <f>E208+F208+G208+H208+I208+J208+K208+L208</f>
        <v>8609879</v>
      </c>
      <c r="E208" s="1453">
        <v>0</v>
      </c>
      <c r="F208" s="880">
        <f>4895843-1267664-2000000-514078</f>
        <v>1114101</v>
      </c>
      <c r="G208" s="880">
        <f>4774157+1267664-1486774+514078</f>
        <v>5069125</v>
      </c>
      <c r="H208" s="880">
        <v>2426653</v>
      </c>
      <c r="I208" s="880"/>
      <c r="J208" s="880"/>
      <c r="K208" s="880"/>
      <c r="L208" s="880"/>
      <c r="M208" s="862">
        <f>SUM(F208:K208)</f>
        <v>8609879</v>
      </c>
      <c r="N208" s="862">
        <f>SUM(G208:L208)</f>
        <v>7495778</v>
      </c>
      <c r="O208" s="3690"/>
    </row>
    <row r="209" spans="1:17" ht="13.5" customHeight="1" thickBot="1">
      <c r="A209" s="3692"/>
      <c r="B209" s="589" t="s">
        <v>18</v>
      </c>
      <c r="C209" s="3695"/>
      <c r="D209" s="1479">
        <f>+D210</f>
        <v>14848815</v>
      </c>
      <c r="E209" s="1479">
        <f t="shared" ref="E209:G209" si="127">+E210</f>
        <v>0</v>
      </c>
      <c r="F209" s="1479">
        <f t="shared" si="127"/>
        <v>970783</v>
      </c>
      <c r="G209" s="1479">
        <f t="shared" si="127"/>
        <v>13878032</v>
      </c>
      <c r="H209" s="1479"/>
      <c r="I209" s="1479"/>
      <c r="J209" s="1479"/>
      <c r="K209" s="1479"/>
      <c r="L209" s="1479"/>
      <c r="M209" s="1480">
        <f>+M210</f>
        <v>14848815</v>
      </c>
      <c r="N209" s="1480">
        <f>+N210</f>
        <v>13878032</v>
      </c>
      <c r="O209" s="3690"/>
    </row>
    <row r="210" spans="1:17" ht="13.5" thickBot="1">
      <c r="A210" s="3692"/>
      <c r="B210" s="1494" t="s">
        <v>21</v>
      </c>
      <c r="C210" s="3696"/>
      <c r="D210" s="1406">
        <f>E210+F210+G210+H210+I210+J210+K210+L210</f>
        <v>14848815</v>
      </c>
      <c r="E210" s="1453">
        <v>0</v>
      </c>
      <c r="F210" s="1492">
        <f>5649157-3777336-901038</f>
        <v>970783</v>
      </c>
      <c r="G210" s="1492">
        <f>14225843+3777336-5026185+901038</f>
        <v>13878032</v>
      </c>
      <c r="H210" s="1492"/>
      <c r="I210" s="1492"/>
      <c r="J210" s="1492"/>
      <c r="K210" s="1492"/>
      <c r="L210" s="1492"/>
      <c r="M210" s="862">
        <f>SUM(F210:K210)</f>
        <v>14848815</v>
      </c>
      <c r="N210" s="862">
        <f>SUM(G210:L210)</f>
        <v>13878032</v>
      </c>
      <c r="O210" s="3690"/>
    </row>
    <row r="211" spans="1:17" ht="13.5" thickBot="1">
      <c r="A211" s="3692"/>
      <c r="B211" s="451" t="s">
        <v>22</v>
      </c>
      <c r="C211" s="560"/>
      <c r="D211" s="1476">
        <f>+D214+D212</f>
        <v>23458694</v>
      </c>
      <c r="E211" s="1476">
        <f t="shared" ref="E211" si="128">+E214+E212</f>
        <v>0</v>
      </c>
      <c r="F211" s="1476">
        <f t="shared" ref="F211" si="129">+F214+F212</f>
        <v>2985504</v>
      </c>
      <c r="G211" s="1476">
        <f t="shared" ref="G211:H211" si="130">+G214+G212</f>
        <v>11954575</v>
      </c>
      <c r="H211" s="1476">
        <f t="shared" si="130"/>
        <v>8518615</v>
      </c>
      <c r="I211" s="1476"/>
      <c r="J211" s="1476"/>
      <c r="K211" s="1476"/>
      <c r="L211" s="1476"/>
      <c r="M211" s="3755" t="s">
        <v>23</v>
      </c>
      <c r="N211" s="3755" t="s">
        <v>23</v>
      </c>
      <c r="O211" s="3736" t="s">
        <v>102</v>
      </c>
      <c r="P211" s="426"/>
      <c r="Q211" s="426">
        <v>-1230552</v>
      </c>
    </row>
    <row r="212" spans="1:17" ht="12" customHeight="1" thickBot="1">
      <c r="A212" s="3692"/>
      <c r="B212" s="1495" t="s">
        <v>24</v>
      </c>
      <c r="C212" s="3655" t="s">
        <v>460</v>
      </c>
      <c r="D212" s="1479">
        <f>+D213</f>
        <v>8609879</v>
      </c>
      <c r="E212" s="1479">
        <f t="shared" ref="E212:H212" si="131">+E213</f>
        <v>0</v>
      </c>
      <c r="F212" s="1479">
        <f t="shared" si="131"/>
        <v>1114101</v>
      </c>
      <c r="G212" s="1479">
        <f t="shared" si="131"/>
        <v>5069125</v>
      </c>
      <c r="H212" s="1479">
        <f t="shared" si="131"/>
        <v>2426653</v>
      </c>
      <c r="I212" s="1479"/>
      <c r="J212" s="1479"/>
      <c r="K212" s="1479"/>
      <c r="L212" s="1479"/>
      <c r="M212" s="3630"/>
      <c r="N212" s="3630"/>
      <c r="O212" s="3736"/>
    </row>
    <row r="213" spans="1:17" ht="12" customHeight="1" thickBot="1">
      <c r="A213" s="3692"/>
      <c r="B213" s="1506" t="s">
        <v>15</v>
      </c>
      <c r="C213" s="3649"/>
      <c r="D213" s="1406">
        <f>E213+F213+G213+H213+I213+J213+K213+L213</f>
        <v>8609879</v>
      </c>
      <c r="E213" s="1453">
        <v>0</v>
      </c>
      <c r="F213" s="1422">
        <f>4895843-1267664-2000000-514078</f>
        <v>1114101</v>
      </c>
      <c r="G213" s="1422">
        <f>4774157+1267664-1486774+514078</f>
        <v>5069125</v>
      </c>
      <c r="H213" s="1422">
        <v>2426653</v>
      </c>
      <c r="I213" s="1422"/>
      <c r="J213" s="1422"/>
      <c r="K213" s="1422"/>
      <c r="L213" s="1422"/>
      <c r="M213" s="3630"/>
      <c r="N213" s="3630"/>
      <c r="O213" s="3736"/>
    </row>
    <row r="214" spans="1:17" s="257" customFormat="1">
      <c r="A214" s="3692"/>
      <c r="B214" s="589" t="s">
        <v>18</v>
      </c>
      <c r="C214" s="3649"/>
      <c r="D214" s="1497">
        <f>+D215</f>
        <v>14848815</v>
      </c>
      <c r="E214" s="1497">
        <f t="shared" ref="E214:H214" si="132">+E215</f>
        <v>0</v>
      </c>
      <c r="F214" s="1497">
        <f t="shared" si="132"/>
        <v>1871403</v>
      </c>
      <c r="G214" s="1497">
        <f t="shared" si="132"/>
        <v>6885450</v>
      </c>
      <c r="H214" s="1497">
        <f t="shared" si="132"/>
        <v>6091962</v>
      </c>
      <c r="I214" s="1497"/>
      <c r="J214" s="1497"/>
      <c r="K214" s="1497"/>
      <c r="L214" s="1497"/>
      <c r="M214" s="3630"/>
      <c r="N214" s="3630"/>
      <c r="O214" s="3711"/>
    </row>
    <row r="215" spans="1:17" s="257" customFormat="1" ht="13.5" thickBot="1">
      <c r="A215" s="3693"/>
      <c r="B215" s="867" t="s">
        <v>21</v>
      </c>
      <c r="C215" s="3701"/>
      <c r="D215" s="833">
        <f>E215+F215+G215+H215+I215+J215+K215+L215</f>
        <v>14848815</v>
      </c>
      <c r="E215" s="833">
        <v>0</v>
      </c>
      <c r="F215" s="446">
        <f>5649157-3777336-418</f>
        <v>1871403</v>
      </c>
      <c r="G215" s="446">
        <f>14225843+3777336-5026185+418-6091962</f>
        <v>6885450</v>
      </c>
      <c r="H215" s="446">
        <v>6091962</v>
      </c>
      <c r="I215" s="446"/>
      <c r="J215" s="446"/>
      <c r="K215" s="446"/>
      <c r="L215" s="446"/>
      <c r="M215" s="3631"/>
      <c r="N215" s="3631"/>
      <c r="O215" s="3700"/>
    </row>
    <row r="216" spans="1:17" ht="36.75" customHeight="1">
      <c r="A216" s="3691" t="s">
        <v>88</v>
      </c>
      <c r="B216" s="402" t="s">
        <v>573</v>
      </c>
      <c r="C216" s="56" t="s">
        <v>81</v>
      </c>
      <c r="D216" s="3193"/>
      <c r="E216" s="3161"/>
      <c r="F216" s="3161"/>
      <c r="G216" s="3161"/>
      <c r="H216" s="3161"/>
      <c r="I216" s="3161"/>
      <c r="J216" s="3161"/>
      <c r="K216" s="3161"/>
      <c r="L216" s="41"/>
      <c r="M216" s="43"/>
      <c r="N216" s="43"/>
      <c r="O216" s="3651" t="s">
        <v>86</v>
      </c>
    </row>
    <row r="217" spans="1:17">
      <c r="A217" s="3692"/>
      <c r="B217" s="2422" t="s">
        <v>10</v>
      </c>
      <c r="C217" s="3278"/>
      <c r="D217" s="855">
        <f>+D218+D221</f>
        <v>27764788</v>
      </c>
      <c r="E217" s="855">
        <f t="shared" ref="E217" si="133">+E218+E221</f>
        <v>813504</v>
      </c>
      <c r="F217" s="855">
        <f t="shared" ref="F217" si="134">+F218+F221</f>
        <v>635700</v>
      </c>
      <c r="G217" s="855">
        <f t="shared" ref="G217:H217" si="135">+G218+G221</f>
        <v>6181544</v>
      </c>
      <c r="H217" s="855">
        <f t="shared" si="135"/>
        <v>20134040</v>
      </c>
      <c r="I217" s="855"/>
      <c r="J217" s="855"/>
      <c r="K217" s="855"/>
      <c r="L217" s="855"/>
      <c r="M217" s="2043">
        <f>+M218+M221</f>
        <v>26557484</v>
      </c>
      <c r="N217" s="2043">
        <f>+N218+N221</f>
        <v>26315584</v>
      </c>
      <c r="O217" s="3652"/>
      <c r="P217" s="226" t="s">
        <v>269</v>
      </c>
    </row>
    <row r="218" spans="1:17" ht="13.5" customHeight="1">
      <c r="A218" s="3692"/>
      <c r="B218" s="3279" t="s">
        <v>24</v>
      </c>
      <c r="C218" s="3694" t="s">
        <v>84</v>
      </c>
      <c r="D218" s="629">
        <f>+D219+D220</f>
        <v>5282288</v>
      </c>
      <c r="E218" s="629">
        <f t="shared" ref="E218" si="136">+E219+E220</f>
        <v>813504</v>
      </c>
      <c r="F218" s="629">
        <f>+F219+F220</f>
        <v>485608</v>
      </c>
      <c r="G218" s="629">
        <f>+G219+G220</f>
        <v>949980</v>
      </c>
      <c r="H218" s="629">
        <f>+H219+H220</f>
        <v>3033196</v>
      </c>
      <c r="I218" s="629"/>
      <c r="J218" s="629"/>
      <c r="K218" s="629"/>
      <c r="L218" s="629"/>
      <c r="M218" s="649">
        <f>+M219</f>
        <v>4074984</v>
      </c>
      <c r="N218" s="649">
        <f>+N219</f>
        <v>3983176</v>
      </c>
      <c r="O218" s="3652"/>
      <c r="P218" s="426"/>
    </row>
    <row r="219" spans="1:17" ht="13.5" customHeight="1">
      <c r="A219" s="3692"/>
      <c r="B219" s="3280" t="s">
        <v>12</v>
      </c>
      <c r="C219" s="3695"/>
      <c r="D219" s="839">
        <f>E219+F219+G219+H219+I219+J219+K219+L219</f>
        <v>4075030</v>
      </c>
      <c r="E219" s="854">
        <f>5494+46-5494</f>
        <v>46</v>
      </c>
      <c r="F219" s="631">
        <f>990000-518715-41200-338277</f>
        <v>91808</v>
      </c>
      <c r="G219" s="631">
        <f>2977500-2027520</f>
        <v>949980</v>
      </c>
      <c r="H219" s="631">
        <f>518715+532459+1982022</f>
        <v>3033196</v>
      </c>
      <c r="I219" s="631"/>
      <c r="J219" s="631"/>
      <c r="K219" s="631"/>
      <c r="L219" s="631"/>
      <c r="M219" s="862">
        <f>SUM(F219:K219)</f>
        <v>4074984</v>
      </c>
      <c r="N219" s="3281">
        <f>SUM(G219:L219)</f>
        <v>3983176</v>
      </c>
      <c r="O219" s="3652"/>
    </row>
    <row r="220" spans="1:17" ht="13.5" customHeight="1">
      <c r="A220" s="3692"/>
      <c r="B220" s="3277" t="s">
        <v>15</v>
      </c>
      <c r="C220" s="3695"/>
      <c r="D220" s="839">
        <f>E220+F220+G220+H220+I220+J220+K220+L220</f>
        <v>1207258</v>
      </c>
      <c r="E220" s="854">
        <f>807828+136+5494</f>
        <v>813458</v>
      </c>
      <c r="F220" s="880">
        <v>393800</v>
      </c>
      <c r="G220" s="880">
        <v>0</v>
      </c>
      <c r="H220" s="880"/>
      <c r="I220" s="880"/>
      <c r="J220" s="880"/>
      <c r="K220" s="880"/>
      <c r="L220" s="880"/>
      <c r="M220" s="862">
        <f>SUM(F220:K220)</f>
        <v>393800</v>
      </c>
      <c r="N220" s="3281">
        <f>SUM(G220:L220)</f>
        <v>0</v>
      </c>
      <c r="O220" s="3652"/>
    </row>
    <row r="221" spans="1:17" ht="13.5" customHeight="1">
      <c r="A221" s="3692"/>
      <c r="B221" s="2480" t="s">
        <v>18</v>
      </c>
      <c r="C221" s="3695"/>
      <c r="D221" s="564">
        <f>+D222</f>
        <v>22482500</v>
      </c>
      <c r="E221" s="564">
        <f t="shared" ref="E221:H221" si="137">+E222</f>
        <v>0</v>
      </c>
      <c r="F221" s="564">
        <f t="shared" si="137"/>
        <v>150092</v>
      </c>
      <c r="G221" s="564">
        <f t="shared" si="137"/>
        <v>5231564</v>
      </c>
      <c r="H221" s="564">
        <f t="shared" si="137"/>
        <v>17100844</v>
      </c>
      <c r="I221" s="564"/>
      <c r="J221" s="564"/>
      <c r="K221" s="564"/>
      <c r="L221" s="564"/>
      <c r="M221" s="563">
        <f>+M222</f>
        <v>22482500</v>
      </c>
      <c r="N221" s="649">
        <f>+N222</f>
        <v>22332408</v>
      </c>
      <c r="O221" s="3652"/>
    </row>
    <row r="222" spans="1:17" ht="13.5" customHeight="1">
      <c r="A222" s="3692"/>
      <c r="B222" s="595" t="s">
        <v>21</v>
      </c>
      <c r="C222" s="3696"/>
      <c r="D222" s="839">
        <f>E222+F222+G222+H222+I222+J222+K222+L222</f>
        <v>22482500</v>
      </c>
      <c r="E222" s="854">
        <v>0</v>
      </c>
      <c r="F222" s="631">
        <f>5610000-5319385-85000-55523</f>
        <v>150092</v>
      </c>
      <c r="G222" s="631">
        <f>16872500-11640936</f>
        <v>5231564</v>
      </c>
      <c r="H222" s="631">
        <f>5319385+85000+11696459</f>
        <v>17100844</v>
      </c>
      <c r="I222" s="631"/>
      <c r="J222" s="631"/>
      <c r="K222" s="631"/>
      <c r="L222" s="631"/>
      <c r="M222" s="862">
        <f>SUM(F222:K222)</f>
        <v>22482500</v>
      </c>
      <c r="N222" s="3281">
        <f>SUM(G222:L222)</f>
        <v>22332408</v>
      </c>
      <c r="O222" s="3664"/>
    </row>
    <row r="223" spans="1:17">
      <c r="A223" s="3692"/>
      <c r="B223" s="2422" t="s">
        <v>22</v>
      </c>
      <c r="C223" s="560"/>
      <c r="D223" s="626">
        <f>+D226+D224</f>
        <v>23689758</v>
      </c>
      <c r="E223" s="626">
        <f t="shared" ref="E223" si="138">+E226+E224</f>
        <v>807964</v>
      </c>
      <c r="F223" s="626">
        <f t="shared" ref="F223:H223" si="139">+F226+F224</f>
        <v>0</v>
      </c>
      <c r="G223" s="626">
        <f t="shared" si="139"/>
        <v>5780950</v>
      </c>
      <c r="H223" s="626">
        <f t="shared" si="139"/>
        <v>17100844</v>
      </c>
      <c r="I223" s="626"/>
      <c r="J223" s="626"/>
      <c r="K223" s="626"/>
      <c r="L223" s="626"/>
      <c r="M223" s="3697" t="s">
        <v>23</v>
      </c>
      <c r="N223" s="3697" t="s">
        <v>23</v>
      </c>
      <c r="O223" s="3698" t="s">
        <v>102</v>
      </c>
      <c r="P223" s="426"/>
      <c r="Q223" s="426">
        <v>-1230552</v>
      </c>
    </row>
    <row r="224" spans="1:17" ht="12" customHeight="1">
      <c r="A224" s="3692"/>
      <c r="B224" s="866" t="s">
        <v>24</v>
      </c>
      <c r="C224" s="3646" t="s">
        <v>460</v>
      </c>
      <c r="D224" s="564">
        <f>+D225</f>
        <v>1207258</v>
      </c>
      <c r="E224" s="564">
        <f t="shared" ref="E224:H224" si="140">+E225</f>
        <v>807964</v>
      </c>
      <c r="F224" s="564">
        <f t="shared" si="140"/>
        <v>0</v>
      </c>
      <c r="G224" s="564">
        <f t="shared" si="140"/>
        <v>399294</v>
      </c>
      <c r="H224" s="564">
        <f t="shared" si="140"/>
        <v>0</v>
      </c>
      <c r="I224" s="564"/>
      <c r="J224" s="564"/>
      <c r="K224" s="564"/>
      <c r="L224" s="564"/>
      <c r="M224" s="3630"/>
      <c r="N224" s="3630"/>
      <c r="O224" s="3699"/>
    </row>
    <row r="225" spans="1:17" ht="12" customHeight="1">
      <c r="A225" s="3692"/>
      <c r="B225" s="2057" t="s">
        <v>15</v>
      </c>
      <c r="C225" s="3649"/>
      <c r="D225" s="839">
        <f>E225+F225+G225+H225+I225+J225+K225+L225</f>
        <v>1207258</v>
      </c>
      <c r="E225" s="854">
        <f>807828+136</f>
        <v>807964</v>
      </c>
      <c r="F225" s="2044"/>
      <c r="G225" s="2044">
        <v>399294</v>
      </c>
      <c r="H225" s="2044"/>
      <c r="I225" s="2044"/>
      <c r="J225" s="2044"/>
      <c r="K225" s="2044"/>
      <c r="L225" s="2044"/>
      <c r="M225" s="3630"/>
      <c r="N225" s="3630"/>
      <c r="O225" s="3699"/>
    </row>
    <row r="226" spans="1:17" s="257" customFormat="1" ht="13.5" customHeight="1">
      <c r="A226" s="3692"/>
      <c r="B226" s="3282" t="s">
        <v>18</v>
      </c>
      <c r="C226" s="3649"/>
      <c r="D226" s="780">
        <f>+D227</f>
        <v>22482500</v>
      </c>
      <c r="E226" s="780">
        <f t="shared" ref="E226:H226" si="141">+E227</f>
        <v>0</v>
      </c>
      <c r="F226" s="780">
        <f t="shared" si="141"/>
        <v>0</v>
      </c>
      <c r="G226" s="780">
        <f t="shared" si="141"/>
        <v>5381656</v>
      </c>
      <c r="H226" s="780">
        <f t="shared" si="141"/>
        <v>17100844</v>
      </c>
      <c r="I226" s="780"/>
      <c r="J226" s="780"/>
      <c r="K226" s="780"/>
      <c r="L226" s="780"/>
      <c r="M226" s="3630"/>
      <c r="N226" s="3630"/>
      <c r="O226" s="3699"/>
    </row>
    <row r="227" spans="1:17" s="257" customFormat="1" ht="13.5" thickBot="1">
      <c r="A227" s="3693"/>
      <c r="B227" s="867" t="s">
        <v>21</v>
      </c>
      <c r="C227" s="3701"/>
      <c r="D227" s="2283">
        <f>E227+F227+G227+H227+I227+J227+K227+L227</f>
        <v>22482500</v>
      </c>
      <c r="E227" s="2283">
        <v>0</v>
      </c>
      <c r="F227" s="446">
        <f>5610000-5610000</f>
        <v>0</v>
      </c>
      <c r="G227" s="446">
        <f>16872500+290615-85000-11696459</f>
        <v>5381656</v>
      </c>
      <c r="H227" s="446">
        <f>5319385+85000+11696459</f>
        <v>17100844</v>
      </c>
      <c r="I227" s="446"/>
      <c r="J227" s="446"/>
      <c r="K227" s="446"/>
      <c r="L227" s="446"/>
      <c r="M227" s="3631"/>
      <c r="N227" s="3631"/>
      <c r="O227" s="3700"/>
    </row>
    <row r="228" spans="1:17" ht="35.25" customHeight="1">
      <c r="A228" s="3691" t="s">
        <v>89</v>
      </c>
      <c r="B228" s="402" t="s">
        <v>555</v>
      </c>
      <c r="C228" s="56" t="s">
        <v>81</v>
      </c>
      <c r="D228" s="3193"/>
      <c r="E228" s="3161"/>
      <c r="F228" s="3161"/>
      <c r="G228" s="3161"/>
      <c r="H228" s="3161"/>
      <c r="I228" s="3161"/>
      <c r="J228" s="3161"/>
      <c r="K228" s="3161"/>
      <c r="L228" s="41"/>
      <c r="M228" s="43"/>
      <c r="N228" s="43"/>
      <c r="O228" s="3651" t="s">
        <v>86</v>
      </c>
    </row>
    <row r="229" spans="1:17" ht="13.5" customHeight="1">
      <c r="A229" s="3692"/>
      <c r="B229" s="451" t="s">
        <v>10</v>
      </c>
      <c r="C229" s="3283"/>
      <c r="D229" s="855">
        <f>+D230+D233</f>
        <v>9693779</v>
      </c>
      <c r="E229" s="855">
        <f t="shared" ref="E229" si="142">+E230+E233</f>
        <v>0</v>
      </c>
      <c r="F229" s="855">
        <f t="shared" ref="F229:G229" si="143">+F230+F233</f>
        <v>617780</v>
      </c>
      <c r="G229" s="855">
        <f t="shared" si="143"/>
        <v>9075999</v>
      </c>
      <c r="H229" s="855"/>
      <c r="I229" s="855"/>
      <c r="J229" s="855"/>
      <c r="K229" s="855"/>
      <c r="L229" s="855"/>
      <c r="M229" s="2043">
        <f>+M230+M233</f>
        <v>9693779</v>
      </c>
      <c r="N229" s="2043">
        <f>+N230+N233</f>
        <v>9075999</v>
      </c>
      <c r="O229" s="3652"/>
    </row>
    <row r="230" spans="1:17" ht="13.5" customHeight="1">
      <c r="A230" s="3692"/>
      <c r="B230" s="587" t="s">
        <v>24</v>
      </c>
      <c r="C230" s="3694" t="s">
        <v>84</v>
      </c>
      <c r="D230" s="629">
        <f>+D231+D232</f>
        <v>1971994</v>
      </c>
      <c r="E230" s="629">
        <f t="shared" ref="E230" si="144">+E231+E232</f>
        <v>0</v>
      </c>
      <c r="F230" s="629">
        <f>+F231+F232</f>
        <v>141638</v>
      </c>
      <c r="G230" s="629">
        <f>+G231+G232</f>
        <v>1830356</v>
      </c>
      <c r="H230" s="629"/>
      <c r="I230" s="629"/>
      <c r="J230" s="629"/>
      <c r="K230" s="629"/>
      <c r="L230" s="629"/>
      <c r="M230" s="649">
        <f>+M231+M232</f>
        <v>1971994</v>
      </c>
      <c r="N230" s="649">
        <f>+N231+N232</f>
        <v>1830356</v>
      </c>
      <c r="O230" s="3652"/>
      <c r="P230" s="426"/>
    </row>
    <row r="231" spans="1:17">
      <c r="A231" s="3692"/>
      <c r="B231" s="642" t="s">
        <v>12</v>
      </c>
      <c r="C231" s="3695"/>
      <c r="D231" s="839">
        <f>E231+F231+G231+H231+I231+J231+K231+L231</f>
        <v>1462668</v>
      </c>
      <c r="E231" s="854">
        <v>0</v>
      </c>
      <c r="F231" s="631">
        <f>520000-5922-43134-329306</f>
        <v>141638</v>
      </c>
      <c r="G231" s="631">
        <f>1260000-17764-54248+329306-196264</f>
        <v>1321030</v>
      </c>
      <c r="H231" s="631"/>
      <c r="I231" s="631"/>
      <c r="J231" s="631"/>
      <c r="K231" s="631"/>
      <c r="L231" s="631"/>
      <c r="M231" s="862">
        <f>SUM(F231:K231)</f>
        <v>1462668</v>
      </c>
      <c r="N231" s="862">
        <f>SUM(G231:L231)</f>
        <v>1321030</v>
      </c>
      <c r="O231" s="3652"/>
    </row>
    <row r="232" spans="1:17">
      <c r="A232" s="3692"/>
      <c r="B232" s="3277" t="s">
        <v>15</v>
      </c>
      <c r="C232" s="3695"/>
      <c r="D232" s="839">
        <f>E232+F232+G232+H232+I232+J232+K232+L232</f>
        <v>509326</v>
      </c>
      <c r="E232" s="3284">
        <v>0</v>
      </c>
      <c r="F232" s="880">
        <f>138882-138882</f>
        <v>0</v>
      </c>
      <c r="G232" s="880">
        <f>370445+138882-1</f>
        <v>509326</v>
      </c>
      <c r="H232" s="880"/>
      <c r="I232" s="880"/>
      <c r="J232" s="880"/>
      <c r="K232" s="880"/>
      <c r="L232" s="880"/>
      <c r="M232" s="862">
        <f>SUM(E232:K232)</f>
        <v>509326</v>
      </c>
      <c r="N232" s="862">
        <f>SUM(G232:L232)</f>
        <v>509326</v>
      </c>
      <c r="O232" s="3652"/>
    </row>
    <row r="233" spans="1:17" ht="13.5" customHeight="1">
      <c r="A233" s="3692"/>
      <c r="B233" s="589" t="s">
        <v>18</v>
      </c>
      <c r="C233" s="3695"/>
      <c r="D233" s="564">
        <f>+D234</f>
        <v>7721785</v>
      </c>
      <c r="E233" s="564">
        <f t="shared" ref="E233:G233" si="145">+E234</f>
        <v>0</v>
      </c>
      <c r="F233" s="564">
        <f t="shared" si="145"/>
        <v>476142</v>
      </c>
      <c r="G233" s="564">
        <f t="shared" si="145"/>
        <v>7245643</v>
      </c>
      <c r="H233" s="564"/>
      <c r="I233" s="564"/>
      <c r="J233" s="564"/>
      <c r="K233" s="564"/>
      <c r="L233" s="564"/>
      <c r="M233" s="563">
        <f>+M234</f>
        <v>7721785</v>
      </c>
      <c r="N233" s="563">
        <f>+N234</f>
        <v>7245643</v>
      </c>
      <c r="O233" s="3652"/>
    </row>
    <row r="234" spans="1:17">
      <c r="A234" s="3692"/>
      <c r="B234" s="595" t="s">
        <v>21</v>
      </c>
      <c r="C234" s="3696"/>
      <c r="D234" s="839">
        <f>E234+F234+G234+H234+I234+J234+K234+L234</f>
        <v>7721785</v>
      </c>
      <c r="E234" s="854">
        <v>0</v>
      </c>
      <c r="F234" s="631">
        <f>2380000-33554-226296-1644008</f>
        <v>476142</v>
      </c>
      <c r="G234" s="631">
        <f>7140000-100662-325542+1644008-1112161</f>
        <v>7245643</v>
      </c>
      <c r="H234" s="631"/>
      <c r="I234" s="631"/>
      <c r="J234" s="631"/>
      <c r="K234" s="631"/>
      <c r="L234" s="631"/>
      <c r="M234" s="862">
        <f>SUM(F234:K234)</f>
        <v>7721785</v>
      </c>
      <c r="N234" s="862">
        <f>SUM(G234:L234)</f>
        <v>7245643</v>
      </c>
      <c r="O234" s="3664"/>
    </row>
    <row r="235" spans="1:17">
      <c r="A235" s="3692"/>
      <c r="B235" s="451" t="s">
        <v>22</v>
      </c>
      <c r="C235" s="560"/>
      <c r="D235" s="626">
        <f>+D238+D236</f>
        <v>8231111</v>
      </c>
      <c r="E235" s="626">
        <f t="shared" ref="E235" si="146">+E238+E236</f>
        <v>0</v>
      </c>
      <c r="F235" s="626">
        <f t="shared" ref="F235:G235" si="147">+F238+F236</f>
        <v>2069792</v>
      </c>
      <c r="G235" s="626">
        <f t="shared" si="147"/>
        <v>6161319</v>
      </c>
      <c r="H235" s="626"/>
      <c r="I235" s="626"/>
      <c r="J235" s="626"/>
      <c r="K235" s="626"/>
      <c r="L235" s="626"/>
      <c r="M235" s="3697" t="s">
        <v>23</v>
      </c>
      <c r="N235" s="3697" t="s">
        <v>23</v>
      </c>
      <c r="O235" s="3698" t="s">
        <v>102</v>
      </c>
      <c r="P235" s="426"/>
      <c r="Q235" s="426">
        <v>-1230552</v>
      </c>
    </row>
    <row r="236" spans="1:17" ht="12" customHeight="1">
      <c r="A236" s="3692"/>
      <c r="B236" s="3285" t="s">
        <v>24</v>
      </c>
      <c r="C236" s="3646" t="s">
        <v>460</v>
      </c>
      <c r="D236" s="564">
        <f>+D237</f>
        <v>509326</v>
      </c>
      <c r="E236" s="564">
        <f t="shared" ref="E236:G236" si="148">+E237</f>
        <v>0</v>
      </c>
      <c r="F236" s="564">
        <f t="shared" si="148"/>
        <v>0</v>
      </c>
      <c r="G236" s="564">
        <f t="shared" si="148"/>
        <v>509326</v>
      </c>
      <c r="H236" s="564"/>
      <c r="I236" s="564"/>
      <c r="J236" s="564"/>
      <c r="K236" s="564"/>
      <c r="L236" s="564"/>
      <c r="M236" s="3630"/>
      <c r="N236" s="3630"/>
      <c r="O236" s="3699"/>
    </row>
    <row r="237" spans="1:17" ht="12" customHeight="1">
      <c r="A237" s="3692"/>
      <c r="B237" s="2057" t="s">
        <v>15</v>
      </c>
      <c r="C237" s="3649"/>
      <c r="D237" s="839">
        <f>E237+F237+G237+H237+I237+J237+K237+L237</f>
        <v>509326</v>
      </c>
      <c r="E237" s="2044"/>
      <c r="F237" s="2044">
        <f>138882-138882</f>
        <v>0</v>
      </c>
      <c r="G237" s="2044">
        <f>370445+138882-1</f>
        <v>509326</v>
      </c>
      <c r="H237" s="2044"/>
      <c r="I237" s="2044"/>
      <c r="J237" s="2044"/>
      <c r="K237" s="2044"/>
      <c r="L237" s="2044"/>
      <c r="M237" s="3630"/>
      <c r="N237" s="3630"/>
      <c r="O237" s="3699"/>
    </row>
    <row r="238" spans="1:17" s="257" customFormat="1" ht="13.5" customHeight="1">
      <c r="A238" s="3692"/>
      <c r="B238" s="589" t="s">
        <v>18</v>
      </c>
      <c r="C238" s="3649"/>
      <c r="D238" s="780">
        <f>+D239</f>
        <v>7721785</v>
      </c>
      <c r="E238" s="780">
        <f t="shared" ref="E238:G238" si="149">+E239</f>
        <v>0</v>
      </c>
      <c r="F238" s="780">
        <f t="shared" si="149"/>
        <v>2069792</v>
      </c>
      <c r="G238" s="780">
        <f t="shared" si="149"/>
        <v>5651993</v>
      </c>
      <c r="H238" s="780"/>
      <c r="I238" s="780"/>
      <c r="J238" s="780"/>
      <c r="K238" s="780"/>
      <c r="L238" s="780"/>
      <c r="M238" s="3630"/>
      <c r="N238" s="3630"/>
      <c r="O238" s="3699"/>
    </row>
    <row r="239" spans="1:17" s="257" customFormat="1" ht="13.5" thickBot="1">
      <c r="A239" s="3693"/>
      <c r="B239" s="867" t="s">
        <v>21</v>
      </c>
      <c r="C239" s="3701"/>
      <c r="D239" s="1870">
        <f>E239+F239+G239+H239+I239+J239+K239+L239</f>
        <v>7721785</v>
      </c>
      <c r="E239" s="1870">
        <v>0</v>
      </c>
      <c r="F239" s="446">
        <f>2380000-33554-226296-50358</f>
        <v>2069792</v>
      </c>
      <c r="G239" s="446">
        <f>7140000-100662-325542+50358-1112161</f>
        <v>5651993</v>
      </c>
      <c r="H239" s="446"/>
      <c r="I239" s="446"/>
      <c r="J239" s="446"/>
      <c r="K239" s="446"/>
      <c r="L239" s="446"/>
      <c r="M239" s="3631"/>
      <c r="N239" s="3631"/>
      <c r="O239" s="3700"/>
    </row>
    <row r="240" spans="1:17" ht="28.5" customHeight="1">
      <c r="A240" s="3691" t="s">
        <v>90</v>
      </c>
      <c r="B240" s="402" t="s">
        <v>556</v>
      </c>
      <c r="C240" s="56" t="s">
        <v>81</v>
      </c>
      <c r="D240" s="3193"/>
      <c r="E240" s="3161"/>
      <c r="F240" s="3161"/>
      <c r="G240" s="3161"/>
      <c r="H240" s="3161"/>
      <c r="I240" s="3161"/>
      <c r="J240" s="3161"/>
      <c r="K240" s="3161"/>
      <c r="L240" s="41"/>
      <c r="M240" s="43"/>
      <c r="N240" s="43"/>
      <c r="O240" s="3651" t="s">
        <v>86</v>
      </c>
    </row>
    <row r="241" spans="1:17" ht="15.75" customHeight="1">
      <c r="A241" s="3692"/>
      <c r="B241" s="451" t="s">
        <v>10</v>
      </c>
      <c r="C241" s="3286"/>
      <c r="D241" s="855">
        <f>+D242+D245</f>
        <v>19052656</v>
      </c>
      <c r="E241" s="855">
        <f t="shared" ref="E241" si="150">+E242+E245</f>
        <v>0</v>
      </c>
      <c r="F241" s="855">
        <f t="shared" ref="F241:G241" si="151">+F242+F245</f>
        <v>1914309</v>
      </c>
      <c r="G241" s="855">
        <f t="shared" si="151"/>
        <v>17138347</v>
      </c>
      <c r="H241" s="855"/>
      <c r="I241" s="855"/>
      <c r="J241" s="855"/>
      <c r="K241" s="855"/>
      <c r="L241" s="855"/>
      <c r="M241" s="844">
        <f>+M242+M245</f>
        <v>19052656</v>
      </c>
      <c r="N241" s="844">
        <f>+N242+N245</f>
        <v>17138347</v>
      </c>
      <c r="O241" s="3652"/>
      <c r="P241" s="226" t="s">
        <v>418</v>
      </c>
    </row>
    <row r="242" spans="1:17" ht="13.5" customHeight="1">
      <c r="A242" s="3692"/>
      <c r="B242" s="587" t="s">
        <v>24</v>
      </c>
      <c r="C242" s="3694" t="s">
        <v>84</v>
      </c>
      <c r="D242" s="629">
        <f>+D243+D244</f>
        <v>2942898</v>
      </c>
      <c r="E242" s="629">
        <f t="shared" ref="E242" si="152">+E243+E244</f>
        <v>0</v>
      </c>
      <c r="F242" s="629">
        <f>+F243+F244</f>
        <v>293086</v>
      </c>
      <c r="G242" s="629">
        <f>+G243+G244</f>
        <v>2649812</v>
      </c>
      <c r="H242" s="629"/>
      <c r="I242" s="629"/>
      <c r="J242" s="629"/>
      <c r="K242" s="629"/>
      <c r="L242" s="629"/>
      <c r="M242" s="649">
        <f>+M243</f>
        <v>2942898</v>
      </c>
      <c r="N242" s="649">
        <f>+N243</f>
        <v>2649812</v>
      </c>
      <c r="O242" s="3652"/>
      <c r="P242" s="426"/>
    </row>
    <row r="243" spans="1:17" ht="13.5" customHeight="1">
      <c r="A243" s="3692"/>
      <c r="B243" s="642" t="s">
        <v>12</v>
      </c>
      <c r="C243" s="3695"/>
      <c r="D243" s="239">
        <f>E243+F243+G243+H243+I243+J243+K243+L243</f>
        <v>2942898</v>
      </c>
      <c r="E243" s="275">
        <v>0</v>
      </c>
      <c r="F243" s="631">
        <f>824400-289400-195000+49500-96414</f>
        <v>293086</v>
      </c>
      <c r="G243" s="631">
        <f>4671600-1971600+172898-49500+96414-270000</f>
        <v>2649812</v>
      </c>
      <c r="H243" s="631"/>
      <c r="I243" s="631"/>
      <c r="J243" s="631"/>
      <c r="K243" s="631"/>
      <c r="L243" s="631"/>
      <c r="M243" s="862">
        <f>SUM(F243:K243)</f>
        <v>2942898</v>
      </c>
      <c r="N243" s="862">
        <f>SUM(G243:L243)</f>
        <v>2649812</v>
      </c>
      <c r="O243" s="3652"/>
    </row>
    <row r="244" spans="1:17" ht="13.5" hidden="1" customHeight="1">
      <c r="A244" s="3692"/>
      <c r="B244" s="3277" t="s">
        <v>15</v>
      </c>
      <c r="C244" s="3695"/>
      <c r="D244" s="239">
        <f>E244+F244+G244+H244+I244+J244+K244+L244</f>
        <v>0</v>
      </c>
      <c r="E244" s="3287">
        <v>0</v>
      </c>
      <c r="F244" s="880">
        <v>0</v>
      </c>
      <c r="G244" s="880">
        <v>0</v>
      </c>
      <c r="H244" s="880"/>
      <c r="I244" s="880"/>
      <c r="J244" s="880"/>
      <c r="K244" s="880"/>
      <c r="L244" s="880"/>
      <c r="M244" s="862">
        <f>SUM(E244:K244)</f>
        <v>0</v>
      </c>
      <c r="N244" s="862">
        <f>SUM(F244:L244)</f>
        <v>0</v>
      </c>
      <c r="O244" s="3652"/>
    </row>
    <row r="245" spans="1:17" ht="13.5" customHeight="1">
      <c r="A245" s="3692"/>
      <c r="B245" s="864" t="s">
        <v>18</v>
      </c>
      <c r="C245" s="3695"/>
      <c r="D245" s="564">
        <f>+D246</f>
        <v>16109758</v>
      </c>
      <c r="E245" s="564">
        <f t="shared" ref="E245:G245" si="153">+E246</f>
        <v>0</v>
      </c>
      <c r="F245" s="564">
        <f t="shared" si="153"/>
        <v>1621223</v>
      </c>
      <c r="G245" s="564">
        <f t="shared" si="153"/>
        <v>14488535</v>
      </c>
      <c r="H245" s="564"/>
      <c r="I245" s="564"/>
      <c r="J245" s="564"/>
      <c r="K245" s="564"/>
      <c r="L245" s="564"/>
      <c r="M245" s="563">
        <f>+M246</f>
        <v>16109758</v>
      </c>
      <c r="N245" s="563">
        <f>+N246</f>
        <v>14488535</v>
      </c>
      <c r="O245" s="3652"/>
    </row>
    <row r="246" spans="1:17" ht="13.5" customHeight="1">
      <c r="A246" s="3692"/>
      <c r="B246" s="595" t="s">
        <v>21</v>
      </c>
      <c r="C246" s="3696"/>
      <c r="D246" s="239">
        <f>E246+F246+G246+H246+I246+J246+K246+L246</f>
        <v>16109758</v>
      </c>
      <c r="E246" s="275">
        <v>0</v>
      </c>
      <c r="F246" s="631">
        <f>4671600-2206600-1105000+450500-189277</f>
        <v>1621223</v>
      </c>
      <c r="G246" s="631">
        <f>26472400-11172400+979758-450500+189277-1530000</f>
        <v>14488535</v>
      </c>
      <c r="H246" s="631"/>
      <c r="I246" s="631"/>
      <c r="J246" s="631"/>
      <c r="K246" s="631"/>
      <c r="L246" s="631"/>
      <c r="M246" s="862">
        <f>SUM(F246:K246)</f>
        <v>16109758</v>
      </c>
      <c r="N246" s="862">
        <f>SUM(G246:L246)</f>
        <v>14488535</v>
      </c>
      <c r="O246" s="3664"/>
    </row>
    <row r="247" spans="1:17" ht="13.5" thickBot="1">
      <c r="A247" s="3692"/>
      <c r="B247" s="451" t="s">
        <v>22</v>
      </c>
      <c r="C247" s="560"/>
      <c r="D247" s="626">
        <f>+D250+D248</f>
        <v>16109758</v>
      </c>
      <c r="E247" s="626">
        <f t="shared" ref="E247" si="154">+E250+E248</f>
        <v>0</v>
      </c>
      <c r="F247" s="626">
        <f t="shared" ref="F247:G247" si="155">+F250+F248</f>
        <v>1803921</v>
      </c>
      <c r="G247" s="626">
        <f t="shared" si="155"/>
        <v>14305837</v>
      </c>
      <c r="H247" s="626"/>
      <c r="I247" s="626"/>
      <c r="J247" s="626"/>
      <c r="K247" s="626"/>
      <c r="L247" s="626"/>
      <c r="M247" s="3697" t="s">
        <v>23</v>
      </c>
      <c r="N247" s="3697" t="s">
        <v>23</v>
      </c>
      <c r="O247" s="3698" t="s">
        <v>102</v>
      </c>
      <c r="P247" s="426"/>
      <c r="Q247" s="426">
        <v>-1230552</v>
      </c>
    </row>
    <row r="248" spans="1:17" ht="12" hidden="1" customHeight="1">
      <c r="A248" s="3692"/>
      <c r="B248" s="866" t="s">
        <v>24</v>
      </c>
      <c r="C248" s="3646" t="s">
        <v>191</v>
      </c>
      <c r="D248" s="564">
        <f>+D249</f>
        <v>0</v>
      </c>
      <c r="E248" s="564">
        <f t="shared" ref="E248:G248" si="156">+E249</f>
        <v>0</v>
      </c>
      <c r="F248" s="564">
        <f t="shared" si="156"/>
        <v>0</v>
      </c>
      <c r="G248" s="564">
        <f t="shared" si="156"/>
        <v>0</v>
      </c>
      <c r="H248" s="564"/>
      <c r="I248" s="564"/>
      <c r="J248" s="564"/>
      <c r="K248" s="564"/>
      <c r="L248" s="564"/>
      <c r="M248" s="3630"/>
      <c r="N248" s="3630"/>
      <c r="O248" s="3700"/>
    </row>
    <row r="249" spans="1:17" ht="12" hidden="1" customHeight="1">
      <c r="A249" s="3692"/>
      <c r="B249" s="2057" t="s">
        <v>15</v>
      </c>
      <c r="C249" s="3649"/>
      <c r="D249" s="239">
        <f>E249+F249+G249+H249+I249+J249+K249+L249</f>
        <v>0</v>
      </c>
      <c r="E249" s="851"/>
      <c r="F249" s="851"/>
      <c r="G249" s="851"/>
      <c r="H249" s="851"/>
      <c r="I249" s="851"/>
      <c r="J249" s="851"/>
      <c r="K249" s="851"/>
      <c r="L249" s="851"/>
      <c r="M249" s="3630"/>
      <c r="N249" s="3630"/>
      <c r="O249" s="3736"/>
    </row>
    <row r="250" spans="1:17" s="257" customFormat="1" ht="13.5" customHeight="1" thickBot="1">
      <c r="A250" s="3692"/>
      <c r="B250" s="589" t="s">
        <v>18</v>
      </c>
      <c r="C250" s="3649"/>
      <c r="D250" s="780">
        <f>+D251</f>
        <v>16109758</v>
      </c>
      <c r="E250" s="780">
        <f t="shared" ref="E250:G250" si="157">+E251</f>
        <v>0</v>
      </c>
      <c r="F250" s="780">
        <f t="shared" si="157"/>
        <v>1803921</v>
      </c>
      <c r="G250" s="780">
        <f t="shared" si="157"/>
        <v>14305837</v>
      </c>
      <c r="H250" s="780"/>
      <c r="I250" s="780"/>
      <c r="J250" s="780"/>
      <c r="K250" s="780"/>
      <c r="L250" s="780"/>
      <c r="M250" s="3630"/>
      <c r="N250" s="3630"/>
      <c r="O250" s="3736"/>
    </row>
    <row r="251" spans="1:17" s="257" customFormat="1" ht="13.5" thickBot="1">
      <c r="A251" s="3693"/>
      <c r="B251" s="867" t="s">
        <v>21</v>
      </c>
      <c r="C251" s="3701"/>
      <c r="D251" s="239">
        <f>E251+F251+G251+H251+I251+J251+K251+L251</f>
        <v>16109758</v>
      </c>
      <c r="E251" s="275">
        <v>0</v>
      </c>
      <c r="F251" s="446">
        <f>4671600-2206600-1105000+450500-6579</f>
        <v>1803921</v>
      </c>
      <c r="G251" s="446">
        <f>26472400-11172400+979758-450500+6579-1530000</f>
        <v>14305837</v>
      </c>
      <c r="H251" s="446"/>
      <c r="I251" s="446"/>
      <c r="J251" s="446"/>
      <c r="K251" s="446"/>
      <c r="L251" s="446"/>
      <c r="M251" s="3631"/>
      <c r="N251" s="3631"/>
      <c r="O251" s="3736"/>
    </row>
    <row r="252" spans="1:17" s="257" customFormat="1" ht="24.75" customHeight="1" thickBot="1">
      <c r="A252" s="3691" t="s">
        <v>91</v>
      </c>
      <c r="B252" s="402" t="s">
        <v>557</v>
      </c>
      <c r="C252" s="56" t="s">
        <v>81</v>
      </c>
      <c r="D252" s="3193"/>
      <c r="E252" s="3161"/>
      <c r="F252" s="3161"/>
      <c r="G252" s="3161"/>
      <c r="H252" s="3161"/>
      <c r="I252" s="3161"/>
      <c r="J252" s="3161"/>
      <c r="K252" s="3161"/>
      <c r="L252" s="41"/>
      <c r="M252" s="43"/>
      <c r="N252" s="43"/>
      <c r="O252" s="3690" t="s">
        <v>86</v>
      </c>
    </row>
    <row r="253" spans="1:17" s="257" customFormat="1" ht="13.5" thickBot="1">
      <c r="A253" s="3692"/>
      <c r="B253" s="451" t="s">
        <v>10</v>
      </c>
      <c r="C253" s="3278"/>
      <c r="D253" s="1515">
        <f>+D254+D257</f>
        <v>100250000</v>
      </c>
      <c r="E253" s="1515">
        <f t="shared" ref="E253:I253" si="158">+E254+E257</f>
        <v>0</v>
      </c>
      <c r="F253" s="1515">
        <f t="shared" si="158"/>
        <v>500918</v>
      </c>
      <c r="G253" s="1515">
        <f t="shared" si="158"/>
        <v>1000000</v>
      </c>
      <c r="H253" s="1515">
        <f t="shared" si="158"/>
        <v>45550000</v>
      </c>
      <c r="I253" s="1515">
        <f t="shared" si="158"/>
        <v>53199082</v>
      </c>
      <c r="J253" s="1515"/>
      <c r="K253" s="1515"/>
      <c r="L253" s="1515"/>
      <c r="M253" s="1533">
        <f>+M254+M257</f>
        <v>100250000</v>
      </c>
      <c r="N253" s="1533">
        <f>+N254+N257</f>
        <v>99749082</v>
      </c>
      <c r="O253" s="3690"/>
    </row>
    <row r="254" spans="1:17" s="257" customFormat="1" ht="13.5" thickBot="1">
      <c r="A254" s="3692"/>
      <c r="B254" s="587" t="s">
        <v>24</v>
      </c>
      <c r="C254" s="3806" t="s">
        <v>84</v>
      </c>
      <c r="D254" s="1516">
        <f>+D255+D256</f>
        <v>15132500</v>
      </c>
      <c r="E254" s="1516">
        <f t="shared" ref="E254" si="159">+E255+E256</f>
        <v>0</v>
      </c>
      <c r="F254" s="1516">
        <f>+F255+F256</f>
        <v>75138</v>
      </c>
      <c r="G254" s="1516">
        <f>+G255+G256</f>
        <v>245000</v>
      </c>
      <c r="H254" s="1516">
        <f>+H255+H256</f>
        <v>6832500</v>
      </c>
      <c r="I254" s="1516">
        <f>+I255+I256</f>
        <v>7979862</v>
      </c>
      <c r="J254" s="1516"/>
      <c r="K254" s="1516"/>
      <c r="L254" s="1516"/>
      <c r="M254" s="1517">
        <f>+M255</f>
        <v>15132500</v>
      </c>
      <c r="N254" s="1517">
        <f>+N255</f>
        <v>15057362</v>
      </c>
      <c r="O254" s="3690"/>
    </row>
    <row r="255" spans="1:17" s="257" customFormat="1" ht="13.5" thickBot="1">
      <c r="A255" s="3692"/>
      <c r="B255" s="642" t="s">
        <v>12</v>
      </c>
      <c r="C255" s="3695"/>
      <c r="D255" s="1406">
        <f>E255+F255+G255+H255+I255+J255+K255+L255</f>
        <v>15132500</v>
      </c>
      <c r="E255" s="1453">
        <v>0</v>
      </c>
      <c r="F255" s="1492">
        <f>88875-13737</f>
        <v>75138</v>
      </c>
      <c r="G255" s="1492">
        <f>7426660+13737-7195397</f>
        <v>245000</v>
      </c>
      <c r="H255" s="1492">
        <f>4654440+2178060</f>
        <v>6832500</v>
      </c>
      <c r="I255" s="1492">
        <v>7979862</v>
      </c>
      <c r="J255" s="1492"/>
      <c r="K255" s="1492"/>
      <c r="L255" s="1492"/>
      <c r="M255" s="1493">
        <f>SUM(F255:K255)</f>
        <v>15132500</v>
      </c>
      <c r="N255" s="1493">
        <f>SUM(G255:L255)</f>
        <v>15057362</v>
      </c>
      <c r="O255" s="3690"/>
    </row>
    <row r="256" spans="1:17" s="257" customFormat="1" ht="13.5" hidden="1" thickBot="1">
      <c r="A256" s="3692"/>
      <c r="B256" s="3277" t="s">
        <v>15</v>
      </c>
      <c r="C256" s="3695"/>
      <c r="D256" s="1406">
        <f>E256+F256+G256+H256+I256+J256+K256+L256</f>
        <v>0</v>
      </c>
      <c r="E256" s="3288">
        <v>0</v>
      </c>
      <c r="F256" s="880">
        <v>0</v>
      </c>
      <c r="G256" s="880">
        <v>0</v>
      </c>
      <c r="H256" s="880"/>
      <c r="I256" s="880"/>
      <c r="J256" s="880"/>
      <c r="K256" s="880"/>
      <c r="L256" s="880"/>
      <c r="M256" s="1493">
        <f>SUM(E256:K256)</f>
        <v>0</v>
      </c>
      <c r="N256" s="1493">
        <f>SUM(F256:L256)</f>
        <v>0</v>
      </c>
      <c r="O256" s="3690"/>
    </row>
    <row r="257" spans="1:15" s="257" customFormat="1" ht="13.5" thickBot="1">
      <c r="A257" s="3692"/>
      <c r="B257" s="864" t="s">
        <v>18</v>
      </c>
      <c r="C257" s="3695"/>
      <c r="D257" s="1479">
        <f>+D258</f>
        <v>85117500</v>
      </c>
      <c r="E257" s="1479">
        <f t="shared" ref="E257:I257" si="160">+E258</f>
        <v>0</v>
      </c>
      <c r="F257" s="1479">
        <f t="shared" si="160"/>
        <v>425780</v>
      </c>
      <c r="G257" s="1479">
        <f t="shared" si="160"/>
        <v>755000</v>
      </c>
      <c r="H257" s="1479">
        <f t="shared" si="160"/>
        <v>38717500</v>
      </c>
      <c r="I257" s="1479">
        <f t="shared" si="160"/>
        <v>45219220</v>
      </c>
      <c r="J257" s="1479"/>
      <c r="K257" s="1479"/>
      <c r="L257" s="1479"/>
      <c r="M257" s="1480">
        <f>+M258</f>
        <v>85117500</v>
      </c>
      <c r="N257" s="1480">
        <f>+N258</f>
        <v>84691720</v>
      </c>
      <c r="O257" s="3690"/>
    </row>
    <row r="258" spans="1:15" s="257" customFormat="1" ht="13.5" thickBot="1">
      <c r="A258" s="3692"/>
      <c r="B258" s="3289" t="s">
        <v>21</v>
      </c>
      <c r="C258" s="3696"/>
      <c r="D258" s="1406">
        <f>E258+F258+G258+H258+I258+J258+K258+L258</f>
        <v>85117500</v>
      </c>
      <c r="E258" s="1453">
        <v>0</v>
      </c>
      <c r="F258" s="1492">
        <f>503625-77845</f>
        <v>425780</v>
      </c>
      <c r="G258" s="1492">
        <f>41517740+77845-40840585</f>
        <v>755000</v>
      </c>
      <c r="H258" s="1492">
        <f>26375160+12342340</f>
        <v>38717500</v>
      </c>
      <c r="I258" s="1492">
        <v>45219220</v>
      </c>
      <c r="J258" s="1492"/>
      <c r="K258" s="1492"/>
      <c r="L258" s="1492"/>
      <c r="M258" s="1493">
        <f>SUM(F258:K258)</f>
        <v>85117500</v>
      </c>
      <c r="N258" s="1493">
        <f>SUM(G258:L258)</f>
        <v>84691720</v>
      </c>
      <c r="O258" s="3690"/>
    </row>
    <row r="259" spans="1:15" s="257" customFormat="1" ht="13.5" thickBot="1">
      <c r="A259" s="3692"/>
      <c r="B259" s="451" t="s">
        <v>22</v>
      </c>
      <c r="C259" s="560"/>
      <c r="D259" s="1476">
        <f>+D262+D260</f>
        <v>85117500</v>
      </c>
      <c r="E259" s="1476">
        <f t="shared" ref="E259:I259" si="161">+E262+E260</f>
        <v>0</v>
      </c>
      <c r="F259" s="1476">
        <f t="shared" si="161"/>
        <v>0</v>
      </c>
      <c r="G259" s="1476">
        <f t="shared" si="161"/>
        <v>1180780</v>
      </c>
      <c r="H259" s="1476">
        <f t="shared" si="161"/>
        <v>38717500</v>
      </c>
      <c r="I259" s="1476">
        <f t="shared" si="161"/>
        <v>45219220</v>
      </c>
      <c r="J259" s="1476"/>
      <c r="K259" s="1476"/>
      <c r="L259" s="1476"/>
      <c r="M259" s="3755" t="s">
        <v>23</v>
      </c>
      <c r="N259" s="3755" t="s">
        <v>23</v>
      </c>
      <c r="O259" s="3736" t="s">
        <v>102</v>
      </c>
    </row>
    <row r="260" spans="1:15" s="257" customFormat="1" ht="13.5" hidden="1" thickBot="1">
      <c r="A260" s="3692"/>
      <c r="B260" s="1483" t="s">
        <v>24</v>
      </c>
      <c r="C260" s="3655" t="s">
        <v>191</v>
      </c>
      <c r="D260" s="1479">
        <f>+D261</f>
        <v>0</v>
      </c>
      <c r="E260" s="1479">
        <f t="shared" ref="E260:G260" si="162">+E261</f>
        <v>0</v>
      </c>
      <c r="F260" s="1479">
        <f t="shared" si="162"/>
        <v>0</v>
      </c>
      <c r="G260" s="1479">
        <f t="shared" si="162"/>
        <v>0</v>
      </c>
      <c r="H260" s="1479"/>
      <c r="I260" s="1479"/>
      <c r="J260" s="1479"/>
      <c r="K260" s="1479"/>
      <c r="L260" s="1479"/>
      <c r="M260" s="3630"/>
      <c r="N260" s="3630"/>
      <c r="O260" s="3736"/>
    </row>
    <row r="261" spans="1:15" s="257" customFormat="1" ht="13.5" hidden="1" thickBot="1">
      <c r="A261" s="3692"/>
      <c r="B261" s="1506" t="s">
        <v>15</v>
      </c>
      <c r="C261" s="3649"/>
      <c r="D261" s="1406">
        <f>E261+F261+G261+H261+I261+J261+K261+L261</f>
        <v>0</v>
      </c>
      <c r="E261" s="1496"/>
      <c r="F261" s="1496"/>
      <c r="G261" s="1496"/>
      <c r="H261" s="1496"/>
      <c r="I261" s="1496"/>
      <c r="J261" s="1496"/>
      <c r="K261" s="1496"/>
      <c r="L261" s="1496"/>
      <c r="M261" s="3630"/>
      <c r="N261" s="3630"/>
      <c r="O261" s="3736"/>
    </row>
    <row r="262" spans="1:15" s="257" customFormat="1">
      <c r="A262" s="3692"/>
      <c r="B262" s="589" t="s">
        <v>18</v>
      </c>
      <c r="C262" s="3649"/>
      <c r="D262" s="1497">
        <f>+D263</f>
        <v>85117500</v>
      </c>
      <c r="E262" s="1497">
        <f t="shared" ref="E262:I262" si="163">+E263</f>
        <v>0</v>
      </c>
      <c r="F262" s="1497">
        <f t="shared" si="163"/>
        <v>0</v>
      </c>
      <c r="G262" s="1497">
        <f t="shared" si="163"/>
        <v>1180780</v>
      </c>
      <c r="H262" s="1497">
        <f t="shared" si="163"/>
        <v>38717500</v>
      </c>
      <c r="I262" s="1497">
        <f t="shared" si="163"/>
        <v>45219220</v>
      </c>
      <c r="J262" s="1497"/>
      <c r="K262" s="1497"/>
      <c r="L262" s="1497"/>
      <c r="M262" s="3630"/>
      <c r="N262" s="3630"/>
      <c r="O262" s="3711"/>
    </row>
    <row r="263" spans="1:15" s="257" customFormat="1" ht="13.5" thickBot="1">
      <c r="A263" s="3693"/>
      <c r="B263" s="867" t="s">
        <v>21</v>
      </c>
      <c r="C263" s="3701"/>
      <c r="D263" s="1578">
        <f>E263+F263+G263+H263+I263+J263+K263+L263</f>
        <v>85117500</v>
      </c>
      <c r="E263" s="1578">
        <v>0</v>
      </c>
      <c r="F263" s="446"/>
      <c r="G263" s="446">
        <f>38021365-36840585</f>
        <v>1180780</v>
      </c>
      <c r="H263" s="446">
        <f>30375160+8342340</f>
        <v>38717500</v>
      </c>
      <c r="I263" s="446">
        <v>45219220</v>
      </c>
      <c r="J263" s="446"/>
      <c r="K263" s="446"/>
      <c r="L263" s="446"/>
      <c r="M263" s="3631"/>
      <c r="N263" s="3631"/>
      <c r="O263" s="3700"/>
    </row>
    <row r="264" spans="1:15" s="257" customFormat="1" ht="36">
      <c r="A264" s="3691" t="s">
        <v>92</v>
      </c>
      <c r="B264" s="402" t="s">
        <v>469</v>
      </c>
      <c r="C264" s="56" t="s">
        <v>81</v>
      </c>
      <c r="D264" s="3193"/>
      <c r="E264" s="3161"/>
      <c r="F264" s="3161"/>
      <c r="G264" s="3161"/>
      <c r="H264" s="3161"/>
      <c r="I264" s="3161"/>
      <c r="J264" s="3161"/>
      <c r="K264" s="3161"/>
      <c r="L264" s="41"/>
      <c r="M264" s="43"/>
      <c r="N264" s="43"/>
      <c r="O264" s="3651" t="s">
        <v>86</v>
      </c>
    </row>
    <row r="265" spans="1:15" s="257" customFormat="1">
      <c r="A265" s="3692"/>
      <c r="B265" s="2422" t="s">
        <v>10</v>
      </c>
      <c r="C265" s="3278"/>
      <c r="D265" s="855">
        <f>+D266+D269</f>
        <v>40700000</v>
      </c>
      <c r="E265" s="855">
        <f t="shared" ref="E265:I265" si="164">+E266+E269</f>
        <v>874393</v>
      </c>
      <c r="F265" s="855">
        <f t="shared" si="164"/>
        <v>488999</v>
      </c>
      <c r="G265" s="855">
        <f t="shared" si="164"/>
        <v>2280014</v>
      </c>
      <c r="H265" s="855">
        <f t="shared" si="164"/>
        <v>26500000</v>
      </c>
      <c r="I265" s="855">
        <f t="shared" si="164"/>
        <v>10556594</v>
      </c>
      <c r="J265" s="855"/>
      <c r="K265" s="855"/>
      <c r="L265" s="855"/>
      <c r="M265" s="2043">
        <f>+M266+M269</f>
        <v>39825607</v>
      </c>
      <c r="N265" s="2043">
        <f>+N266+N269</f>
        <v>39336608</v>
      </c>
      <c r="O265" s="3652"/>
    </row>
    <row r="266" spans="1:15" s="257" customFormat="1">
      <c r="A266" s="3692"/>
      <c r="B266" s="3279" t="s">
        <v>24</v>
      </c>
      <c r="C266" s="3694" t="s">
        <v>84</v>
      </c>
      <c r="D266" s="629">
        <f>+D267+D268</f>
        <v>6275000</v>
      </c>
      <c r="E266" s="629">
        <f t="shared" ref="E266" si="165">+E267+E268</f>
        <v>144271</v>
      </c>
      <c r="F266" s="629">
        <f>+F267+F268</f>
        <v>77226</v>
      </c>
      <c r="G266" s="629">
        <f>+G267+G268</f>
        <v>495014</v>
      </c>
      <c r="H266" s="629">
        <f>+H267+H268</f>
        <v>3975000</v>
      </c>
      <c r="I266" s="629">
        <f>+I267+I268</f>
        <v>1583489</v>
      </c>
      <c r="J266" s="629"/>
      <c r="K266" s="629"/>
      <c r="L266" s="629"/>
      <c r="M266" s="649">
        <f>+M267</f>
        <v>6130729</v>
      </c>
      <c r="N266" s="649">
        <f>+N267</f>
        <v>6053503</v>
      </c>
      <c r="O266" s="3652"/>
    </row>
    <row r="267" spans="1:15" s="257" customFormat="1">
      <c r="A267" s="3692"/>
      <c r="B267" s="3280" t="s">
        <v>12</v>
      </c>
      <c r="C267" s="3695"/>
      <c r="D267" s="839">
        <f>E267+F267+G267+H267+I267+J267+K267+L267</f>
        <v>6275000</v>
      </c>
      <c r="E267" s="854">
        <v>144271</v>
      </c>
      <c r="F267" s="631">
        <v>77226</v>
      </c>
      <c r="G267" s="631">
        <v>495014</v>
      </c>
      <c r="H267" s="631">
        <f>3300000+675000</f>
        <v>3975000</v>
      </c>
      <c r="I267" s="631">
        <v>1583489</v>
      </c>
      <c r="J267" s="631"/>
      <c r="K267" s="631"/>
      <c r="L267" s="631"/>
      <c r="M267" s="862">
        <f>SUM(F267:K267)</f>
        <v>6130729</v>
      </c>
      <c r="N267" s="862">
        <f>SUM(G267:L267)</f>
        <v>6053503</v>
      </c>
      <c r="O267" s="3652"/>
    </row>
    <row r="268" spans="1:15" s="257" customFormat="1" hidden="1">
      <c r="A268" s="3692"/>
      <c r="B268" s="3277" t="s">
        <v>15</v>
      </c>
      <c r="C268" s="3695"/>
      <c r="D268" s="839">
        <f>E268+F268+G268+H268+I268+J268+K268+L268</f>
        <v>0</v>
      </c>
      <c r="E268" s="3284">
        <v>0</v>
      </c>
      <c r="F268" s="880">
        <v>0</v>
      </c>
      <c r="G268" s="880">
        <v>0</v>
      </c>
      <c r="H268" s="880"/>
      <c r="I268" s="880"/>
      <c r="J268" s="880"/>
      <c r="K268" s="880"/>
      <c r="L268" s="880"/>
      <c r="M268" s="862">
        <f>SUM(E268:K268)</f>
        <v>0</v>
      </c>
      <c r="N268" s="862">
        <f>SUM(F268:L268)</f>
        <v>0</v>
      </c>
      <c r="O268" s="3652"/>
    </row>
    <row r="269" spans="1:15" s="257" customFormat="1">
      <c r="A269" s="3692"/>
      <c r="B269" s="2480" t="s">
        <v>18</v>
      </c>
      <c r="C269" s="3695"/>
      <c r="D269" s="564">
        <f>+D270</f>
        <v>34425000</v>
      </c>
      <c r="E269" s="564">
        <f t="shared" ref="E269:I269" si="166">+E270</f>
        <v>730122</v>
      </c>
      <c r="F269" s="564">
        <f t="shared" si="166"/>
        <v>411773</v>
      </c>
      <c r="G269" s="564">
        <f t="shared" si="166"/>
        <v>1785000</v>
      </c>
      <c r="H269" s="564">
        <f t="shared" si="166"/>
        <v>22525000</v>
      </c>
      <c r="I269" s="564">
        <f t="shared" si="166"/>
        <v>8973105</v>
      </c>
      <c r="J269" s="564"/>
      <c r="K269" s="564"/>
      <c r="L269" s="564"/>
      <c r="M269" s="563">
        <f>+M270</f>
        <v>33694878</v>
      </c>
      <c r="N269" s="563">
        <f>+N270</f>
        <v>33283105</v>
      </c>
      <c r="O269" s="3652"/>
    </row>
    <row r="270" spans="1:15" s="257" customFormat="1">
      <c r="A270" s="3692"/>
      <c r="B270" s="595" t="s">
        <v>21</v>
      </c>
      <c r="C270" s="3696"/>
      <c r="D270" s="839">
        <f>E270+F270+G270+H270+I270+J270+K270+L270</f>
        <v>34425000</v>
      </c>
      <c r="E270" s="854">
        <v>730122</v>
      </c>
      <c r="F270" s="631">
        <v>411773</v>
      </c>
      <c r="G270" s="631">
        <v>1785000</v>
      </c>
      <c r="H270" s="631">
        <f>18700000+3825000</f>
        <v>22525000</v>
      </c>
      <c r="I270" s="631">
        <v>8973105</v>
      </c>
      <c r="J270" s="631"/>
      <c r="K270" s="631"/>
      <c r="L270" s="631"/>
      <c r="M270" s="862">
        <f>SUM(F270:K270)</f>
        <v>33694878</v>
      </c>
      <c r="N270" s="862">
        <f>SUM(G270:L270)</f>
        <v>33283105</v>
      </c>
      <c r="O270" s="3664"/>
    </row>
    <row r="271" spans="1:15" s="257" customFormat="1">
      <c r="A271" s="3692"/>
      <c r="B271" s="2422" t="s">
        <v>22</v>
      </c>
      <c r="C271" s="560"/>
      <c r="D271" s="626">
        <f>+D274+D272</f>
        <v>34425000</v>
      </c>
      <c r="E271" s="626">
        <f t="shared" ref="E271:I271" si="167">+E274+E272</f>
        <v>0</v>
      </c>
      <c r="F271" s="626">
        <f t="shared" si="167"/>
        <v>0</v>
      </c>
      <c r="G271" s="626">
        <f t="shared" si="167"/>
        <v>0</v>
      </c>
      <c r="H271" s="626">
        <f t="shared" si="167"/>
        <v>25451895</v>
      </c>
      <c r="I271" s="626">
        <f t="shared" si="167"/>
        <v>8973105</v>
      </c>
      <c r="J271" s="626"/>
      <c r="K271" s="626"/>
      <c r="L271" s="626"/>
      <c r="M271" s="3697" t="s">
        <v>23</v>
      </c>
      <c r="N271" s="3697" t="s">
        <v>23</v>
      </c>
      <c r="O271" s="3698" t="s">
        <v>102</v>
      </c>
    </row>
    <row r="272" spans="1:15" s="257" customFormat="1" hidden="1">
      <c r="A272" s="3692"/>
      <c r="B272" s="866" t="s">
        <v>24</v>
      </c>
      <c r="C272" s="3646" t="s">
        <v>191</v>
      </c>
      <c r="D272" s="564">
        <f>+D273</f>
        <v>0</v>
      </c>
      <c r="E272" s="564">
        <f t="shared" ref="E272:G272" si="168">+E273</f>
        <v>0</v>
      </c>
      <c r="F272" s="564">
        <f t="shared" si="168"/>
        <v>0</v>
      </c>
      <c r="G272" s="564">
        <f t="shared" si="168"/>
        <v>0</v>
      </c>
      <c r="H272" s="564"/>
      <c r="I272" s="564"/>
      <c r="J272" s="564"/>
      <c r="K272" s="564"/>
      <c r="L272" s="564"/>
      <c r="M272" s="3630"/>
      <c r="N272" s="3630"/>
      <c r="O272" s="3699"/>
    </row>
    <row r="273" spans="1:16" s="257" customFormat="1" hidden="1">
      <c r="A273" s="3692"/>
      <c r="B273" s="2057" t="s">
        <v>15</v>
      </c>
      <c r="C273" s="3649"/>
      <c r="D273" s="839">
        <f>E273+F273+G273+H273+I273+J273+K273+L273</f>
        <v>0</v>
      </c>
      <c r="E273" s="2044"/>
      <c r="F273" s="2044"/>
      <c r="G273" s="2044"/>
      <c r="H273" s="2044"/>
      <c r="I273" s="2044"/>
      <c r="J273" s="2044"/>
      <c r="K273" s="2044"/>
      <c r="L273" s="2044"/>
      <c r="M273" s="3630"/>
      <c r="N273" s="3630"/>
      <c r="O273" s="3699"/>
    </row>
    <row r="274" spans="1:16" s="257" customFormat="1">
      <c r="A274" s="3692"/>
      <c r="B274" s="3282" t="s">
        <v>18</v>
      </c>
      <c r="C274" s="3649"/>
      <c r="D274" s="780">
        <f>+D275</f>
        <v>34425000</v>
      </c>
      <c r="E274" s="780">
        <f t="shared" ref="E274:I274" si="169">+E275</f>
        <v>0</v>
      </c>
      <c r="F274" s="780">
        <f t="shared" si="169"/>
        <v>0</v>
      </c>
      <c r="G274" s="780">
        <f t="shared" si="169"/>
        <v>0</v>
      </c>
      <c r="H274" s="780">
        <f t="shared" si="169"/>
        <v>25451895</v>
      </c>
      <c r="I274" s="780">
        <f t="shared" si="169"/>
        <v>8973105</v>
      </c>
      <c r="J274" s="780"/>
      <c r="K274" s="780"/>
      <c r="L274" s="780"/>
      <c r="M274" s="3630"/>
      <c r="N274" s="3630"/>
      <c r="O274" s="3699"/>
    </row>
    <row r="275" spans="1:16" s="257" customFormat="1" ht="13.5" thickBot="1">
      <c r="A275" s="3693"/>
      <c r="B275" s="867" t="s">
        <v>21</v>
      </c>
      <c r="C275" s="3701"/>
      <c r="D275" s="2283">
        <f>E275+F275+G275+H275+I275+J275+K275+L275</f>
        <v>34425000</v>
      </c>
      <c r="E275" s="2283">
        <v>0</v>
      </c>
      <c r="F275" s="2283">
        <v>0</v>
      </c>
      <c r="G275" s="446">
        <f>1785000+1141895-2926895</f>
        <v>0</v>
      </c>
      <c r="H275" s="446">
        <f>18700000+3825000+2926895</f>
        <v>25451895</v>
      </c>
      <c r="I275" s="446">
        <v>8973105</v>
      </c>
      <c r="J275" s="446"/>
      <c r="K275" s="446"/>
      <c r="L275" s="446"/>
      <c r="M275" s="3631"/>
      <c r="N275" s="3631"/>
      <c r="O275" s="3700"/>
    </row>
    <row r="276" spans="1:16" s="257" customFormat="1" ht="24">
      <c r="A276" s="3691" t="s">
        <v>93</v>
      </c>
      <c r="B276" s="402" t="s">
        <v>464</v>
      </c>
      <c r="C276" s="56" t="s">
        <v>81</v>
      </c>
      <c r="D276" s="3193"/>
      <c r="E276" s="3161"/>
      <c r="F276" s="3161"/>
      <c r="G276" s="3161"/>
      <c r="H276" s="3161"/>
      <c r="I276" s="3161"/>
      <c r="J276" s="3161"/>
      <c r="K276" s="3161"/>
      <c r="L276" s="41"/>
      <c r="M276" s="43"/>
      <c r="N276" s="43"/>
      <c r="O276" s="3651" t="s">
        <v>86</v>
      </c>
    </row>
    <row r="277" spans="1:16" s="257" customFormat="1">
      <c r="A277" s="3692"/>
      <c r="B277" s="451" t="s">
        <v>10</v>
      </c>
      <c r="C277" s="3278"/>
      <c r="D277" s="1515">
        <f>+D278+D281</f>
        <v>17800000</v>
      </c>
      <c r="E277" s="1515">
        <f t="shared" ref="E277:H277" si="170">+E278+E281</f>
        <v>0</v>
      </c>
      <c r="F277" s="1515">
        <f t="shared" si="170"/>
        <v>0</v>
      </c>
      <c r="G277" s="1515">
        <f t="shared" si="170"/>
        <v>2290650</v>
      </c>
      <c r="H277" s="1515">
        <f t="shared" si="170"/>
        <v>15509350</v>
      </c>
      <c r="I277" s="1515"/>
      <c r="J277" s="1515"/>
      <c r="K277" s="1515"/>
      <c r="L277" s="1515"/>
      <c r="M277" s="1533">
        <f>+M278+M281</f>
        <v>17800000</v>
      </c>
      <c r="N277" s="1533">
        <f>+N278+N281</f>
        <v>17800000</v>
      </c>
      <c r="O277" s="3652"/>
    </row>
    <row r="278" spans="1:16" s="257" customFormat="1">
      <c r="A278" s="3692"/>
      <c r="B278" s="587" t="s">
        <v>24</v>
      </c>
      <c r="C278" s="3806" t="s">
        <v>84</v>
      </c>
      <c r="D278" s="1516">
        <f>+D279+D280</f>
        <v>2755000</v>
      </c>
      <c r="E278" s="1516">
        <f t="shared" ref="E278" si="171">+E279+E280</f>
        <v>0</v>
      </c>
      <c r="F278" s="1516">
        <f>+F279+F280</f>
        <v>0</v>
      </c>
      <c r="G278" s="1516">
        <f>+G279+G280</f>
        <v>428598</v>
      </c>
      <c r="H278" s="1516">
        <f>+H279+H280</f>
        <v>2326402</v>
      </c>
      <c r="I278" s="1516"/>
      <c r="J278" s="1516"/>
      <c r="K278" s="1516"/>
      <c r="L278" s="1516"/>
      <c r="M278" s="1517">
        <f>+M279</f>
        <v>2755000</v>
      </c>
      <c r="N278" s="1517">
        <f>+N279</f>
        <v>2755000</v>
      </c>
      <c r="O278" s="3652"/>
    </row>
    <row r="279" spans="1:16" s="257" customFormat="1">
      <c r="A279" s="3692"/>
      <c r="B279" s="642" t="s">
        <v>12</v>
      </c>
      <c r="C279" s="3695"/>
      <c r="D279" s="1406">
        <f>E279+F279+G279+H279+I279+J279+K279+L279</f>
        <v>2755000</v>
      </c>
      <c r="E279" s="1453"/>
      <c r="F279" s="1492"/>
      <c r="G279" s="1492">
        <v>428598</v>
      </c>
      <c r="H279" s="1492">
        <v>2326402</v>
      </c>
      <c r="I279" s="1492"/>
      <c r="J279" s="1492"/>
      <c r="K279" s="1492"/>
      <c r="L279" s="1492"/>
      <c r="M279" s="1493">
        <f>SUM(F279:K279)</f>
        <v>2755000</v>
      </c>
      <c r="N279" s="1493">
        <f>SUM(G279:L279)</f>
        <v>2755000</v>
      </c>
      <c r="O279" s="3652"/>
    </row>
    <row r="280" spans="1:16" s="257" customFormat="1" hidden="1">
      <c r="A280" s="3692"/>
      <c r="B280" s="3277" t="s">
        <v>15</v>
      </c>
      <c r="C280" s="3695"/>
      <c r="D280" s="1406">
        <f>E280+F280+G280+H280+I280+J280+K280+L280</f>
        <v>0</v>
      </c>
      <c r="E280" s="3288">
        <v>0</v>
      </c>
      <c r="F280" s="880">
        <v>0</v>
      </c>
      <c r="G280" s="880">
        <v>0</v>
      </c>
      <c r="H280" s="880"/>
      <c r="I280" s="880"/>
      <c r="J280" s="880"/>
      <c r="K280" s="880"/>
      <c r="L280" s="880"/>
      <c r="M280" s="1493">
        <f>SUM(E280:K280)</f>
        <v>0</v>
      </c>
      <c r="N280" s="1493">
        <f>SUM(F280:L280)</f>
        <v>0</v>
      </c>
      <c r="O280" s="3652"/>
    </row>
    <row r="281" spans="1:16" s="257" customFormat="1">
      <c r="A281" s="3692"/>
      <c r="B281" s="864" t="s">
        <v>18</v>
      </c>
      <c r="C281" s="3695"/>
      <c r="D281" s="1479">
        <f>+D282</f>
        <v>15045000</v>
      </c>
      <c r="E281" s="1479">
        <f t="shared" ref="E281:H281" si="172">+E282</f>
        <v>0</v>
      </c>
      <c r="F281" s="1479">
        <f t="shared" si="172"/>
        <v>0</v>
      </c>
      <c r="G281" s="1479">
        <f t="shared" si="172"/>
        <v>1862052</v>
      </c>
      <c r="H281" s="1479">
        <f t="shared" si="172"/>
        <v>13182948</v>
      </c>
      <c r="I281" s="1479"/>
      <c r="J281" s="1479"/>
      <c r="K281" s="1479"/>
      <c r="L281" s="1479"/>
      <c r="M281" s="1480">
        <f>+M282</f>
        <v>15045000</v>
      </c>
      <c r="N281" s="1480">
        <f>+N282</f>
        <v>15045000</v>
      </c>
      <c r="O281" s="3652"/>
    </row>
    <row r="282" spans="1:16" s="257" customFormat="1">
      <c r="A282" s="3692"/>
      <c r="B282" s="3289" t="s">
        <v>21</v>
      </c>
      <c r="C282" s="3696"/>
      <c r="D282" s="1406">
        <f>E282+F282+G282+H282+I282+J282+K282+L282</f>
        <v>15045000</v>
      </c>
      <c r="E282" s="1453"/>
      <c r="F282" s="1492"/>
      <c r="G282" s="1492">
        <v>1862052</v>
      </c>
      <c r="H282" s="1492">
        <v>13182948</v>
      </c>
      <c r="I282" s="1492"/>
      <c r="J282" s="1492"/>
      <c r="K282" s="1492"/>
      <c r="L282" s="1492"/>
      <c r="M282" s="1493">
        <f>SUM(F282:K282)</f>
        <v>15045000</v>
      </c>
      <c r="N282" s="1493">
        <f>SUM(G282:L282)</f>
        <v>15045000</v>
      </c>
      <c r="O282" s="3664"/>
    </row>
    <row r="283" spans="1:16" s="257" customFormat="1">
      <c r="A283" s="3692"/>
      <c r="B283" s="451" t="s">
        <v>22</v>
      </c>
      <c r="C283" s="560"/>
      <c r="D283" s="1476">
        <f>+D286+D284</f>
        <v>15045000</v>
      </c>
      <c r="E283" s="1476">
        <f t="shared" ref="E283:H283" si="173">+E286+E284</f>
        <v>0</v>
      </c>
      <c r="F283" s="1476">
        <f t="shared" si="173"/>
        <v>0</v>
      </c>
      <c r="G283" s="1476">
        <f t="shared" si="173"/>
        <v>0</v>
      </c>
      <c r="H283" s="1476">
        <f t="shared" si="173"/>
        <v>15045000</v>
      </c>
      <c r="I283" s="1476"/>
      <c r="J283" s="1476"/>
      <c r="K283" s="1476"/>
      <c r="L283" s="1476"/>
      <c r="M283" s="3755" t="s">
        <v>23</v>
      </c>
      <c r="N283" s="3755" t="s">
        <v>23</v>
      </c>
      <c r="O283" s="3713" t="s">
        <v>102</v>
      </c>
    </row>
    <row r="284" spans="1:16" s="257" customFormat="1" hidden="1">
      <c r="A284" s="3692"/>
      <c r="B284" s="1483" t="s">
        <v>24</v>
      </c>
      <c r="C284" s="3655" t="s">
        <v>191</v>
      </c>
      <c r="D284" s="1479">
        <f>+D285</f>
        <v>0</v>
      </c>
      <c r="E284" s="1479">
        <f t="shared" ref="E284:H284" si="174">+E285</f>
        <v>0</v>
      </c>
      <c r="F284" s="1479">
        <f t="shared" si="174"/>
        <v>0</v>
      </c>
      <c r="G284" s="1479">
        <f t="shared" si="174"/>
        <v>0</v>
      </c>
      <c r="H284" s="1479">
        <f t="shared" si="174"/>
        <v>0</v>
      </c>
      <c r="I284" s="1479"/>
      <c r="J284" s="1479"/>
      <c r="K284" s="1479"/>
      <c r="L284" s="1479"/>
      <c r="M284" s="3630"/>
      <c r="N284" s="3630"/>
      <c r="O284" s="3699"/>
    </row>
    <row r="285" spans="1:16" s="257" customFormat="1" hidden="1">
      <c r="A285" s="3692"/>
      <c r="B285" s="1506" t="s">
        <v>15</v>
      </c>
      <c r="C285" s="3649"/>
      <c r="D285" s="1406">
        <f>E285+F285+G285+H285+I285+J285+K285+L285</f>
        <v>0</v>
      </c>
      <c r="E285" s="1496"/>
      <c r="F285" s="1496"/>
      <c r="G285" s="1496"/>
      <c r="H285" s="1496"/>
      <c r="I285" s="1496"/>
      <c r="J285" s="1496"/>
      <c r="K285" s="1496"/>
      <c r="L285" s="1496"/>
      <c r="M285" s="3630"/>
      <c r="N285" s="3630"/>
      <c r="O285" s="3699"/>
    </row>
    <row r="286" spans="1:16" s="257" customFormat="1">
      <c r="A286" s="3692"/>
      <c r="B286" s="589" t="s">
        <v>18</v>
      </c>
      <c r="C286" s="3649"/>
      <c r="D286" s="1497">
        <f>+D287</f>
        <v>15045000</v>
      </c>
      <c r="E286" s="1497">
        <f t="shared" ref="E286:H286" si="175">+E287</f>
        <v>0</v>
      </c>
      <c r="F286" s="1497">
        <f t="shared" si="175"/>
        <v>0</v>
      </c>
      <c r="G286" s="1497">
        <f t="shared" si="175"/>
        <v>0</v>
      </c>
      <c r="H286" s="1497">
        <f t="shared" si="175"/>
        <v>15045000</v>
      </c>
      <c r="I286" s="1497"/>
      <c r="J286" s="1497"/>
      <c r="K286" s="1497"/>
      <c r="L286" s="1497"/>
      <c r="M286" s="3630"/>
      <c r="N286" s="3630"/>
      <c r="O286" s="3699"/>
    </row>
    <row r="287" spans="1:16" s="257" customFormat="1" ht="13.5" thickBot="1">
      <c r="A287" s="3693"/>
      <c r="B287" s="867" t="s">
        <v>21</v>
      </c>
      <c r="C287" s="3701"/>
      <c r="D287" s="1578">
        <f>E287+F287+G287+H287+I287+J287+K287+L287</f>
        <v>15045000</v>
      </c>
      <c r="E287" s="1578">
        <v>0</v>
      </c>
      <c r="F287" s="1578">
        <v>0</v>
      </c>
      <c r="G287" s="446">
        <f>1862052-1862052</f>
        <v>0</v>
      </c>
      <c r="H287" s="446">
        <f>13182948+1862052</f>
        <v>15045000</v>
      </c>
      <c r="I287" s="446"/>
      <c r="J287" s="446"/>
      <c r="K287" s="446"/>
      <c r="L287" s="446"/>
      <c r="M287" s="3631"/>
      <c r="N287" s="3631"/>
      <c r="O287" s="3700"/>
    </row>
    <row r="288" spans="1:16" ht="24.75" customHeight="1">
      <c r="A288" s="3691" t="s">
        <v>94</v>
      </c>
      <c r="B288" s="273" t="s">
        <v>558</v>
      </c>
      <c r="C288" s="56" t="s">
        <v>81</v>
      </c>
      <c r="D288" s="3193"/>
      <c r="E288" s="3161"/>
      <c r="F288" s="3161"/>
      <c r="G288" s="3161"/>
      <c r="H288" s="3161"/>
      <c r="I288" s="3161"/>
      <c r="J288" s="3161"/>
      <c r="K288" s="3161"/>
      <c r="L288" s="41"/>
      <c r="M288" s="43"/>
      <c r="N288" s="43"/>
      <c r="O288" s="3651" t="s">
        <v>86</v>
      </c>
      <c r="P288" s="226" t="s">
        <v>269</v>
      </c>
    </row>
    <row r="289" spans="1:16" ht="12" customHeight="1">
      <c r="A289" s="3692"/>
      <c r="B289" s="1474" t="s">
        <v>10</v>
      </c>
      <c r="C289" s="1499"/>
      <c r="D289" s="3290">
        <f t="shared" ref="D289" si="176">+D290+D293</f>
        <v>8557270</v>
      </c>
      <c r="E289" s="1411">
        <f t="shared" ref="E289" si="177">+E290+E293</f>
        <v>0</v>
      </c>
      <c r="F289" s="1411">
        <f>+F290+F293</f>
        <v>322280</v>
      </c>
      <c r="G289" s="1411">
        <f>+G290+G293</f>
        <v>7814990</v>
      </c>
      <c r="H289" s="1411">
        <f>+H290+H293</f>
        <v>0</v>
      </c>
      <c r="I289" s="1411">
        <f>+I290+I293</f>
        <v>420000</v>
      </c>
      <c r="J289" s="1411"/>
      <c r="K289" s="1411"/>
      <c r="L289" s="1411"/>
      <c r="M289" s="1413">
        <f>M290+M293</f>
        <v>8557270</v>
      </c>
      <c r="N289" s="1413">
        <f>N290+N293</f>
        <v>8234990</v>
      </c>
      <c r="O289" s="3652"/>
      <c r="P289" s="426"/>
    </row>
    <row r="290" spans="1:16" ht="13.5" customHeight="1">
      <c r="A290" s="3692"/>
      <c r="B290" s="1483" t="s">
        <v>24</v>
      </c>
      <c r="C290" s="3655" t="s">
        <v>84</v>
      </c>
      <c r="D290" s="1415">
        <f>+D291+D292</f>
        <v>8283332</v>
      </c>
      <c r="E290" s="3291">
        <f t="shared" ref="E290:I290" si="178">+E291</f>
        <v>0</v>
      </c>
      <c r="F290" s="3291">
        <f t="shared" si="178"/>
        <v>48342</v>
      </c>
      <c r="G290" s="3291">
        <f t="shared" si="178"/>
        <v>7814990</v>
      </c>
      <c r="H290" s="3291">
        <f t="shared" si="178"/>
        <v>0</v>
      </c>
      <c r="I290" s="3291">
        <f t="shared" si="178"/>
        <v>420000</v>
      </c>
      <c r="J290" s="1490"/>
      <c r="K290" s="1490"/>
      <c r="L290" s="1490"/>
      <c r="M290" s="1480">
        <f>M291</f>
        <v>8283332</v>
      </c>
      <c r="N290" s="1480">
        <f>N291</f>
        <v>8234990</v>
      </c>
      <c r="O290" s="3652"/>
      <c r="P290" s="426"/>
    </row>
    <row r="291" spans="1:16" ht="12" customHeight="1">
      <c r="A291" s="3692"/>
      <c r="B291" s="1506" t="s">
        <v>12</v>
      </c>
      <c r="C291" s="3656"/>
      <c r="D291" s="1406">
        <f>E291+F291+G291+H291+I291+J291+K291+L291</f>
        <v>8283332</v>
      </c>
      <c r="E291" s="1453">
        <v>0</v>
      </c>
      <c r="F291" s="1492">
        <f>3200000-1940000+1520081+249090-73261-57720-385500-592500-1597849-273999</f>
        <v>48342</v>
      </c>
      <c r="G291" s="1492">
        <f>4984499+500000+710922+57720+385500+1597849-126001-28598-20000-246901</f>
        <v>7814990</v>
      </c>
      <c r="H291" s="1492">
        <f>400000-400000</f>
        <v>0</v>
      </c>
      <c r="I291" s="1492">
        <v>420000</v>
      </c>
      <c r="J291" s="1492"/>
      <c r="K291" s="1492"/>
      <c r="L291" s="1492"/>
      <c r="M291" s="862">
        <f>SUM(F291:K291)</f>
        <v>8283332</v>
      </c>
      <c r="N291" s="862">
        <f>SUM(G291:L291)</f>
        <v>8234990</v>
      </c>
      <c r="O291" s="3652"/>
    </row>
    <row r="292" spans="1:16" hidden="1">
      <c r="A292" s="3692"/>
      <c r="B292" s="90" t="s">
        <v>15</v>
      </c>
      <c r="C292" s="3656"/>
      <c r="D292" s="1406">
        <f>E292+F292+G292+H292+I292+J292+K292+L292</f>
        <v>0</v>
      </c>
      <c r="E292" s="1510">
        <v>0</v>
      </c>
      <c r="F292" s="1511"/>
      <c r="G292" s="1511"/>
      <c r="H292" s="1511"/>
      <c r="I292" s="1511"/>
      <c r="J292" s="199"/>
      <c r="K292" s="199"/>
      <c r="L292" s="199"/>
      <c r="M292" s="67"/>
      <c r="N292" s="67"/>
      <c r="O292" s="3652"/>
    </row>
    <row r="293" spans="1:16" ht="13.5" customHeight="1">
      <c r="A293" s="3692"/>
      <c r="B293" s="1514" t="s">
        <v>18</v>
      </c>
      <c r="C293" s="3656"/>
      <c r="D293" s="1479">
        <f>+D294</f>
        <v>273938</v>
      </c>
      <c r="E293" s="1423">
        <f t="shared" ref="E293:I293" si="179">+E294</f>
        <v>0</v>
      </c>
      <c r="F293" s="3291">
        <f t="shared" si="179"/>
        <v>273938</v>
      </c>
      <c r="G293" s="3291">
        <f t="shared" si="179"/>
        <v>0</v>
      </c>
      <c r="H293" s="1832">
        <f t="shared" si="179"/>
        <v>0</v>
      </c>
      <c r="I293" s="1832">
        <f t="shared" si="179"/>
        <v>0</v>
      </c>
      <c r="J293" s="1479"/>
      <c r="K293" s="1479"/>
      <c r="L293" s="1479"/>
      <c r="M293" s="1480">
        <f>M294</f>
        <v>273938</v>
      </c>
      <c r="N293" s="1480">
        <f>N294</f>
        <v>0</v>
      </c>
      <c r="O293" s="3652"/>
    </row>
    <row r="294" spans="1:16">
      <c r="A294" s="3692"/>
      <c r="B294" s="642" t="s">
        <v>21</v>
      </c>
      <c r="C294" s="3670"/>
      <c r="D294" s="1512">
        <f>E294+F294+G294+H294+I294+J294+K294+L294</f>
        <v>273938</v>
      </c>
      <c r="E294" s="1453">
        <v>0</v>
      </c>
      <c r="F294" s="1492">
        <f>1617722-288485-415148-640151</f>
        <v>273938</v>
      </c>
      <c r="G294" s="1492">
        <f>640151-162052-478099</f>
        <v>0</v>
      </c>
      <c r="H294" s="3292">
        <f>1900090-569500-416501-914089</f>
        <v>0</v>
      </c>
      <c r="I294" s="3292">
        <f>1900090-569500-416501-914089</f>
        <v>0</v>
      </c>
      <c r="J294" s="1492"/>
      <c r="K294" s="1492"/>
      <c r="L294" s="1492"/>
      <c r="M294" s="862">
        <f>SUM(F294:K294)</f>
        <v>273938</v>
      </c>
      <c r="N294" s="862">
        <f>SUM(G294:L294)</f>
        <v>0</v>
      </c>
      <c r="O294" s="3664"/>
    </row>
    <row r="295" spans="1:16" ht="12" customHeight="1">
      <c r="A295" s="3706"/>
      <c r="B295" s="1474" t="s">
        <v>22</v>
      </c>
      <c r="C295" s="88"/>
      <c r="D295" s="98">
        <f>+D298+D296</f>
        <v>273938</v>
      </c>
      <c r="E295" s="98">
        <f t="shared" ref="E295" si="180">+E298+E296</f>
        <v>0</v>
      </c>
      <c r="F295" s="770">
        <f t="shared" ref="F295:H295" si="181">+F298+F296</f>
        <v>0</v>
      </c>
      <c r="G295" s="98">
        <f t="shared" si="181"/>
        <v>0</v>
      </c>
      <c r="H295" s="98">
        <f t="shared" si="181"/>
        <v>273938</v>
      </c>
      <c r="I295" s="98"/>
      <c r="J295" s="98"/>
      <c r="K295" s="98"/>
      <c r="L295" s="98"/>
      <c r="M295" s="3812" t="s">
        <v>23</v>
      </c>
      <c r="N295" s="3812" t="s">
        <v>23</v>
      </c>
      <c r="O295" s="3750" t="s">
        <v>102</v>
      </c>
    </row>
    <row r="296" spans="1:16" ht="13.5" hidden="1" customHeight="1">
      <c r="A296" s="3706"/>
      <c r="B296" s="1483" t="s">
        <v>24</v>
      </c>
      <c r="C296" s="3655" t="s">
        <v>191</v>
      </c>
      <c r="D296" s="50">
        <f>+D297</f>
        <v>0</v>
      </c>
      <c r="E296" s="50">
        <f t="shared" ref="E296" si="182">+E297</f>
        <v>0</v>
      </c>
      <c r="F296" s="259"/>
      <c r="G296" s="50"/>
      <c r="H296" s="50"/>
      <c r="I296" s="50"/>
      <c r="J296" s="50"/>
      <c r="K296" s="50"/>
      <c r="L296" s="50"/>
      <c r="M296" s="3813"/>
      <c r="N296" s="3813"/>
      <c r="O296" s="3738"/>
    </row>
    <row r="297" spans="1:16" ht="12.75" hidden="1" customHeight="1">
      <c r="A297" s="3706"/>
      <c r="B297" s="90" t="s">
        <v>15</v>
      </c>
      <c r="C297" s="3649"/>
      <c r="D297" s="1406">
        <f>E297+F297+G297+H297+I297+J297+K297+L297</f>
        <v>0</v>
      </c>
      <c r="E297" s="1422">
        <v>0</v>
      </c>
      <c r="F297" s="1513"/>
      <c r="G297" s="1422"/>
      <c r="H297" s="1422"/>
      <c r="I297" s="1422"/>
      <c r="J297" s="1422"/>
      <c r="K297" s="1422"/>
      <c r="L297" s="1422"/>
      <c r="M297" s="3813"/>
      <c r="N297" s="3813"/>
      <c r="O297" s="3738"/>
    </row>
    <row r="298" spans="1:16" ht="12" customHeight="1">
      <c r="A298" s="3706"/>
      <c r="B298" s="1514" t="s">
        <v>18</v>
      </c>
      <c r="C298" s="3649"/>
      <c r="D298" s="1479">
        <f t="shared" ref="D298:H298" si="183">+D299</f>
        <v>273938</v>
      </c>
      <c r="E298" s="1423">
        <f t="shared" si="183"/>
        <v>0</v>
      </c>
      <c r="F298" s="1832">
        <f t="shared" si="183"/>
        <v>0</v>
      </c>
      <c r="G298" s="1423">
        <f t="shared" si="183"/>
        <v>0</v>
      </c>
      <c r="H298" s="1423">
        <f t="shared" si="183"/>
        <v>273938</v>
      </c>
      <c r="I298" s="1423"/>
      <c r="J298" s="1423"/>
      <c r="K298" s="1423"/>
      <c r="L298" s="1423"/>
      <c r="M298" s="3813"/>
      <c r="N298" s="3813"/>
      <c r="O298" s="3738"/>
    </row>
    <row r="299" spans="1:16" ht="13.5" customHeight="1" thickBot="1">
      <c r="A299" s="3707"/>
      <c r="B299" s="867" t="s">
        <v>21</v>
      </c>
      <c r="C299" s="3701"/>
      <c r="D299" s="833">
        <f>E299+F299+G299+H299+I299+J299+K299+L299</f>
        <v>273938</v>
      </c>
      <c r="E299" s="833">
        <v>0</v>
      </c>
      <c r="F299" s="2064">
        <f>1900090-569500-416501-914089</f>
        <v>0</v>
      </c>
      <c r="G299" s="55">
        <f>914089-162052-752037</f>
        <v>0</v>
      </c>
      <c r="H299" s="55">
        <v>273938</v>
      </c>
      <c r="I299" s="448"/>
      <c r="J299" s="448"/>
      <c r="K299" s="448"/>
      <c r="L299" s="448"/>
      <c r="M299" s="3814"/>
      <c r="N299" s="3814"/>
      <c r="O299" s="3739"/>
    </row>
    <row r="300" spans="1:16" ht="29.25" hidden="1" customHeight="1">
      <c r="A300" s="3691"/>
      <c r="B300" s="72" t="s">
        <v>357</v>
      </c>
      <c r="C300" s="56" t="s">
        <v>81</v>
      </c>
      <c r="D300" s="720"/>
      <c r="E300" s="403"/>
      <c r="F300" s="403"/>
      <c r="G300" s="403"/>
      <c r="H300" s="403"/>
      <c r="I300" s="403"/>
      <c r="J300" s="42"/>
      <c r="K300" s="42"/>
      <c r="L300" s="42"/>
      <c r="M300" s="43"/>
      <c r="N300" s="43"/>
      <c r="O300" s="3711" t="s">
        <v>102</v>
      </c>
      <c r="P300" s="226" t="s">
        <v>269</v>
      </c>
    </row>
    <row r="301" spans="1:16" ht="13.5" hidden="1" customHeight="1">
      <c r="A301" s="3692"/>
      <c r="B301" s="585" t="s">
        <v>10</v>
      </c>
      <c r="C301" s="654"/>
      <c r="D301" s="626">
        <f t="shared" ref="D301" si="184">+D302+D305</f>
        <v>0</v>
      </c>
      <c r="E301" s="636">
        <v>0</v>
      </c>
      <c r="F301" s="627">
        <f>+F302+F305</f>
        <v>0</v>
      </c>
      <c r="G301" s="627"/>
      <c r="H301" s="627"/>
      <c r="I301" s="627"/>
      <c r="J301" s="627"/>
      <c r="K301" s="627"/>
      <c r="L301" s="627"/>
      <c r="M301" s="847">
        <f>M302+M305</f>
        <v>0</v>
      </c>
      <c r="N301" s="847">
        <f>N302+N305</f>
        <v>0</v>
      </c>
      <c r="O301" s="3699"/>
      <c r="P301" s="426"/>
    </row>
    <row r="302" spans="1:16" ht="14.25" hidden="1" customHeight="1">
      <c r="A302" s="3692"/>
      <c r="B302" s="1146" t="s">
        <v>24</v>
      </c>
      <c r="C302" s="3646" t="s">
        <v>98</v>
      </c>
      <c r="D302" s="780">
        <f t="shared" ref="D302" si="185">+D303+D304</f>
        <v>0</v>
      </c>
      <c r="E302" s="599">
        <v>0</v>
      </c>
      <c r="F302" s="780">
        <f>+F303+F304</f>
        <v>0</v>
      </c>
      <c r="G302" s="780"/>
      <c r="H302" s="780"/>
      <c r="I302" s="780"/>
      <c r="J302" s="780"/>
      <c r="K302" s="780"/>
      <c r="L302" s="780"/>
      <c r="M302" s="563">
        <f>+M303+M304</f>
        <v>0</v>
      </c>
      <c r="N302" s="563">
        <f>+N303+N304</f>
        <v>0</v>
      </c>
      <c r="O302" s="3699"/>
      <c r="P302" s="426"/>
    </row>
    <row r="303" spans="1:16" ht="12.75" hidden="1" customHeight="1">
      <c r="A303" s="3692"/>
      <c r="B303" s="1147" t="s">
        <v>12</v>
      </c>
      <c r="C303" s="3656"/>
      <c r="D303" s="839">
        <f>SUM(E303:L303)</f>
        <v>0</v>
      </c>
      <c r="E303" s="593"/>
      <c r="F303" s="632"/>
      <c r="G303" s="632"/>
      <c r="H303" s="632"/>
      <c r="I303" s="632"/>
      <c r="J303" s="632"/>
      <c r="K303" s="632"/>
      <c r="L303" s="632"/>
      <c r="M303" s="1148"/>
      <c r="N303" s="1148"/>
      <c r="O303" s="3699"/>
    </row>
    <row r="304" spans="1:16" ht="11.25" hidden="1" customHeight="1">
      <c r="A304" s="3692"/>
      <c r="B304" s="524" t="s">
        <v>106</v>
      </c>
      <c r="C304" s="3656"/>
      <c r="D304" s="239">
        <f>E304+F304+G304+H304+I304+J304+K304+L304</f>
        <v>0</v>
      </c>
      <c r="E304" s="593">
        <v>0</v>
      </c>
      <c r="F304" s="633">
        <f>5400000-5400000</f>
        <v>0</v>
      </c>
      <c r="G304" s="632"/>
      <c r="H304" s="632"/>
      <c r="I304" s="633"/>
      <c r="J304" s="632"/>
      <c r="K304" s="632"/>
      <c r="L304" s="632"/>
      <c r="M304" s="862">
        <f>SUM(E304:K304)</f>
        <v>0</v>
      </c>
      <c r="N304" s="862">
        <f>SUM(F304:L304)</f>
        <v>0</v>
      </c>
      <c r="O304" s="3699"/>
    </row>
    <row r="305" spans="1:17" ht="11.25" hidden="1" customHeight="1">
      <c r="A305" s="3692"/>
      <c r="B305" s="1149" t="s">
        <v>18</v>
      </c>
      <c r="C305" s="3656"/>
      <c r="D305" s="564">
        <f t="shared" ref="D305:F305" si="186">+D306</f>
        <v>0</v>
      </c>
      <c r="E305" s="870">
        <v>0</v>
      </c>
      <c r="F305" s="852">
        <f t="shared" si="186"/>
        <v>0</v>
      </c>
      <c r="G305" s="852"/>
      <c r="H305" s="852"/>
      <c r="I305" s="852"/>
      <c r="J305" s="852"/>
      <c r="K305" s="852"/>
      <c r="L305" s="852"/>
      <c r="M305" s="563">
        <f>M306</f>
        <v>0</v>
      </c>
      <c r="N305" s="563">
        <f>N306</f>
        <v>0</v>
      </c>
      <c r="O305" s="3699"/>
    </row>
    <row r="306" spans="1:17" ht="13.5" hidden="1" customHeight="1">
      <c r="A306" s="3692"/>
      <c r="B306" s="1150" t="s">
        <v>21</v>
      </c>
      <c r="C306" s="3670"/>
      <c r="D306" s="239">
        <f>E306+F306+G306+H306+I306+J306+K306+L306</f>
        <v>0</v>
      </c>
      <c r="E306" s="593">
        <v>0</v>
      </c>
      <c r="F306" s="632">
        <f>30600000-30600000</f>
        <v>0</v>
      </c>
      <c r="G306" s="632"/>
      <c r="H306" s="631"/>
      <c r="I306" s="632"/>
      <c r="J306" s="631"/>
      <c r="K306" s="631"/>
      <c r="L306" s="631"/>
      <c r="M306" s="862">
        <f>SUM(E306:K306)</f>
        <v>0</v>
      </c>
      <c r="N306" s="862">
        <f>SUM(F306:L306)</f>
        <v>0</v>
      </c>
      <c r="O306" s="3699"/>
    </row>
    <row r="307" spans="1:17" ht="13.5" hidden="1" customHeight="1">
      <c r="A307" s="3706"/>
      <c r="B307" s="1151" t="s">
        <v>22</v>
      </c>
      <c r="C307" s="88"/>
      <c r="D307" s="98">
        <f>+D310+D308</f>
        <v>0</v>
      </c>
      <c r="E307" s="770">
        <v>0</v>
      </c>
      <c r="F307" s="98">
        <f t="shared" ref="F307" si="187">+F310+F308</f>
        <v>0</v>
      </c>
      <c r="G307" s="98"/>
      <c r="H307" s="98"/>
      <c r="I307" s="98"/>
      <c r="J307" s="98"/>
      <c r="K307" s="98"/>
      <c r="L307" s="98"/>
      <c r="M307" s="3745" t="s">
        <v>23</v>
      </c>
      <c r="N307" s="3745" t="s">
        <v>23</v>
      </c>
      <c r="O307" s="3699"/>
    </row>
    <row r="308" spans="1:17" ht="13.5" hidden="1" customHeight="1">
      <c r="A308" s="3706"/>
      <c r="B308" s="866" t="s">
        <v>24</v>
      </c>
      <c r="C308" s="3646" t="s">
        <v>268</v>
      </c>
      <c r="D308" s="719">
        <f>D309</f>
        <v>0</v>
      </c>
      <c r="E308" s="1152">
        <v>0</v>
      </c>
      <c r="F308" s="719">
        <f t="shared" ref="F308" si="188">F309</f>
        <v>0</v>
      </c>
      <c r="G308" s="719"/>
      <c r="H308" s="719"/>
      <c r="I308" s="719"/>
      <c r="J308" s="719"/>
      <c r="K308" s="719"/>
      <c r="L308" s="719"/>
      <c r="M308" s="3675"/>
      <c r="N308" s="3675"/>
      <c r="O308" s="3699"/>
    </row>
    <row r="309" spans="1:17" ht="13.5" hidden="1" customHeight="1">
      <c r="A309" s="3706"/>
      <c r="B309" s="524" t="s">
        <v>106</v>
      </c>
      <c r="C309" s="3649"/>
      <c r="D309" s="239">
        <f>E309+F309+G309+H309+I309+J309+K309+L309</f>
        <v>0</v>
      </c>
      <c r="E309" s="593">
        <v>0</v>
      </c>
      <c r="F309" s="1153">
        <v>0</v>
      </c>
      <c r="G309" s="719"/>
      <c r="H309" s="1153"/>
      <c r="I309" s="1153"/>
      <c r="J309" s="719"/>
      <c r="K309" s="719"/>
      <c r="L309" s="719"/>
      <c r="M309" s="3675"/>
      <c r="N309" s="3675"/>
      <c r="O309" s="3699"/>
    </row>
    <row r="310" spans="1:17" ht="12" hidden="1" customHeight="1">
      <c r="A310" s="3706"/>
      <c r="B310" s="594" t="s">
        <v>18</v>
      </c>
      <c r="C310" s="3649"/>
      <c r="D310" s="564">
        <f>+D311</f>
        <v>0</v>
      </c>
      <c r="E310" s="870">
        <v>0</v>
      </c>
      <c r="F310" s="852">
        <f t="shared" ref="F310" si="189">+F311</f>
        <v>0</v>
      </c>
      <c r="G310" s="852"/>
      <c r="H310" s="852"/>
      <c r="I310" s="852"/>
      <c r="J310" s="852"/>
      <c r="K310" s="852"/>
      <c r="L310" s="852"/>
      <c r="M310" s="3675"/>
      <c r="N310" s="3675"/>
      <c r="O310" s="3699"/>
    </row>
    <row r="311" spans="1:17" ht="13.5" hidden="1" customHeight="1" thickBot="1">
      <c r="A311" s="3707"/>
      <c r="B311" s="867" t="s">
        <v>21</v>
      </c>
      <c r="C311" s="3701"/>
      <c r="D311" s="239">
        <f>E311+F311+G311+H311+I311+J311+K311+L311</f>
        <v>0</v>
      </c>
      <c r="E311" s="596">
        <v>0</v>
      </c>
      <c r="F311" s="55">
        <f>30600000-30600000</f>
        <v>0</v>
      </c>
      <c r="G311" s="55"/>
      <c r="H311" s="55"/>
      <c r="I311" s="55"/>
      <c r="J311" s="55"/>
      <c r="K311" s="55"/>
      <c r="L311" s="55"/>
      <c r="M311" s="3676"/>
      <c r="N311" s="3676"/>
      <c r="O311" s="3700"/>
    </row>
    <row r="312" spans="1:17" ht="24.75" customHeight="1">
      <c r="A312" s="3691" t="s">
        <v>95</v>
      </c>
      <c r="B312" s="72" t="s">
        <v>451</v>
      </c>
      <c r="C312" s="56" t="s">
        <v>81</v>
      </c>
      <c r="D312" s="3170"/>
      <c r="E312" s="3171"/>
      <c r="F312" s="3171"/>
      <c r="G312" s="3171"/>
      <c r="H312" s="3171"/>
      <c r="I312" s="3171"/>
      <c r="J312" s="3171"/>
      <c r="K312" s="3171"/>
      <c r="L312" s="3172"/>
      <c r="M312" s="43"/>
      <c r="N312" s="43"/>
      <c r="O312" s="3711" t="s">
        <v>102</v>
      </c>
    </row>
    <row r="313" spans="1:17" ht="13.5" customHeight="1">
      <c r="A313" s="3692"/>
      <c r="B313" s="881" t="s">
        <v>10</v>
      </c>
      <c r="C313" s="472"/>
      <c r="D313" s="640">
        <f t="shared" ref="D313" si="190">+D314+D318</f>
        <v>203900000</v>
      </c>
      <c r="E313" s="2065">
        <f t="shared" ref="E313" si="191">+E314+E318</f>
        <v>0</v>
      </c>
      <c r="F313" s="2066">
        <f>+F314+F318</f>
        <v>142545000</v>
      </c>
      <c r="G313" s="2066">
        <f>+G314+G318</f>
        <v>61355000</v>
      </c>
      <c r="H313" s="2067">
        <f>+H314+H318</f>
        <v>0</v>
      </c>
      <c r="I313" s="2067">
        <f>+I314+I318</f>
        <v>0</v>
      </c>
      <c r="J313" s="2066"/>
      <c r="K313" s="2066"/>
      <c r="L313" s="2066"/>
      <c r="M313" s="2038">
        <f>+M314+M318</f>
        <v>203900000</v>
      </c>
      <c r="N313" s="2038">
        <f>+N314+N318</f>
        <v>61355000</v>
      </c>
      <c r="O313" s="3699"/>
      <c r="Q313" s="426"/>
    </row>
    <row r="314" spans="1:17" ht="13.5" customHeight="1">
      <c r="A314" s="3692"/>
      <c r="B314" s="866" t="s">
        <v>24</v>
      </c>
      <c r="C314" s="3646" t="s">
        <v>98</v>
      </c>
      <c r="D314" s="2068">
        <f>+D315+D317+D316</f>
        <v>30585000</v>
      </c>
      <c r="E314" s="2069">
        <f t="shared" ref="E314" si="192">+E315+E317+E316</f>
        <v>0</v>
      </c>
      <c r="F314" s="2068">
        <f t="shared" ref="F314:G314" si="193">+F315+F317+F316</f>
        <v>21381750</v>
      </c>
      <c r="G314" s="2068">
        <f t="shared" si="193"/>
        <v>9203250</v>
      </c>
      <c r="H314" s="2069">
        <f>+H315+H317+H316</f>
        <v>0</v>
      </c>
      <c r="I314" s="2069">
        <f>+I315+I317+I316</f>
        <v>0</v>
      </c>
      <c r="J314" s="2068"/>
      <c r="K314" s="2068"/>
      <c r="L314" s="2068"/>
      <c r="M314" s="563">
        <f>+M315+M317+M316</f>
        <v>30585000</v>
      </c>
      <c r="N314" s="563">
        <f>+N315+N317+N316</f>
        <v>9203250</v>
      </c>
      <c r="O314" s="3699"/>
      <c r="Q314" s="426"/>
    </row>
    <row r="315" spans="1:17">
      <c r="A315" s="3692"/>
      <c r="B315" s="2057" t="s">
        <v>12</v>
      </c>
      <c r="C315" s="3656"/>
      <c r="D315" s="839">
        <f>E315+F315+G315+H315+I315+J315+K315+L315</f>
        <v>30585000</v>
      </c>
      <c r="E315" s="593">
        <v>0</v>
      </c>
      <c r="F315" s="631">
        <v>21381750</v>
      </c>
      <c r="G315" s="2054">
        <f>27609750-18406500</f>
        <v>9203250</v>
      </c>
      <c r="H315" s="863">
        <v>0</v>
      </c>
      <c r="I315" s="2041">
        <v>0</v>
      </c>
      <c r="J315" s="631"/>
      <c r="K315" s="631"/>
      <c r="L315" s="631"/>
      <c r="M315" s="862">
        <f>SUM(F315:K315)</f>
        <v>30585000</v>
      </c>
      <c r="N315" s="862">
        <f>SUM(G315:L315)</f>
        <v>9203250</v>
      </c>
      <c r="O315" s="3699"/>
    </row>
    <row r="316" spans="1:17" ht="12.75" hidden="1" customHeight="1">
      <c r="A316" s="3692"/>
      <c r="B316" s="524" t="s">
        <v>106</v>
      </c>
      <c r="C316" s="3656"/>
      <c r="D316" s="839">
        <f>E316+F316+G316+H316+I316+J316+K316+L316</f>
        <v>0</v>
      </c>
      <c r="E316" s="593">
        <v>0</v>
      </c>
      <c r="F316" s="872">
        <f>15546856-2076856-13470000</f>
        <v>0</v>
      </c>
      <c r="G316" s="2070">
        <f>8419285+6619715-15039000</f>
        <v>0</v>
      </c>
      <c r="H316" s="1210">
        <v>0</v>
      </c>
      <c r="I316" s="1536">
        <f>2076000-2076000</f>
        <v>0</v>
      </c>
      <c r="J316" s="872"/>
      <c r="K316" s="872"/>
      <c r="L316" s="872"/>
      <c r="M316" s="862">
        <f>SUM(E316:K316)</f>
        <v>0</v>
      </c>
      <c r="N316" s="862">
        <f>SUM(F316:L316)</f>
        <v>0</v>
      </c>
      <c r="O316" s="3699"/>
    </row>
    <row r="317" spans="1:17" ht="13.5" hidden="1" customHeight="1">
      <c r="A317" s="3692"/>
      <c r="B317" s="90" t="s">
        <v>15</v>
      </c>
      <c r="C317" s="3656"/>
      <c r="D317" s="839">
        <f>SUM(E317:I317)</f>
        <v>0</v>
      </c>
      <c r="E317" s="593"/>
      <c r="F317" s="872">
        <v>0</v>
      </c>
      <c r="G317" s="872">
        <v>0</v>
      </c>
      <c r="H317" s="1210"/>
      <c r="I317" s="1210"/>
      <c r="J317" s="872"/>
      <c r="K317" s="872"/>
      <c r="L317" s="872"/>
      <c r="M317" s="67"/>
      <c r="N317" s="67"/>
      <c r="O317" s="3699"/>
    </row>
    <row r="318" spans="1:17" ht="13.5" customHeight="1">
      <c r="A318" s="3692"/>
      <c r="B318" s="2058" t="s">
        <v>18</v>
      </c>
      <c r="C318" s="3656"/>
      <c r="D318" s="564">
        <f>+D319</f>
        <v>173315000</v>
      </c>
      <c r="E318" s="2071">
        <f t="shared" ref="E318:N318" si="194">+E319</f>
        <v>0</v>
      </c>
      <c r="F318" s="2046">
        <f t="shared" si="194"/>
        <v>121163250</v>
      </c>
      <c r="G318" s="2046">
        <f t="shared" si="194"/>
        <v>52151750</v>
      </c>
      <c r="H318" s="2071">
        <f t="shared" si="194"/>
        <v>0</v>
      </c>
      <c r="I318" s="2071">
        <f t="shared" si="194"/>
        <v>0</v>
      </c>
      <c r="J318" s="2046"/>
      <c r="K318" s="2046"/>
      <c r="L318" s="2046"/>
      <c r="M318" s="563">
        <f t="shared" si="194"/>
        <v>173315000</v>
      </c>
      <c r="N318" s="563">
        <f t="shared" si="194"/>
        <v>52151750</v>
      </c>
      <c r="O318" s="3699"/>
    </row>
    <row r="319" spans="1:17">
      <c r="A319" s="3692"/>
      <c r="B319" s="595" t="s">
        <v>21</v>
      </c>
      <c r="C319" s="3670"/>
      <c r="D319" s="839">
        <f>E319+F319+G319+H319+I319+J319+K319+L319</f>
        <v>173315000</v>
      </c>
      <c r="E319" s="593">
        <v>0</v>
      </c>
      <c r="F319" s="872">
        <f>112200000-35870000+44833250</f>
        <v>121163250</v>
      </c>
      <c r="G319" s="872">
        <f>96900000-11679000+71234250-104303500</f>
        <v>52151750</v>
      </c>
      <c r="H319" s="1210">
        <v>0</v>
      </c>
      <c r="I319" s="1210">
        <f>11764000-11764000</f>
        <v>0</v>
      </c>
      <c r="J319" s="872"/>
      <c r="K319" s="872"/>
      <c r="L319" s="872"/>
      <c r="M319" s="862">
        <f>SUM(F319:K319)</f>
        <v>173315000</v>
      </c>
      <c r="N319" s="862">
        <f>SUM(G319:L319)</f>
        <v>52151750</v>
      </c>
      <c r="O319" s="3699"/>
    </row>
    <row r="320" spans="1:17" ht="13.5" customHeight="1">
      <c r="A320" s="3706"/>
      <c r="B320" s="881" t="s">
        <v>22</v>
      </c>
      <c r="C320" s="472"/>
      <c r="D320" s="626">
        <f>+D321+D324</f>
        <v>173315000</v>
      </c>
      <c r="E320" s="2072">
        <f t="shared" ref="E320" si="195">+E321+E324</f>
        <v>0</v>
      </c>
      <c r="F320" s="2073">
        <f t="shared" ref="F320:I320" si="196">+F321+F324</f>
        <v>121163250</v>
      </c>
      <c r="G320" s="2073">
        <f t="shared" si="196"/>
        <v>52151750</v>
      </c>
      <c r="H320" s="2072">
        <f t="shared" si="196"/>
        <v>0</v>
      </c>
      <c r="I320" s="2072">
        <f t="shared" si="196"/>
        <v>0</v>
      </c>
      <c r="J320" s="2073"/>
      <c r="K320" s="2073"/>
      <c r="L320" s="2073"/>
      <c r="M320" s="2074"/>
      <c r="N320" s="2074"/>
      <c r="O320" s="3699"/>
    </row>
    <row r="321" spans="1:15" hidden="1">
      <c r="A321" s="3706"/>
      <c r="B321" s="866" t="s">
        <v>24</v>
      </c>
      <c r="C321" s="3730" t="s">
        <v>339</v>
      </c>
      <c r="D321" s="50">
        <f>+D323+D322</f>
        <v>0</v>
      </c>
      <c r="E321" s="259">
        <f t="shared" ref="E321" si="197">+E323+E322</f>
        <v>0</v>
      </c>
      <c r="F321" s="50">
        <f t="shared" ref="F321" si="198">+F323+F322</f>
        <v>0</v>
      </c>
      <c r="G321" s="50">
        <f t="shared" ref="G321" si="199">+G323+G322</f>
        <v>0</v>
      </c>
      <c r="H321" s="259">
        <f>+H323+H322</f>
        <v>0</v>
      </c>
      <c r="I321" s="259">
        <f>+I323+I322</f>
        <v>0</v>
      </c>
      <c r="J321" s="50"/>
      <c r="K321" s="50"/>
      <c r="L321" s="50"/>
      <c r="M321" s="3090"/>
      <c r="N321" s="3090"/>
      <c r="O321" s="3699"/>
    </row>
    <row r="322" spans="1:15" ht="13.5" hidden="1" customHeight="1">
      <c r="A322" s="3706"/>
      <c r="B322" s="524" t="s">
        <v>106</v>
      </c>
      <c r="C322" s="3808"/>
      <c r="D322" s="839">
        <f>E322+F322+G322+H322+I322+J322+K322+L322</f>
        <v>0</v>
      </c>
      <c r="E322" s="259"/>
      <c r="F322" s="2075">
        <f>8419285-8419285</f>
        <v>0</v>
      </c>
      <c r="G322" s="2075">
        <f>8419285-8419285</f>
        <v>0</v>
      </c>
      <c r="H322" s="2076">
        <v>0</v>
      </c>
      <c r="I322" s="259">
        <v>0</v>
      </c>
      <c r="J322" s="50"/>
      <c r="K322" s="50"/>
      <c r="L322" s="50"/>
      <c r="M322" s="3090"/>
      <c r="N322" s="3090"/>
      <c r="O322" s="3699"/>
    </row>
    <row r="323" spans="1:15" ht="12.75" hidden="1" customHeight="1">
      <c r="A323" s="3706"/>
      <c r="B323" s="90" t="s">
        <v>15</v>
      </c>
      <c r="C323" s="3735"/>
      <c r="D323" s="839">
        <f>SUM(E323:I323)</f>
        <v>0</v>
      </c>
      <c r="E323" s="2062">
        <v>0</v>
      </c>
      <c r="F323" s="2077"/>
      <c r="G323" s="2077"/>
      <c r="H323" s="2078"/>
      <c r="I323" s="2078"/>
      <c r="J323" s="2077"/>
      <c r="K323" s="2077"/>
      <c r="L323" s="2077"/>
      <c r="M323" s="3090"/>
      <c r="N323" s="3090"/>
      <c r="O323" s="3699"/>
    </row>
    <row r="324" spans="1:15" ht="14.25" customHeight="1">
      <c r="A324" s="3706"/>
      <c r="B324" s="2058" t="s">
        <v>18</v>
      </c>
      <c r="C324" s="3735"/>
      <c r="D324" s="564">
        <f t="shared" ref="D324:I324" si="200">+D325</f>
        <v>173315000</v>
      </c>
      <c r="E324" s="2071">
        <f t="shared" si="200"/>
        <v>0</v>
      </c>
      <c r="F324" s="2046">
        <f t="shared" si="200"/>
        <v>121163250</v>
      </c>
      <c r="G324" s="2046">
        <f t="shared" si="200"/>
        <v>52151750</v>
      </c>
      <c r="H324" s="2071">
        <f t="shared" si="200"/>
        <v>0</v>
      </c>
      <c r="I324" s="2071">
        <f t="shared" si="200"/>
        <v>0</v>
      </c>
      <c r="J324" s="2046"/>
      <c r="K324" s="2046"/>
      <c r="L324" s="2046"/>
      <c r="M324" s="3090"/>
      <c r="N324" s="3090"/>
      <c r="O324" s="3699"/>
    </row>
    <row r="325" spans="1:15" ht="12.75" customHeight="1" thickBot="1">
      <c r="A325" s="3707"/>
      <c r="B325" s="867" t="s">
        <v>21</v>
      </c>
      <c r="C325" s="3731"/>
      <c r="D325" s="1870">
        <f>E325+F325+G325+H325+I325+J325+K325+L325</f>
        <v>173315000</v>
      </c>
      <c r="E325" s="2042">
        <v>0</v>
      </c>
      <c r="F325" s="55">
        <f>112200000-35870000+44833250</f>
        <v>121163250</v>
      </c>
      <c r="G325" s="55">
        <f>96900000-11679000+71234250-104303500</f>
        <v>52151750</v>
      </c>
      <c r="H325" s="2064">
        <v>0</v>
      </c>
      <c r="I325" s="2064">
        <f>11764000-11764000</f>
        <v>0</v>
      </c>
      <c r="J325" s="55"/>
      <c r="K325" s="55"/>
      <c r="L325" s="55"/>
      <c r="M325" s="3091"/>
      <c r="N325" s="3091"/>
      <c r="O325" s="3700"/>
    </row>
    <row r="326" spans="1:15" ht="28.5" customHeight="1">
      <c r="A326" s="3691" t="s">
        <v>96</v>
      </c>
      <c r="B326" s="72" t="s">
        <v>559</v>
      </c>
      <c r="C326" s="56" t="s">
        <v>109</v>
      </c>
      <c r="D326" s="1159"/>
      <c r="E326" s="3161"/>
      <c r="F326" s="3161"/>
      <c r="G326" s="3161"/>
      <c r="H326" s="3161"/>
      <c r="I326" s="3161"/>
      <c r="J326" s="3161"/>
      <c r="K326" s="3161"/>
      <c r="L326" s="41"/>
      <c r="M326" s="43"/>
      <c r="N326" s="43"/>
      <c r="O326" s="3711" t="s">
        <v>102</v>
      </c>
    </row>
    <row r="327" spans="1:15" ht="12.75" customHeight="1">
      <c r="A327" s="3692"/>
      <c r="B327" s="881" t="s">
        <v>10</v>
      </c>
      <c r="C327" s="1475"/>
      <c r="D327" s="861">
        <f>+D328+D331</f>
        <v>122710000</v>
      </c>
      <c r="E327" s="2525">
        <f t="shared" ref="E327:G327" si="201">+E328+E331</f>
        <v>0</v>
      </c>
      <c r="F327" s="2525">
        <f t="shared" si="201"/>
        <v>0</v>
      </c>
      <c r="G327" s="861">
        <f t="shared" si="201"/>
        <v>122710000</v>
      </c>
      <c r="H327" s="861"/>
      <c r="I327" s="861"/>
      <c r="J327" s="861"/>
      <c r="K327" s="861"/>
      <c r="L327" s="861"/>
      <c r="M327" s="2038">
        <f>M328+M331</f>
        <v>122710000</v>
      </c>
      <c r="N327" s="2038">
        <f>N328+N331</f>
        <v>122710000</v>
      </c>
      <c r="O327" s="3699"/>
    </row>
    <row r="328" spans="1:15" ht="12.75" customHeight="1">
      <c r="A328" s="3692"/>
      <c r="B328" s="866" t="s">
        <v>24</v>
      </c>
      <c r="C328" s="3646" t="s">
        <v>98</v>
      </c>
      <c r="D328" s="76">
        <f>+D329+D330</f>
        <v>18406500</v>
      </c>
      <c r="E328" s="1851">
        <f t="shared" ref="E328:G328" si="202">+E329+E330</f>
        <v>0</v>
      </c>
      <c r="F328" s="1851">
        <f t="shared" si="202"/>
        <v>0</v>
      </c>
      <c r="G328" s="76">
        <f t="shared" si="202"/>
        <v>18406500</v>
      </c>
      <c r="H328" s="76"/>
      <c r="I328" s="76"/>
      <c r="J328" s="76"/>
      <c r="K328" s="76"/>
      <c r="L328" s="76"/>
      <c r="M328" s="563">
        <f>+M329+M330</f>
        <v>18406500</v>
      </c>
      <c r="N328" s="563">
        <f>+N329+N330</f>
        <v>18406500</v>
      </c>
      <c r="O328" s="3699"/>
    </row>
    <row r="329" spans="1:15" ht="12.75" customHeight="1">
      <c r="A329" s="3692"/>
      <c r="B329" s="2056" t="s">
        <v>12</v>
      </c>
      <c r="C329" s="3656"/>
      <c r="D329" s="839">
        <f t="shared" ref="D329:D330" si="203">E329+F329+G329+H329+I329+J329+K329+L329</f>
        <v>7519500</v>
      </c>
      <c r="E329" s="2526">
        <v>0</v>
      </c>
      <c r="F329" s="2526">
        <v>0</v>
      </c>
      <c r="G329" s="839">
        <f>18406500-5013000-5874000</f>
        <v>7519500</v>
      </c>
      <c r="H329" s="863"/>
      <c r="I329" s="863"/>
      <c r="J329" s="863"/>
      <c r="K329" s="863"/>
      <c r="L329" s="863"/>
      <c r="M329" s="1148">
        <f>SUM(E329:H329)</f>
        <v>7519500</v>
      </c>
      <c r="N329" s="862">
        <f>SUM(G329:I329)</f>
        <v>7519500</v>
      </c>
      <c r="O329" s="3699"/>
    </row>
    <row r="330" spans="1:15" ht="12.75" customHeight="1">
      <c r="A330" s="3692"/>
      <c r="B330" s="524" t="s">
        <v>17</v>
      </c>
      <c r="C330" s="3656"/>
      <c r="D330" s="839">
        <f t="shared" si="203"/>
        <v>10887000</v>
      </c>
      <c r="E330" s="2526">
        <v>0</v>
      </c>
      <c r="F330" s="2526">
        <v>0</v>
      </c>
      <c r="G330" s="839">
        <f>5013000+5874000</f>
        <v>10887000</v>
      </c>
      <c r="H330" s="631"/>
      <c r="I330" s="631"/>
      <c r="J330" s="631"/>
      <c r="K330" s="631"/>
      <c r="L330" s="631"/>
      <c r="M330" s="862">
        <f>SUM(E330:H330)</f>
        <v>10887000</v>
      </c>
      <c r="N330" s="862">
        <f>SUM(G330:I330)</f>
        <v>10887000</v>
      </c>
      <c r="O330" s="3699"/>
    </row>
    <row r="331" spans="1:15" ht="12.75" customHeight="1">
      <c r="A331" s="3692"/>
      <c r="B331" s="2480" t="s">
        <v>18</v>
      </c>
      <c r="C331" s="3656"/>
      <c r="D331" s="564">
        <f>+D332</f>
        <v>104303500</v>
      </c>
      <c r="E331" s="865">
        <f t="shared" ref="E331:G331" si="204">+E332</f>
        <v>0</v>
      </c>
      <c r="F331" s="865">
        <f t="shared" si="204"/>
        <v>0</v>
      </c>
      <c r="G331" s="564">
        <f t="shared" si="204"/>
        <v>104303500</v>
      </c>
      <c r="H331" s="564"/>
      <c r="I331" s="564"/>
      <c r="J331" s="564"/>
      <c r="K331" s="564"/>
      <c r="L331" s="564"/>
      <c r="M331" s="563">
        <f>M332</f>
        <v>104303500</v>
      </c>
      <c r="N331" s="563">
        <f>N332</f>
        <v>104303500</v>
      </c>
      <c r="O331" s="3699"/>
    </row>
    <row r="332" spans="1:15" ht="12.75" customHeight="1">
      <c r="A332" s="3692"/>
      <c r="B332" s="2527" t="s">
        <v>21</v>
      </c>
      <c r="C332" s="3656"/>
      <c r="D332" s="839">
        <f>E332+F332+G332+H332+I332+J332+K332+L332</f>
        <v>104303500</v>
      </c>
      <c r="E332" s="2528">
        <v>0</v>
      </c>
      <c r="F332" s="2528">
        <v>0</v>
      </c>
      <c r="G332" s="2051">
        <v>104303500</v>
      </c>
      <c r="H332" s="631"/>
      <c r="I332" s="631"/>
      <c r="J332" s="631"/>
      <c r="K332" s="631"/>
      <c r="L332" s="631"/>
      <c r="M332" s="862">
        <f>SUM(E332:K332)</f>
        <v>104303500</v>
      </c>
      <c r="N332" s="862">
        <f>SUM(G332:L332)</f>
        <v>104303500</v>
      </c>
      <c r="O332" s="3712"/>
    </row>
    <row r="333" spans="1:15" ht="12.75" customHeight="1">
      <c r="A333" s="3706"/>
      <c r="B333" s="2440" t="s">
        <v>22</v>
      </c>
      <c r="C333" s="1475"/>
      <c r="D333" s="626">
        <f>+D336+D334</f>
        <v>115190500</v>
      </c>
      <c r="E333" s="655">
        <f t="shared" ref="E333:G333" si="205">+E336+E334</f>
        <v>0</v>
      </c>
      <c r="F333" s="655">
        <f t="shared" si="205"/>
        <v>0</v>
      </c>
      <c r="G333" s="626">
        <f t="shared" si="205"/>
        <v>115190500</v>
      </c>
      <c r="H333" s="626"/>
      <c r="I333" s="626"/>
      <c r="J333" s="626"/>
      <c r="K333" s="626"/>
      <c r="L333" s="626"/>
      <c r="M333" s="3697" t="s">
        <v>23</v>
      </c>
      <c r="N333" s="3697" t="s">
        <v>23</v>
      </c>
      <c r="O333" s="3713" t="s">
        <v>471</v>
      </c>
    </row>
    <row r="334" spans="1:15" ht="12.75" customHeight="1">
      <c r="A334" s="3706"/>
      <c r="B334" s="866" t="s">
        <v>24</v>
      </c>
      <c r="C334" s="3646" t="s">
        <v>339</v>
      </c>
      <c r="D334" s="2529">
        <f>D335</f>
        <v>10887000</v>
      </c>
      <c r="E334" s="2530">
        <f t="shared" ref="E334:G334" si="206">E335</f>
        <v>0</v>
      </c>
      <c r="F334" s="2530">
        <f t="shared" si="206"/>
        <v>0</v>
      </c>
      <c r="G334" s="2529">
        <f t="shared" si="206"/>
        <v>10887000</v>
      </c>
      <c r="H334" s="2529"/>
      <c r="I334" s="2529"/>
      <c r="J334" s="2529"/>
      <c r="K334" s="2529"/>
      <c r="L334" s="2529"/>
      <c r="M334" s="3630"/>
      <c r="N334" s="3630"/>
      <c r="O334" s="3699"/>
    </row>
    <row r="335" spans="1:15" ht="12.75" customHeight="1">
      <c r="A335" s="3706"/>
      <c r="B335" s="524" t="s">
        <v>17</v>
      </c>
      <c r="C335" s="3649"/>
      <c r="D335" s="839">
        <f>E335+F335+G335+H335+I335+J335+K335+L335</f>
        <v>10887000</v>
      </c>
      <c r="E335" s="2528">
        <v>0</v>
      </c>
      <c r="F335" s="2528">
        <v>0</v>
      </c>
      <c r="G335" s="839">
        <f>5013000+5874000</f>
        <v>10887000</v>
      </c>
      <c r="H335" s="2529"/>
      <c r="I335" s="2529"/>
      <c r="J335" s="2529"/>
      <c r="K335" s="2529"/>
      <c r="L335" s="2529"/>
      <c r="M335" s="3630"/>
      <c r="N335" s="3630"/>
      <c r="O335" s="3699"/>
    </row>
    <row r="336" spans="1:15" ht="12.75" customHeight="1">
      <c r="A336" s="3706"/>
      <c r="B336" s="2480" t="s">
        <v>18</v>
      </c>
      <c r="C336" s="3649"/>
      <c r="D336" s="2081">
        <f>+D337</f>
        <v>104303500</v>
      </c>
      <c r="E336" s="2084">
        <f t="shared" ref="E336:G336" si="207">+E337</f>
        <v>0</v>
      </c>
      <c r="F336" s="2084">
        <f t="shared" si="207"/>
        <v>0</v>
      </c>
      <c r="G336" s="2081">
        <f t="shared" si="207"/>
        <v>104303500</v>
      </c>
      <c r="H336" s="780"/>
      <c r="I336" s="780"/>
      <c r="J336" s="780"/>
      <c r="K336" s="780"/>
      <c r="L336" s="780"/>
      <c r="M336" s="3630"/>
      <c r="N336" s="3630"/>
      <c r="O336" s="3699"/>
    </row>
    <row r="337" spans="1:17" ht="12.75" customHeight="1" thickBot="1">
      <c r="A337" s="3707"/>
      <c r="B337" s="344" t="s">
        <v>21</v>
      </c>
      <c r="C337" s="3701"/>
      <c r="D337" s="2283">
        <f>E337+F337+G337+H337+I337+J337+K337+L337</f>
        <v>104303500</v>
      </c>
      <c r="E337" s="1792">
        <v>0</v>
      </c>
      <c r="F337" s="1792">
        <v>0</v>
      </c>
      <c r="G337" s="1766">
        <v>104303500</v>
      </c>
      <c r="H337" s="446"/>
      <c r="I337" s="446"/>
      <c r="J337" s="446"/>
      <c r="K337" s="446"/>
      <c r="L337" s="446"/>
      <c r="M337" s="3631"/>
      <c r="N337" s="3631"/>
      <c r="O337" s="3700"/>
    </row>
    <row r="338" spans="1:17" ht="20.25" customHeight="1">
      <c r="A338" s="3714" t="s">
        <v>195</v>
      </c>
      <c r="B338" s="111" t="s">
        <v>490</v>
      </c>
      <c r="C338" s="771"/>
      <c r="D338" s="112"/>
      <c r="E338" s="113"/>
      <c r="F338" s="113"/>
      <c r="G338" s="113"/>
      <c r="H338" s="113"/>
      <c r="I338" s="113"/>
      <c r="J338" s="292"/>
      <c r="K338" s="293"/>
      <c r="L338" s="293"/>
      <c r="M338" s="114"/>
      <c r="N338" s="114"/>
      <c r="O338" s="3823"/>
    </row>
    <row r="339" spans="1:17" s="773" customFormat="1" ht="14.25" customHeight="1">
      <c r="A339" s="3715"/>
      <c r="B339" s="881" t="s">
        <v>10</v>
      </c>
      <c r="C339" s="88"/>
      <c r="D339" s="115">
        <f>+D340+D343</f>
        <v>46543915</v>
      </c>
      <c r="E339" s="115">
        <f t="shared" ref="E339:N339" si="208">+E340+E343</f>
        <v>464290</v>
      </c>
      <c r="F339" s="115">
        <f t="shared" si="208"/>
        <v>7582140</v>
      </c>
      <c r="G339" s="115">
        <f t="shared" si="208"/>
        <v>6515410</v>
      </c>
      <c r="H339" s="115">
        <f t="shared" si="208"/>
        <v>23825519</v>
      </c>
      <c r="I339" s="115">
        <f t="shared" si="208"/>
        <v>8156556</v>
      </c>
      <c r="J339" s="115">
        <f t="shared" si="208"/>
        <v>0</v>
      </c>
      <c r="K339" s="115">
        <f t="shared" si="208"/>
        <v>0</v>
      </c>
      <c r="L339" s="115">
        <f t="shared" si="208"/>
        <v>0</v>
      </c>
      <c r="M339" s="844">
        <f t="shared" ref="M339" si="209">+M340+M343</f>
        <v>22024080</v>
      </c>
      <c r="N339" s="844">
        <f t="shared" si="208"/>
        <v>20687344</v>
      </c>
      <c r="O339" s="3824"/>
      <c r="P339" s="426"/>
      <c r="Q339" s="772"/>
    </row>
    <row r="340" spans="1:17" s="774" customFormat="1" ht="13.5" customHeight="1">
      <c r="A340" s="3715"/>
      <c r="B340" s="116" t="s">
        <v>11</v>
      </c>
      <c r="C340" s="117"/>
      <c r="D340" s="882">
        <f>+D341+D342</f>
        <v>21689248</v>
      </c>
      <c r="E340" s="882">
        <f>+E341+E342</f>
        <v>423464</v>
      </c>
      <c r="F340" s="882">
        <f t="shared" ref="F340:L340" si="210">+F341</f>
        <v>1208777</v>
      </c>
      <c r="G340" s="882">
        <f t="shared" si="210"/>
        <v>4290848</v>
      </c>
      <c r="H340" s="882">
        <f t="shared" si="210"/>
        <v>11210164</v>
      </c>
      <c r="I340" s="882">
        <f t="shared" si="210"/>
        <v>4555995</v>
      </c>
      <c r="J340" s="882">
        <f t="shared" si="210"/>
        <v>0</v>
      </c>
      <c r="K340" s="882">
        <f t="shared" si="210"/>
        <v>0</v>
      </c>
      <c r="L340" s="882">
        <f t="shared" si="210"/>
        <v>0</v>
      </c>
      <c r="M340" s="563">
        <f>+M341</f>
        <v>21265784</v>
      </c>
      <c r="N340" s="563">
        <f>+N341</f>
        <v>20057007</v>
      </c>
      <c r="O340" s="3824"/>
      <c r="Q340" s="772"/>
    </row>
    <row r="341" spans="1:17" s="773" customFormat="1" ht="11.25" customHeight="1">
      <c r="A341" s="3715"/>
      <c r="B341" s="36" t="s">
        <v>12</v>
      </c>
      <c r="C341" s="37"/>
      <c r="D341" s="883">
        <f>+D354+D365+D422++D374+D386+D395+D404+D413+D437</f>
        <v>21632245</v>
      </c>
      <c r="E341" s="883">
        <f t="shared" ref="E341:J341" si="211">+E354+E365+E422++E374+E386+E395+E404+E413+E437</f>
        <v>366461</v>
      </c>
      <c r="F341" s="883">
        <f t="shared" si="211"/>
        <v>1208777</v>
      </c>
      <c r="G341" s="883">
        <f t="shared" si="211"/>
        <v>4290848</v>
      </c>
      <c r="H341" s="883">
        <f t="shared" si="211"/>
        <v>11210164</v>
      </c>
      <c r="I341" s="883">
        <f t="shared" si="211"/>
        <v>4555995</v>
      </c>
      <c r="J341" s="883">
        <f t="shared" si="211"/>
        <v>0</v>
      </c>
      <c r="K341" s="883">
        <f t="shared" ref="K341:L341" si="212">+K354+K365+K422++K374+K386+K395+K404+K413</f>
        <v>0</v>
      </c>
      <c r="L341" s="883">
        <f t="shared" si="212"/>
        <v>0</v>
      </c>
      <c r="M341" s="862">
        <f>SUM(F341:K341)</f>
        <v>21265784</v>
      </c>
      <c r="N341" s="862">
        <f>SUM(G341:L341)</f>
        <v>20057007</v>
      </c>
      <c r="O341" s="3824"/>
      <c r="P341" s="772"/>
      <c r="Q341" s="772"/>
    </row>
    <row r="342" spans="1:17" s="773" customFormat="1" ht="11.25" customHeight="1">
      <c r="A342" s="3715"/>
      <c r="B342" s="36" t="s">
        <v>15</v>
      </c>
      <c r="C342" s="37"/>
      <c r="D342" s="883">
        <f>+D375</f>
        <v>57003</v>
      </c>
      <c r="E342" s="883">
        <f t="shared" ref="E342:L342" si="213">+E375</f>
        <v>57003</v>
      </c>
      <c r="F342" s="883">
        <f t="shared" si="213"/>
        <v>0</v>
      </c>
      <c r="G342" s="883">
        <f t="shared" si="213"/>
        <v>0</v>
      </c>
      <c r="H342" s="883">
        <f t="shared" si="213"/>
        <v>0</v>
      </c>
      <c r="I342" s="883">
        <f t="shared" si="213"/>
        <v>0</v>
      </c>
      <c r="J342" s="883">
        <f t="shared" si="213"/>
        <v>0</v>
      </c>
      <c r="K342" s="883">
        <f t="shared" si="213"/>
        <v>0</v>
      </c>
      <c r="L342" s="883">
        <f t="shared" si="213"/>
        <v>0</v>
      </c>
      <c r="M342" s="862">
        <f>SUM(F342:K342)</f>
        <v>0</v>
      </c>
      <c r="N342" s="862">
        <f>SUM(G342:L342)</f>
        <v>0</v>
      </c>
      <c r="O342" s="3824"/>
      <c r="P342" s="772"/>
      <c r="Q342" s="772"/>
    </row>
    <row r="343" spans="1:17" s="774" customFormat="1" ht="13.5" customHeight="1">
      <c r="A343" s="3715"/>
      <c r="B343" s="884" t="s">
        <v>100</v>
      </c>
      <c r="C343" s="885"/>
      <c r="D343" s="886">
        <f>+D344+D345</f>
        <v>24854667</v>
      </c>
      <c r="E343" s="886">
        <f t="shared" ref="E343:L343" si="214">+E344+E345</f>
        <v>40826</v>
      </c>
      <c r="F343" s="886">
        <f t="shared" si="214"/>
        <v>6373363</v>
      </c>
      <c r="G343" s="886">
        <f t="shared" si="214"/>
        <v>2224562</v>
      </c>
      <c r="H343" s="886">
        <f t="shared" si="214"/>
        <v>12615355</v>
      </c>
      <c r="I343" s="886">
        <f t="shared" si="214"/>
        <v>3600561</v>
      </c>
      <c r="J343" s="886">
        <f t="shared" si="214"/>
        <v>0</v>
      </c>
      <c r="K343" s="886">
        <f t="shared" si="214"/>
        <v>0</v>
      </c>
      <c r="L343" s="886">
        <f t="shared" si="214"/>
        <v>0</v>
      </c>
      <c r="M343" s="563">
        <f>+M344</f>
        <v>758296</v>
      </c>
      <c r="N343" s="563">
        <f>+N344</f>
        <v>630337</v>
      </c>
      <c r="O343" s="3824"/>
      <c r="Q343" s="772"/>
    </row>
    <row r="344" spans="1:17" s="773" customFormat="1" ht="12.75" customHeight="1">
      <c r="A344" s="3715"/>
      <c r="B344" s="36" t="s">
        <v>20</v>
      </c>
      <c r="C344" s="37"/>
      <c r="D344" s="883">
        <f>D427+D442</f>
        <v>799122</v>
      </c>
      <c r="E344" s="883">
        <f t="shared" ref="E344:L344" si="215">E427+E442</f>
        <v>40826</v>
      </c>
      <c r="F344" s="883">
        <f t="shared" si="215"/>
        <v>127959</v>
      </c>
      <c r="G344" s="883">
        <f t="shared" si="215"/>
        <v>394966</v>
      </c>
      <c r="H344" s="883">
        <f t="shared" si="215"/>
        <v>165865</v>
      </c>
      <c r="I344" s="883">
        <f t="shared" si="215"/>
        <v>69506</v>
      </c>
      <c r="J344" s="883">
        <f t="shared" si="215"/>
        <v>0</v>
      </c>
      <c r="K344" s="883">
        <f t="shared" si="215"/>
        <v>0</v>
      </c>
      <c r="L344" s="883">
        <f t="shared" si="215"/>
        <v>0</v>
      </c>
      <c r="M344" s="862">
        <f>SUM(F344:K344)</f>
        <v>758296</v>
      </c>
      <c r="N344" s="862">
        <f>SUM(G344:L344)</f>
        <v>630337</v>
      </c>
      <c r="O344" s="3824"/>
      <c r="P344" s="772"/>
      <c r="Q344" s="772"/>
    </row>
    <row r="345" spans="1:17" s="773" customFormat="1" ht="12.75" customHeight="1">
      <c r="A345" s="3715"/>
      <c r="B345" s="36" t="s">
        <v>21</v>
      </c>
      <c r="C345" s="37"/>
      <c r="D345" s="2598">
        <f>D367+D377+D406+D415</f>
        <v>24055545</v>
      </c>
      <c r="E345" s="2598">
        <f t="shared" ref="E345:L345" si="216">E367+E377+E406+E415</f>
        <v>0</v>
      </c>
      <c r="F345" s="2598">
        <f t="shared" si="216"/>
        <v>6245404</v>
      </c>
      <c r="G345" s="2598">
        <f t="shared" si="216"/>
        <v>1829596</v>
      </c>
      <c r="H345" s="2598">
        <f t="shared" si="216"/>
        <v>12449490</v>
      </c>
      <c r="I345" s="2598">
        <f t="shared" si="216"/>
        <v>3531055</v>
      </c>
      <c r="J345" s="2598">
        <f t="shared" si="216"/>
        <v>0</v>
      </c>
      <c r="K345" s="2598">
        <f t="shared" si="216"/>
        <v>0</v>
      </c>
      <c r="L345" s="2598">
        <f t="shared" si="216"/>
        <v>0</v>
      </c>
      <c r="M345" s="2599"/>
      <c r="N345" s="2599"/>
      <c r="O345" s="3057"/>
      <c r="P345" s="772"/>
      <c r="Q345" s="772"/>
    </row>
    <row r="346" spans="1:17" s="773" customFormat="1" ht="12" customHeight="1">
      <c r="A346" s="3715"/>
      <c r="B346" s="581" t="s">
        <v>22</v>
      </c>
      <c r="C346" s="654"/>
      <c r="D346" s="861">
        <f>+D349+D347</f>
        <v>24911670</v>
      </c>
      <c r="E346" s="861">
        <f t="shared" ref="E346:L346" si="217">+E349+E347</f>
        <v>57003</v>
      </c>
      <c r="F346" s="861">
        <f t="shared" si="217"/>
        <v>45734</v>
      </c>
      <c r="G346" s="861">
        <f t="shared" si="217"/>
        <v>6504508</v>
      </c>
      <c r="H346" s="861">
        <f t="shared" si="217"/>
        <v>7754966</v>
      </c>
      <c r="I346" s="861">
        <f t="shared" si="217"/>
        <v>8632091</v>
      </c>
      <c r="J346" s="861">
        <f t="shared" si="217"/>
        <v>1917368</v>
      </c>
      <c r="K346" s="861">
        <f t="shared" si="217"/>
        <v>0</v>
      </c>
      <c r="L346" s="861">
        <f t="shared" si="217"/>
        <v>0</v>
      </c>
      <c r="M346" s="3697" t="s">
        <v>23</v>
      </c>
      <c r="N346" s="3717" t="s">
        <v>23</v>
      </c>
      <c r="O346" s="119"/>
      <c r="P346" s="772"/>
    </row>
    <row r="347" spans="1:17" s="773" customFormat="1" ht="12" customHeight="1">
      <c r="A347" s="3715"/>
      <c r="B347" s="116" t="s">
        <v>24</v>
      </c>
      <c r="C347" s="117"/>
      <c r="D347" s="882">
        <f>+D348</f>
        <v>57003</v>
      </c>
      <c r="E347" s="882">
        <v>57003</v>
      </c>
      <c r="F347" s="882"/>
      <c r="G347" s="882"/>
      <c r="H347" s="882"/>
      <c r="I347" s="882"/>
      <c r="J347" s="882"/>
      <c r="K347" s="882"/>
      <c r="L347" s="882"/>
      <c r="M347" s="3630"/>
      <c r="N347" s="3718"/>
      <c r="O347" s="119"/>
      <c r="P347" s="772"/>
    </row>
    <row r="348" spans="1:17" s="773" customFormat="1" ht="12" customHeight="1">
      <c r="A348" s="3715"/>
      <c r="B348" s="36" t="s">
        <v>15</v>
      </c>
      <c r="C348" s="37"/>
      <c r="D348" s="883">
        <f>+D380</f>
        <v>57003</v>
      </c>
      <c r="E348" s="883">
        <f>+E375</f>
        <v>57003</v>
      </c>
      <c r="F348" s="883">
        <f>+F375</f>
        <v>0</v>
      </c>
      <c r="G348" s="883">
        <f t="shared" ref="G348:K348" si="218">+G375</f>
        <v>0</v>
      </c>
      <c r="H348" s="883">
        <f t="shared" si="218"/>
        <v>0</v>
      </c>
      <c r="I348" s="883">
        <f t="shared" si="218"/>
        <v>0</v>
      </c>
      <c r="J348" s="883">
        <f t="shared" si="218"/>
        <v>0</v>
      </c>
      <c r="K348" s="883">
        <f t="shared" si="218"/>
        <v>0</v>
      </c>
      <c r="L348" s="883">
        <f t="shared" ref="L348" si="219">+L380</f>
        <v>0</v>
      </c>
      <c r="M348" s="3630"/>
      <c r="N348" s="3718"/>
      <c r="O348" s="119"/>
      <c r="P348" s="772"/>
    </row>
    <row r="349" spans="1:17" s="773" customFormat="1" ht="12.75" customHeight="1">
      <c r="A349" s="3715"/>
      <c r="B349" s="2607" t="s">
        <v>18</v>
      </c>
      <c r="C349" s="2461"/>
      <c r="D349" s="2608">
        <f>+D350+D360</f>
        <v>24854667</v>
      </c>
      <c r="E349" s="2608">
        <f t="shared" ref="E349:L349" si="220">+E350+E360</f>
        <v>0</v>
      </c>
      <c r="F349" s="2608">
        <f t="shared" si="220"/>
        <v>45734</v>
      </c>
      <c r="G349" s="2608">
        <f t="shared" si="220"/>
        <v>6504508</v>
      </c>
      <c r="H349" s="2608">
        <f t="shared" si="220"/>
        <v>7754966</v>
      </c>
      <c r="I349" s="2608">
        <f t="shared" si="220"/>
        <v>8632091</v>
      </c>
      <c r="J349" s="2608">
        <f t="shared" si="220"/>
        <v>1917368</v>
      </c>
      <c r="K349" s="2608">
        <f t="shared" si="220"/>
        <v>0</v>
      </c>
      <c r="L349" s="2608">
        <f t="shared" si="220"/>
        <v>0</v>
      </c>
      <c r="M349" s="3630"/>
      <c r="N349" s="3718"/>
      <c r="O349" s="3057"/>
      <c r="P349" s="772"/>
    </row>
    <row r="350" spans="1:17" s="773" customFormat="1" ht="13.5" customHeight="1" thickBot="1">
      <c r="A350" s="3715"/>
      <c r="B350" s="256" t="s">
        <v>20</v>
      </c>
      <c r="C350" s="791"/>
      <c r="D350" s="2609">
        <f>D433+D448</f>
        <v>799122</v>
      </c>
      <c r="E350" s="2609">
        <f t="shared" ref="E350:L350" si="221">E433+E448</f>
        <v>0</v>
      </c>
      <c r="F350" s="2609">
        <f t="shared" si="221"/>
        <v>45734</v>
      </c>
      <c r="G350" s="2609">
        <f t="shared" si="221"/>
        <v>259104</v>
      </c>
      <c r="H350" s="2609">
        <f t="shared" si="221"/>
        <v>341780</v>
      </c>
      <c r="I350" s="2609">
        <f t="shared" si="221"/>
        <v>152504</v>
      </c>
      <c r="J350" s="2609">
        <f t="shared" si="221"/>
        <v>0</v>
      </c>
      <c r="K350" s="2609">
        <f t="shared" si="221"/>
        <v>0</v>
      </c>
      <c r="L350" s="2609">
        <f t="shared" si="221"/>
        <v>0</v>
      </c>
      <c r="M350" s="3631"/>
      <c r="N350" s="3718"/>
      <c r="O350" s="3057"/>
      <c r="P350" s="772">
        <f>D350-D344</f>
        <v>0</v>
      </c>
    </row>
    <row r="351" spans="1:17" ht="12.75" hidden="1" customHeight="1">
      <c r="A351" s="3715"/>
      <c r="B351" s="2603"/>
      <c r="C351" s="821" t="s">
        <v>81</v>
      </c>
      <c r="D351" s="2604"/>
      <c r="E351" s="2098"/>
      <c r="F351" s="2605"/>
      <c r="G351" s="2605"/>
      <c r="H351" s="278"/>
      <c r="I351" s="2606"/>
      <c r="J351" s="278"/>
      <c r="K351" s="278"/>
      <c r="L351" s="278"/>
      <c r="M351" s="279"/>
      <c r="N351" s="3718"/>
      <c r="O351" s="2517" t="s">
        <v>101</v>
      </c>
    </row>
    <row r="352" spans="1:17" ht="12.75" hidden="1" customHeight="1">
      <c r="A352" s="3715"/>
      <c r="B352" s="21" t="s">
        <v>10</v>
      </c>
      <c r="C352" s="22"/>
      <c r="D352" s="122">
        <f>+D353+D355</f>
        <v>0</v>
      </c>
      <c r="E352" s="122">
        <v>0</v>
      </c>
      <c r="F352" s="122"/>
      <c r="G352" s="122"/>
      <c r="H352" s="122"/>
      <c r="I352" s="122"/>
      <c r="J352" s="122"/>
      <c r="K352" s="122"/>
      <c r="L352" s="122"/>
      <c r="M352" s="63">
        <f>+M353+M355</f>
        <v>0</v>
      </c>
      <c r="N352" s="3718"/>
      <c r="O352" s="2517"/>
    </row>
    <row r="353" spans="1:16" ht="12.75" hidden="1" customHeight="1">
      <c r="A353" s="3715"/>
      <c r="B353" s="167" t="s">
        <v>24</v>
      </c>
      <c r="C353" s="3648" t="s">
        <v>84</v>
      </c>
      <c r="D353" s="123">
        <f>+D354</f>
        <v>0</v>
      </c>
      <c r="E353" s="123">
        <v>0</v>
      </c>
      <c r="F353" s="123"/>
      <c r="G353" s="123"/>
      <c r="H353" s="123"/>
      <c r="I353" s="123"/>
      <c r="J353" s="123"/>
      <c r="K353" s="123"/>
      <c r="L353" s="123"/>
      <c r="M353" s="77">
        <f>+M354</f>
        <v>0</v>
      </c>
      <c r="N353" s="3718"/>
      <c r="O353" s="2517"/>
    </row>
    <row r="354" spans="1:16" ht="12.75" hidden="1" customHeight="1">
      <c r="A354" s="3715"/>
      <c r="B354" s="406" t="s">
        <v>12</v>
      </c>
      <c r="C354" s="3702"/>
      <c r="D354" s="239">
        <f>E354+F354+G354+H354+I354+J354+K354+L354</f>
        <v>0</v>
      </c>
      <c r="E354" s="275">
        <v>0</v>
      </c>
      <c r="F354" s="84"/>
      <c r="G354" s="84"/>
      <c r="H354" s="84"/>
      <c r="I354" s="84"/>
      <c r="J354" s="84"/>
      <c r="K354" s="84"/>
      <c r="L354" s="84"/>
      <c r="M354" s="34">
        <f>SUM(E354:H354)</f>
        <v>0</v>
      </c>
      <c r="N354" s="3718"/>
      <c r="O354" s="2517"/>
    </row>
    <row r="355" spans="1:16" ht="12.75" hidden="1" customHeight="1">
      <c r="A355" s="3715"/>
      <c r="B355" s="430" t="s">
        <v>18</v>
      </c>
      <c r="C355" s="3702"/>
      <c r="D355" s="47">
        <f>+D356</f>
        <v>0</v>
      </c>
      <c r="E355" s="47">
        <v>0</v>
      </c>
      <c r="F355" s="47"/>
      <c r="G355" s="47"/>
      <c r="H355" s="47"/>
      <c r="I355" s="47"/>
      <c r="J355" s="47"/>
      <c r="K355" s="47"/>
      <c r="L355" s="47"/>
      <c r="M355" s="77">
        <f>+M356</f>
        <v>0</v>
      </c>
      <c r="N355" s="3718"/>
      <c r="O355" s="2517"/>
    </row>
    <row r="356" spans="1:16" ht="12.75" hidden="1" customHeight="1">
      <c r="A356" s="3715"/>
      <c r="B356" s="765" t="s">
        <v>205</v>
      </c>
      <c r="C356" s="3703"/>
      <c r="D356" s="239">
        <f>E356+F356+G356+H356+I356+J356+K356+L356</f>
        <v>0</v>
      </c>
      <c r="E356" s="275"/>
      <c r="F356" s="84"/>
      <c r="G356" s="84"/>
      <c r="H356" s="84"/>
      <c r="I356" s="84"/>
      <c r="J356" s="84"/>
      <c r="K356" s="84"/>
      <c r="L356" s="84"/>
      <c r="M356" s="34">
        <f>SUM(E356:H356)</f>
        <v>0</v>
      </c>
      <c r="N356" s="3718"/>
      <c r="O356" s="2601"/>
      <c r="P356" s="426"/>
    </row>
    <row r="357" spans="1:16" ht="10.5" hidden="1" customHeight="1">
      <c r="A357" s="3715"/>
      <c r="B357" s="21" t="s">
        <v>22</v>
      </c>
      <c r="C357" s="22"/>
      <c r="D357" s="193">
        <f>+D358</f>
        <v>0</v>
      </c>
      <c r="E357" s="193">
        <v>0</v>
      </c>
      <c r="F357" s="193"/>
      <c r="G357" s="193"/>
      <c r="H357" s="193"/>
      <c r="I357" s="193"/>
      <c r="J357" s="193"/>
      <c r="K357" s="193"/>
      <c r="L357" s="193"/>
      <c r="M357" s="3629" t="s">
        <v>23</v>
      </c>
      <c r="N357" s="3718"/>
      <c r="O357" s="2602" t="s">
        <v>102</v>
      </c>
    </row>
    <row r="358" spans="1:16" s="257" customFormat="1" ht="12.75" hidden="1" customHeight="1">
      <c r="A358" s="3715"/>
      <c r="B358" s="430" t="s">
        <v>18</v>
      </c>
      <c r="C358" s="3648" t="s">
        <v>84</v>
      </c>
      <c r="D358" s="671">
        <f>+D359</f>
        <v>0</v>
      </c>
      <c r="E358" s="760">
        <v>0</v>
      </c>
      <c r="F358" s="671"/>
      <c r="G358" s="671"/>
      <c r="H358" s="671"/>
      <c r="I358" s="671"/>
      <c r="J358" s="671"/>
      <c r="K358" s="671"/>
      <c r="L358" s="671"/>
      <c r="M358" s="3630"/>
      <c r="N358" s="3718"/>
      <c r="O358" s="3048"/>
    </row>
    <row r="359" spans="1:16" ht="12" hidden="1" customHeight="1" thickBot="1">
      <c r="A359" s="3715"/>
      <c r="B359" s="53" t="s">
        <v>20</v>
      </c>
      <c r="C359" s="3657"/>
      <c r="D359" s="239">
        <f>E359+F359+G359+H359+I359+J359+K359+L359</f>
        <v>0</v>
      </c>
      <c r="E359" s="275">
        <v>0</v>
      </c>
      <c r="F359" s="70"/>
      <c r="G359" s="70"/>
      <c r="H359" s="70"/>
      <c r="I359" s="70"/>
      <c r="J359" s="70"/>
      <c r="K359" s="70"/>
      <c r="L359" s="70"/>
      <c r="M359" s="3631"/>
      <c r="N359" s="3718"/>
      <c r="O359" s="3049"/>
    </row>
    <row r="360" spans="1:16" ht="12" customHeight="1" thickBot="1">
      <c r="A360" s="3716"/>
      <c r="B360" s="775" t="s">
        <v>21</v>
      </c>
      <c r="C360" s="776"/>
      <c r="D360" s="120">
        <f>D370+D382+D409+D418</f>
        <v>24055545</v>
      </c>
      <c r="E360" s="120">
        <f t="shared" ref="E360:L360" si="222">E370+E382+E409+E418</f>
        <v>0</v>
      </c>
      <c r="F360" s="120">
        <f t="shared" si="222"/>
        <v>0</v>
      </c>
      <c r="G360" s="120">
        <f t="shared" si="222"/>
        <v>6245404</v>
      </c>
      <c r="H360" s="120">
        <f t="shared" si="222"/>
        <v>7413186</v>
      </c>
      <c r="I360" s="120">
        <f t="shared" si="222"/>
        <v>8479587</v>
      </c>
      <c r="J360" s="120">
        <f t="shared" si="222"/>
        <v>1917368</v>
      </c>
      <c r="K360" s="120">
        <f t="shared" si="222"/>
        <v>0</v>
      </c>
      <c r="L360" s="120">
        <f t="shared" si="222"/>
        <v>0</v>
      </c>
      <c r="M360" s="2600"/>
      <c r="N360" s="3719"/>
      <c r="O360" s="121"/>
    </row>
    <row r="361" spans="1:16" ht="20.25" customHeight="1" thickBot="1">
      <c r="A361" s="3059"/>
      <c r="B361" s="271" t="s">
        <v>500</v>
      </c>
      <c r="C361" s="3056"/>
      <c r="D361" s="777"/>
      <c r="E361" s="200"/>
      <c r="F361" s="778"/>
      <c r="G361" s="778"/>
      <c r="H361" s="779"/>
      <c r="I361" s="201"/>
      <c r="J361" s="779"/>
      <c r="K361" s="779"/>
      <c r="L361" s="779"/>
      <c r="M361" s="280"/>
      <c r="N361" s="280"/>
      <c r="O361" s="3055"/>
    </row>
    <row r="362" spans="1:16" ht="28.5" customHeight="1">
      <c r="A362" s="3691" t="s">
        <v>97</v>
      </c>
      <c r="B362" s="273" t="s">
        <v>491</v>
      </c>
      <c r="C362" s="56" t="s">
        <v>81</v>
      </c>
      <c r="D362" s="3162"/>
      <c r="E362" s="3161"/>
      <c r="F362" s="3161"/>
      <c r="G362" s="3161"/>
      <c r="H362" s="3161"/>
      <c r="I362" s="3161"/>
      <c r="J362" s="3161"/>
      <c r="K362" s="3161"/>
      <c r="L362" s="41"/>
      <c r="M362" s="60"/>
      <c r="N362" s="60"/>
      <c r="O362" s="3620" t="s">
        <v>86</v>
      </c>
    </row>
    <row r="363" spans="1:16">
      <c r="A363" s="3692"/>
      <c r="B363" s="581" t="s">
        <v>10</v>
      </c>
      <c r="C363" s="1475"/>
      <c r="D363" s="1500">
        <f>+D364+D366</f>
        <v>13000000</v>
      </c>
      <c r="E363" s="1500">
        <f t="shared" ref="E363" si="223">+E364+E366</f>
        <v>20256</v>
      </c>
      <c r="F363" s="1500">
        <f>+F364+F366</f>
        <v>7431430</v>
      </c>
      <c r="G363" s="1500">
        <f>+G364+G366</f>
        <v>5548314</v>
      </c>
      <c r="H363" s="1500"/>
      <c r="I363" s="1500"/>
      <c r="J363" s="1500"/>
      <c r="K363" s="1500"/>
      <c r="L363" s="1500"/>
      <c r="M363" s="1477">
        <f>+M364+M366</f>
        <v>12979744</v>
      </c>
      <c r="N363" s="1477">
        <f>+N364+N366</f>
        <v>5548314</v>
      </c>
      <c r="O363" s="3621"/>
    </row>
    <row r="364" spans="1:16">
      <c r="A364" s="3692"/>
      <c r="B364" s="555" t="s">
        <v>24</v>
      </c>
      <c r="C364" s="3655" t="s">
        <v>84</v>
      </c>
      <c r="D364" s="1501">
        <f>+D365</f>
        <v>5350000</v>
      </c>
      <c r="E364" s="1501">
        <f t="shared" ref="E364:G364" si="224">+E365</f>
        <v>20256</v>
      </c>
      <c r="F364" s="1501">
        <f t="shared" si="224"/>
        <v>1186026</v>
      </c>
      <c r="G364" s="1501">
        <f t="shared" si="224"/>
        <v>4143718</v>
      </c>
      <c r="H364" s="1501"/>
      <c r="I364" s="1501"/>
      <c r="J364" s="1501"/>
      <c r="K364" s="1501"/>
      <c r="L364" s="1501"/>
      <c r="M364" s="1480">
        <f>+M365</f>
        <v>5329744</v>
      </c>
      <c r="N364" s="1480">
        <f>+N365</f>
        <v>4143718</v>
      </c>
      <c r="O364" s="3621"/>
    </row>
    <row r="365" spans="1:16">
      <c r="A365" s="3692"/>
      <c r="B365" s="868" t="s">
        <v>12</v>
      </c>
      <c r="C365" s="3702"/>
      <c r="D365" s="1406">
        <f>E365+F365+G365+H365+I365+J365+K365+L365</f>
        <v>5350000</v>
      </c>
      <c r="E365" s="1453">
        <f>20256</f>
        <v>20256</v>
      </c>
      <c r="F365" s="1491">
        <f>1743624+383940+1505122+240000-1765801-309301-611558</f>
        <v>1186026</v>
      </c>
      <c r="G365" s="1491">
        <f>3265801+266359+611558</f>
        <v>4143718</v>
      </c>
      <c r="H365" s="1491"/>
      <c r="I365" s="1491"/>
      <c r="J365" s="1491"/>
      <c r="K365" s="1491"/>
      <c r="L365" s="1491"/>
      <c r="M365" s="1493">
        <f>SUM(F365:K365)</f>
        <v>5329744</v>
      </c>
      <c r="N365" s="1493">
        <f>SUM(G365:L365)</f>
        <v>4143718</v>
      </c>
      <c r="O365" s="3621"/>
    </row>
    <row r="366" spans="1:16">
      <c r="A366" s="3692"/>
      <c r="B366" s="864" t="s">
        <v>18</v>
      </c>
      <c r="C366" s="3702"/>
      <c r="D366" s="1479">
        <f>+D367</f>
        <v>7650000</v>
      </c>
      <c r="E366" s="1778">
        <f t="shared" ref="E366:G366" si="225">+E367</f>
        <v>0</v>
      </c>
      <c r="F366" s="1479">
        <f t="shared" si="225"/>
        <v>6245404</v>
      </c>
      <c r="G366" s="1479">
        <f t="shared" si="225"/>
        <v>1404596</v>
      </c>
      <c r="H366" s="1479"/>
      <c r="I366" s="1479"/>
      <c r="J366" s="1479"/>
      <c r="K366" s="1479"/>
      <c r="L366" s="1479"/>
      <c r="M366" s="1480">
        <f>+M367</f>
        <v>7650000</v>
      </c>
      <c r="N366" s="1480">
        <f>+N367</f>
        <v>1404596</v>
      </c>
      <c r="O366" s="3621"/>
    </row>
    <row r="367" spans="1:16">
      <c r="A367" s="3692"/>
      <c r="B367" s="1779" t="s">
        <v>21</v>
      </c>
      <c r="C367" s="3703"/>
      <c r="D367" s="1406">
        <f>E367+F367+G367+H367+I367+J367+K367+L367</f>
        <v>7650000</v>
      </c>
      <c r="E367" s="2080">
        <v>0</v>
      </c>
      <c r="F367" s="1491">
        <f>5576376+1196060+74622+760000-1086523-886689+611558</f>
        <v>6245404</v>
      </c>
      <c r="G367" s="1491">
        <f>1086523+929631-611558</f>
        <v>1404596</v>
      </c>
      <c r="H367" s="1491"/>
      <c r="I367" s="1491"/>
      <c r="J367" s="1491"/>
      <c r="K367" s="1491"/>
      <c r="L367" s="1491"/>
      <c r="M367" s="1493">
        <f>SUM(F367:K367)</f>
        <v>7650000</v>
      </c>
      <c r="N367" s="1493">
        <f>SUM(G367:L367)</f>
        <v>1404596</v>
      </c>
      <c r="O367" s="3638"/>
      <c r="P367" s="426"/>
    </row>
    <row r="368" spans="1:16">
      <c r="A368" s="3706"/>
      <c r="B368" s="581" t="s">
        <v>22</v>
      </c>
      <c r="C368" s="1475"/>
      <c r="D368" s="1476">
        <f>+D369</f>
        <v>7650000</v>
      </c>
      <c r="E368" s="1780">
        <f t="shared" ref="E368:H369" si="226">+E369</f>
        <v>0</v>
      </c>
      <c r="F368" s="1780">
        <f t="shared" si="226"/>
        <v>0</v>
      </c>
      <c r="G368" s="1476">
        <f t="shared" si="226"/>
        <v>6245404</v>
      </c>
      <c r="H368" s="1476">
        <f t="shared" si="226"/>
        <v>1404596</v>
      </c>
      <c r="I368" s="1476"/>
      <c r="J368" s="1476"/>
      <c r="K368" s="1476"/>
      <c r="L368" s="1476"/>
      <c r="M368" s="3755" t="s">
        <v>23</v>
      </c>
      <c r="N368" s="3755" t="s">
        <v>23</v>
      </c>
      <c r="O368" s="3713" t="s">
        <v>102</v>
      </c>
      <c r="P368" s="426"/>
    </row>
    <row r="369" spans="1:16" s="257" customFormat="1" ht="12.75" customHeight="1">
      <c r="A369" s="3706"/>
      <c r="B369" s="864" t="s">
        <v>18</v>
      </c>
      <c r="C369" s="3655" t="s">
        <v>84</v>
      </c>
      <c r="D369" s="1497">
        <f>+D370</f>
        <v>7650000</v>
      </c>
      <c r="E369" s="2079">
        <v>0</v>
      </c>
      <c r="F369" s="2079">
        <f t="shared" si="226"/>
        <v>0</v>
      </c>
      <c r="G369" s="1504">
        <f t="shared" si="226"/>
        <v>6245404</v>
      </c>
      <c r="H369" s="1504">
        <f t="shared" si="226"/>
        <v>1404596</v>
      </c>
      <c r="I369" s="1497"/>
      <c r="J369" s="1497"/>
      <c r="K369" s="1497"/>
      <c r="L369" s="1497"/>
      <c r="M369" s="3630"/>
      <c r="N369" s="3630"/>
      <c r="O369" s="3699"/>
    </row>
    <row r="370" spans="1:16" ht="12" customHeight="1" thickBot="1">
      <c r="A370" s="3707"/>
      <c r="B370" s="722" t="s">
        <v>21</v>
      </c>
      <c r="C370" s="3657"/>
      <c r="D370" s="1578">
        <f>E370+F370+G370+H370+I370+J370+K370+L370</f>
        <v>7650000</v>
      </c>
      <c r="E370" s="3293">
        <v>0</v>
      </c>
      <c r="F370" s="1787">
        <v>0</v>
      </c>
      <c r="G370" s="1786">
        <f>2861124+4745934-1600000+238346</f>
        <v>6245404</v>
      </c>
      <c r="H370" s="1786">
        <f>1642942-238346</f>
        <v>1404596</v>
      </c>
      <c r="I370" s="1786"/>
      <c r="J370" s="1786"/>
      <c r="K370" s="1786"/>
      <c r="L370" s="1786"/>
      <c r="M370" s="3631"/>
      <c r="N370" s="3631"/>
      <c r="O370" s="3700"/>
    </row>
    <row r="371" spans="1:16" ht="24">
      <c r="A371" s="3691" t="s">
        <v>99</v>
      </c>
      <c r="B371" s="273" t="s">
        <v>492</v>
      </c>
      <c r="C371" s="56" t="s">
        <v>81</v>
      </c>
      <c r="D371" s="3162"/>
      <c r="E371" s="3161"/>
      <c r="F371" s="3161"/>
      <c r="G371" s="3161"/>
      <c r="H371" s="3161"/>
      <c r="I371" s="3161"/>
      <c r="J371" s="3161"/>
      <c r="K371" s="3161"/>
      <c r="L371" s="41"/>
      <c r="M371" s="60"/>
      <c r="N371" s="60"/>
      <c r="O371" s="3620" t="s">
        <v>86</v>
      </c>
    </row>
    <row r="372" spans="1:16">
      <c r="A372" s="3692"/>
      <c r="B372" s="581" t="s">
        <v>10</v>
      </c>
      <c r="C372" s="472"/>
      <c r="D372" s="2036">
        <f>+D373+D376</f>
        <v>12413366</v>
      </c>
      <c r="E372" s="2036">
        <f t="shared" ref="E372" si="227">+E373+E376</f>
        <v>395660</v>
      </c>
      <c r="F372" s="2037">
        <f t="shared" ref="F372:H372" si="228">+F373+F376</f>
        <v>0</v>
      </c>
      <c r="G372" s="2036">
        <f t="shared" si="228"/>
        <v>500000</v>
      </c>
      <c r="H372" s="2036">
        <f t="shared" si="228"/>
        <v>11517706</v>
      </c>
      <c r="I372" s="2036"/>
      <c r="J372" s="2036"/>
      <c r="K372" s="2036"/>
      <c r="L372" s="2036"/>
      <c r="M372" s="2038">
        <f>+M373+M376</f>
        <v>12017706</v>
      </c>
      <c r="N372" s="2038">
        <f>+N373+N376</f>
        <v>12017706</v>
      </c>
      <c r="O372" s="3621"/>
    </row>
    <row r="373" spans="1:16">
      <c r="A373" s="3692"/>
      <c r="B373" s="555" t="s">
        <v>24</v>
      </c>
      <c r="C373" s="3646" t="s">
        <v>84</v>
      </c>
      <c r="D373" s="2039">
        <f>+D374+D375</f>
        <v>5594666</v>
      </c>
      <c r="E373" s="2039">
        <f t="shared" ref="E373" si="229">+E374+E375</f>
        <v>395660</v>
      </c>
      <c r="F373" s="2040">
        <v>0</v>
      </c>
      <c r="G373" s="2039">
        <f>+G374+G375</f>
        <v>75000</v>
      </c>
      <c r="H373" s="2039">
        <f>+H374+H375</f>
        <v>5124006</v>
      </c>
      <c r="I373" s="2039"/>
      <c r="J373" s="2039"/>
      <c r="K373" s="2039"/>
      <c r="L373" s="2039"/>
      <c r="M373" s="563">
        <f>+M374</f>
        <v>5199006</v>
      </c>
      <c r="N373" s="563">
        <f>+N374</f>
        <v>5199006</v>
      </c>
      <c r="O373" s="3621"/>
    </row>
    <row r="374" spans="1:16">
      <c r="A374" s="3692"/>
      <c r="B374" s="868" t="s">
        <v>12</v>
      </c>
      <c r="C374" s="3702"/>
      <c r="D374" s="839">
        <f>E374+F374+G374+H374+I374+J374+K374+L374</f>
        <v>5537663</v>
      </c>
      <c r="E374" s="854">
        <v>338657</v>
      </c>
      <c r="F374" s="1536">
        <v>0</v>
      </c>
      <c r="G374" s="2054">
        <f>1887021+23820-1309191-151650-375000</f>
        <v>75000</v>
      </c>
      <c r="H374" s="2054">
        <f>601650+4147356+375000</f>
        <v>5124006</v>
      </c>
      <c r="I374" s="2054"/>
      <c r="J374" s="2054"/>
      <c r="K374" s="2054"/>
      <c r="L374" s="2054"/>
      <c r="M374" s="862">
        <f>SUM(F374:K374)</f>
        <v>5199006</v>
      </c>
      <c r="N374" s="862">
        <f>SUM(G374:L374)</f>
        <v>5199006</v>
      </c>
      <c r="O374" s="3621"/>
    </row>
    <row r="375" spans="1:16" ht="12" customHeight="1">
      <c r="A375" s="3692"/>
      <c r="B375" s="868" t="s">
        <v>15</v>
      </c>
      <c r="C375" s="3702"/>
      <c r="D375" s="839">
        <f>E375+F375+G375+H375+I375+J375+K375+L375</f>
        <v>57003</v>
      </c>
      <c r="E375" s="854">
        <v>57003</v>
      </c>
      <c r="F375" s="1536">
        <v>0</v>
      </c>
      <c r="G375" s="1536">
        <v>0</v>
      </c>
      <c r="H375" s="1536"/>
      <c r="I375" s="1536"/>
      <c r="J375" s="1536"/>
      <c r="K375" s="1536"/>
      <c r="L375" s="1536"/>
      <c r="M375" s="862">
        <f>SUM(F375:K375)</f>
        <v>0</v>
      </c>
      <c r="N375" s="862">
        <f>SUM(G375:L375)</f>
        <v>0</v>
      </c>
      <c r="O375" s="3621"/>
    </row>
    <row r="376" spans="1:16">
      <c r="A376" s="3692"/>
      <c r="B376" s="864" t="s">
        <v>18</v>
      </c>
      <c r="C376" s="3702"/>
      <c r="D376" s="564">
        <f>+D377</f>
        <v>6818700</v>
      </c>
      <c r="E376" s="564">
        <f t="shared" ref="E376:H376" si="230">+E377</f>
        <v>0</v>
      </c>
      <c r="F376" s="2040">
        <v>0</v>
      </c>
      <c r="G376" s="564">
        <f t="shared" si="230"/>
        <v>425000</v>
      </c>
      <c r="H376" s="564">
        <f t="shared" si="230"/>
        <v>6393700</v>
      </c>
      <c r="I376" s="564"/>
      <c r="J376" s="564"/>
      <c r="K376" s="564"/>
      <c r="L376" s="564"/>
      <c r="M376" s="563">
        <f>+M377</f>
        <v>6818700</v>
      </c>
      <c r="N376" s="563">
        <f>+N377</f>
        <v>6818700</v>
      </c>
      <c r="O376" s="3621"/>
    </row>
    <row r="377" spans="1:16" ht="12" customHeight="1">
      <c r="A377" s="3692"/>
      <c r="B377" s="716" t="s">
        <v>21</v>
      </c>
      <c r="C377" s="3703"/>
      <c r="D377" s="839">
        <f>E377+F377+G377+H377+I377+J377+K377+L377</f>
        <v>6818700</v>
      </c>
      <c r="E377" s="854">
        <v>0</v>
      </c>
      <c r="F377" s="1536">
        <v>0</v>
      </c>
      <c r="G377" s="2054">
        <f>6034979+76180-2701809-859350-2125000</f>
        <v>425000</v>
      </c>
      <c r="H377" s="2054">
        <f>3409350+859350+2125000</f>
        <v>6393700</v>
      </c>
      <c r="I377" s="2054"/>
      <c r="J377" s="2054"/>
      <c r="K377" s="2054"/>
      <c r="L377" s="2054"/>
      <c r="M377" s="862">
        <f>SUM(F377:K377)</f>
        <v>6818700</v>
      </c>
      <c r="N377" s="862">
        <f>SUM(G377:L377)</f>
        <v>6818700</v>
      </c>
      <c r="O377" s="3638"/>
      <c r="P377" s="426"/>
    </row>
    <row r="378" spans="1:16" ht="11.25" customHeight="1">
      <c r="A378" s="3706"/>
      <c r="B378" s="581" t="s">
        <v>22</v>
      </c>
      <c r="C378" s="472"/>
      <c r="D378" s="626">
        <f>+D379+D381</f>
        <v>6875703</v>
      </c>
      <c r="E378" s="626">
        <f t="shared" ref="E378" si="231">+E379+E381</f>
        <v>57003</v>
      </c>
      <c r="F378" s="655">
        <f t="shared" ref="F378:I378" si="232">+F379+F381</f>
        <v>0</v>
      </c>
      <c r="G378" s="626">
        <f t="shared" si="232"/>
        <v>0</v>
      </c>
      <c r="H378" s="626">
        <f t="shared" si="232"/>
        <v>4091220</v>
      </c>
      <c r="I378" s="626">
        <f t="shared" si="232"/>
        <v>2727480</v>
      </c>
      <c r="J378" s="626"/>
      <c r="K378" s="626"/>
      <c r="L378" s="626"/>
      <c r="M378" s="3697" t="s">
        <v>23</v>
      </c>
      <c r="N378" s="3697" t="s">
        <v>23</v>
      </c>
      <c r="O378" s="3698" t="s">
        <v>102</v>
      </c>
    </row>
    <row r="379" spans="1:16">
      <c r="A379" s="3706"/>
      <c r="B379" s="864" t="s">
        <v>24</v>
      </c>
      <c r="C379" s="3809" t="s">
        <v>84</v>
      </c>
      <c r="D379" s="2039">
        <f>+D380</f>
        <v>57003</v>
      </c>
      <c r="E379" s="2039">
        <f t="shared" ref="E379" si="233">+E380</f>
        <v>57003</v>
      </c>
      <c r="F379" s="2040">
        <v>0</v>
      </c>
      <c r="G379" s="2040">
        <v>0</v>
      </c>
      <c r="H379" s="2040">
        <v>0</v>
      </c>
      <c r="I379" s="2040">
        <v>0</v>
      </c>
      <c r="J379" s="2040"/>
      <c r="K379" s="2040"/>
      <c r="L379" s="2040"/>
      <c r="M379" s="3630"/>
      <c r="N379" s="3630"/>
      <c r="O379" s="3699"/>
    </row>
    <row r="380" spans="1:16">
      <c r="A380" s="3706"/>
      <c r="B380" s="716" t="s">
        <v>15</v>
      </c>
      <c r="C380" s="3810"/>
      <c r="D380" s="839">
        <f>E380+F380+G380+H380+I380+J380+K380+L380</f>
        <v>57003</v>
      </c>
      <c r="E380" s="854">
        <v>57003</v>
      </c>
      <c r="F380" s="1536">
        <v>0</v>
      </c>
      <c r="G380" s="1536">
        <v>0</v>
      </c>
      <c r="H380" s="1536">
        <v>0</v>
      </c>
      <c r="I380" s="1536">
        <v>0</v>
      </c>
      <c r="J380" s="1536"/>
      <c r="K380" s="1536"/>
      <c r="L380" s="1536"/>
      <c r="M380" s="3630"/>
      <c r="N380" s="3630"/>
      <c r="O380" s="3699"/>
    </row>
    <row r="381" spans="1:16" s="257" customFormat="1" ht="12.75" customHeight="1">
      <c r="A381" s="3706"/>
      <c r="B381" s="864" t="s">
        <v>18</v>
      </c>
      <c r="C381" s="3810"/>
      <c r="D381" s="780">
        <f>+D382</f>
        <v>6818700</v>
      </c>
      <c r="E381" s="3294">
        <f t="shared" ref="E381:I381" si="234">+E382</f>
        <v>0</v>
      </c>
      <c r="F381" s="2040">
        <v>0</v>
      </c>
      <c r="G381" s="2081">
        <f t="shared" si="234"/>
        <v>0</v>
      </c>
      <c r="H381" s="2081">
        <f t="shared" si="234"/>
        <v>4091220</v>
      </c>
      <c r="I381" s="2081">
        <f t="shared" si="234"/>
        <v>2727480</v>
      </c>
      <c r="J381" s="780"/>
      <c r="K381" s="780"/>
      <c r="L381" s="780"/>
      <c r="M381" s="3630"/>
      <c r="N381" s="3630"/>
      <c r="O381" s="3699"/>
    </row>
    <row r="382" spans="1:16" ht="12" customHeight="1" thickBot="1">
      <c r="A382" s="3707"/>
      <c r="B382" s="722" t="s">
        <v>21</v>
      </c>
      <c r="C382" s="3811"/>
      <c r="D382" s="1870">
        <f>E382+F382+G382+H382+I382+J382+K382+L382</f>
        <v>6818700</v>
      </c>
      <c r="E382" s="1870">
        <v>0</v>
      </c>
      <c r="F382" s="3295">
        <v>0</v>
      </c>
      <c r="G382" s="1786">
        <f>2555629+1141538-2197167-1500000</f>
        <v>0</v>
      </c>
      <c r="H382" s="1786">
        <f>2413992+2904708-1227480</f>
        <v>4091220</v>
      </c>
      <c r="I382" s="1786">
        <v>2727480</v>
      </c>
      <c r="J382" s="1786"/>
      <c r="K382" s="1786"/>
      <c r="L382" s="1786"/>
      <c r="M382" s="3631"/>
      <c r="N382" s="3631"/>
      <c r="O382" s="3700"/>
    </row>
    <row r="383" spans="1:16" ht="24.75" hidden="1" customHeight="1">
      <c r="A383" s="3691" t="s">
        <v>99</v>
      </c>
      <c r="B383" s="273"/>
      <c r="C383" s="56" t="s">
        <v>81</v>
      </c>
      <c r="D383" s="124"/>
      <c r="E383" s="561"/>
      <c r="F383" s="42"/>
      <c r="G383" s="42"/>
      <c r="H383" s="230"/>
      <c r="I383" s="41"/>
      <c r="J383" s="230"/>
      <c r="K383" s="230"/>
      <c r="L383" s="230"/>
      <c r="M383" s="60"/>
      <c r="N383" s="60"/>
      <c r="O383" s="3620" t="s">
        <v>86</v>
      </c>
      <c r="P383" s="226" t="s">
        <v>269</v>
      </c>
    </row>
    <row r="384" spans="1:16" hidden="1">
      <c r="A384" s="3692"/>
      <c r="B384" s="2440" t="s">
        <v>10</v>
      </c>
      <c r="C384" s="1475"/>
      <c r="D384" s="2036">
        <f>+D385+D387</f>
        <v>0</v>
      </c>
      <c r="E384" s="2036">
        <f t="shared" ref="E384" si="235">+E385+E387</f>
        <v>0</v>
      </c>
      <c r="F384" s="2036">
        <f t="shared" ref="F384:H384" si="236">+F385+F387</f>
        <v>0</v>
      </c>
      <c r="G384" s="2036">
        <f t="shared" si="236"/>
        <v>0</v>
      </c>
      <c r="H384" s="2036">
        <f t="shared" si="236"/>
        <v>0</v>
      </c>
      <c r="I384" s="2036"/>
      <c r="J384" s="2036"/>
      <c r="K384" s="2036"/>
      <c r="L384" s="2036"/>
      <c r="M384" s="2038">
        <f>+M385+M387</f>
        <v>0</v>
      </c>
      <c r="N384" s="2038">
        <f>+N385+N387</f>
        <v>0</v>
      </c>
      <c r="O384" s="3621"/>
    </row>
    <row r="385" spans="1:16" hidden="1">
      <c r="A385" s="3692"/>
      <c r="B385" s="2478" t="s">
        <v>24</v>
      </c>
      <c r="C385" s="3646" t="s">
        <v>84</v>
      </c>
      <c r="D385" s="2039">
        <f>+D386</f>
        <v>0</v>
      </c>
      <c r="E385" s="2039">
        <f t="shared" ref="E385:H385" si="237">+E386</f>
        <v>0</v>
      </c>
      <c r="F385" s="2039">
        <f t="shared" si="237"/>
        <v>0</v>
      </c>
      <c r="G385" s="2039">
        <f t="shared" si="237"/>
        <v>0</v>
      </c>
      <c r="H385" s="2039">
        <f t="shared" si="237"/>
        <v>0</v>
      </c>
      <c r="I385" s="2039"/>
      <c r="J385" s="2039"/>
      <c r="K385" s="2039"/>
      <c r="L385" s="2039"/>
      <c r="M385" s="563">
        <f>+M386</f>
        <v>0</v>
      </c>
      <c r="N385" s="563">
        <f>+N386</f>
        <v>0</v>
      </c>
      <c r="O385" s="3621"/>
    </row>
    <row r="386" spans="1:16" hidden="1">
      <c r="A386" s="3692"/>
      <c r="B386" s="2479" t="s">
        <v>12</v>
      </c>
      <c r="C386" s="3702"/>
      <c r="D386" s="839"/>
      <c r="E386" s="854"/>
      <c r="F386" s="2054"/>
      <c r="G386" s="2054">
        <f>1854503+17167-1310168-561502</f>
        <v>0</v>
      </c>
      <c r="H386" s="2054">
        <f>1550169-1550169</f>
        <v>0</v>
      </c>
      <c r="I386" s="2054"/>
      <c r="J386" s="2054"/>
      <c r="K386" s="2054"/>
      <c r="L386" s="2054"/>
      <c r="M386" s="862">
        <f>SUM(F386:K386)</f>
        <v>0</v>
      </c>
      <c r="N386" s="862">
        <f>SUM(G386:L386)</f>
        <v>0</v>
      </c>
      <c r="O386" s="3621"/>
    </row>
    <row r="387" spans="1:16" hidden="1">
      <c r="A387" s="3692"/>
      <c r="B387" s="2480" t="s">
        <v>18</v>
      </c>
      <c r="C387" s="3702"/>
      <c r="D387" s="564">
        <f>+D388</f>
        <v>0</v>
      </c>
      <c r="E387" s="564">
        <f t="shared" ref="E387:H387" si="238">+E388</f>
        <v>0</v>
      </c>
      <c r="F387" s="564">
        <f t="shared" si="238"/>
        <v>0</v>
      </c>
      <c r="G387" s="564">
        <f t="shared" si="238"/>
        <v>0</v>
      </c>
      <c r="H387" s="564">
        <f t="shared" si="238"/>
        <v>0</v>
      </c>
      <c r="I387" s="564"/>
      <c r="J387" s="564"/>
      <c r="K387" s="564"/>
      <c r="L387" s="564"/>
      <c r="M387" s="563">
        <f>+M388</f>
        <v>0</v>
      </c>
      <c r="N387" s="563">
        <f>+N388</f>
        <v>0</v>
      </c>
      <c r="O387" s="3621"/>
    </row>
    <row r="388" spans="1:16" hidden="1">
      <c r="A388" s="3692"/>
      <c r="B388" s="716" t="s">
        <v>21</v>
      </c>
      <c r="C388" s="3703"/>
      <c r="D388" s="839">
        <f>E388+F388+G388+H388+I388+J388+K388+L388</f>
        <v>0</v>
      </c>
      <c r="E388" s="854">
        <f>4205-4205</f>
        <v>0</v>
      </c>
      <c r="F388" s="2054">
        <f>5928372+953820+1843-6884035</f>
        <v>0</v>
      </c>
      <c r="G388" s="2054">
        <f>6124035-4286825-1837210</f>
        <v>0</v>
      </c>
      <c r="H388" s="2054">
        <f>5046825-5046825</f>
        <v>0</v>
      </c>
      <c r="I388" s="2054"/>
      <c r="J388" s="2054"/>
      <c r="K388" s="2054"/>
      <c r="L388" s="2054"/>
      <c r="M388" s="862">
        <f>SUM(F388:K388)</f>
        <v>0</v>
      </c>
      <c r="N388" s="862">
        <f>SUM(G388:L388)</f>
        <v>0</v>
      </c>
      <c r="O388" s="3638"/>
      <c r="P388" s="426"/>
    </row>
    <row r="389" spans="1:16" hidden="1">
      <c r="A389" s="3706"/>
      <c r="B389" s="2440" t="s">
        <v>22</v>
      </c>
      <c r="C389" s="1475"/>
      <c r="D389" s="626">
        <f>+D390</f>
        <v>0</v>
      </c>
      <c r="E389" s="626">
        <f t="shared" ref="E389:I390" si="239">+E390</f>
        <v>0</v>
      </c>
      <c r="F389" s="626">
        <f t="shared" si="239"/>
        <v>0</v>
      </c>
      <c r="G389" s="626">
        <f t="shared" si="239"/>
        <v>0</v>
      </c>
      <c r="H389" s="626">
        <f t="shared" si="239"/>
        <v>0</v>
      </c>
      <c r="I389" s="626">
        <f t="shared" si="239"/>
        <v>0</v>
      </c>
      <c r="J389" s="626"/>
      <c r="K389" s="626"/>
      <c r="L389" s="626"/>
      <c r="M389" s="3697" t="s">
        <v>23</v>
      </c>
      <c r="N389" s="3697" t="s">
        <v>23</v>
      </c>
      <c r="O389" s="3698" t="s">
        <v>102</v>
      </c>
    </row>
    <row r="390" spans="1:16" s="257" customFormat="1" ht="12.75" hidden="1" customHeight="1">
      <c r="A390" s="3706"/>
      <c r="B390" s="2480" t="s">
        <v>18</v>
      </c>
      <c r="C390" s="3646" t="s">
        <v>84</v>
      </c>
      <c r="D390" s="780">
        <f>+D391</f>
        <v>0</v>
      </c>
      <c r="E390" s="2081">
        <f t="shared" si="239"/>
        <v>0</v>
      </c>
      <c r="F390" s="2081">
        <f t="shared" si="239"/>
        <v>0</v>
      </c>
      <c r="G390" s="2081">
        <f t="shared" si="239"/>
        <v>0</v>
      </c>
      <c r="H390" s="2081">
        <f t="shared" si="239"/>
        <v>0</v>
      </c>
      <c r="I390" s="2081">
        <f t="shared" si="239"/>
        <v>0</v>
      </c>
      <c r="J390" s="780"/>
      <c r="K390" s="780"/>
      <c r="L390" s="780"/>
      <c r="M390" s="3630"/>
      <c r="N390" s="3630"/>
      <c r="O390" s="3699"/>
    </row>
    <row r="391" spans="1:16" ht="13.5" hidden="1" thickBot="1">
      <c r="A391" s="3707"/>
      <c r="B391" s="722" t="s">
        <v>21</v>
      </c>
      <c r="C391" s="3657"/>
      <c r="D391" s="2283">
        <f>E391+F391+G391+H391+I391+J391+K391+L391</f>
        <v>0</v>
      </c>
      <c r="E391" s="2283">
        <v>0</v>
      </c>
      <c r="F391" s="1786">
        <f>3909880-3909880</f>
        <v>0</v>
      </c>
      <c r="G391" s="1786">
        <f>2978360+931520-3909880</f>
        <v>0</v>
      </c>
      <c r="H391" s="1786">
        <f>2218360+760000-2978360</f>
        <v>0</v>
      </c>
      <c r="I391" s="1786">
        <f>3909880-3909880</f>
        <v>0</v>
      </c>
      <c r="J391" s="1786"/>
      <c r="K391" s="1786"/>
      <c r="L391" s="1786"/>
      <c r="M391" s="3631"/>
      <c r="N391" s="3631"/>
      <c r="O391" s="3700"/>
    </row>
    <row r="392" spans="1:16" ht="22.5" hidden="1" customHeight="1">
      <c r="A392" s="3691" t="s">
        <v>104</v>
      </c>
      <c r="B392" s="273" t="s">
        <v>456</v>
      </c>
      <c r="C392" s="56" t="s">
        <v>81</v>
      </c>
      <c r="D392" s="124"/>
      <c r="E392" s="561"/>
      <c r="F392" s="42"/>
      <c r="G392" s="42"/>
      <c r="H392" s="230"/>
      <c r="I392" s="41"/>
      <c r="J392" s="230"/>
      <c r="K392" s="230"/>
      <c r="L392" s="230"/>
      <c r="M392" s="60"/>
      <c r="N392" s="60"/>
      <c r="O392" s="3620" t="s">
        <v>86</v>
      </c>
      <c r="P392" s="226" t="s">
        <v>269</v>
      </c>
    </row>
    <row r="393" spans="1:16" ht="12" hidden="1" customHeight="1">
      <c r="A393" s="3692"/>
      <c r="B393" s="581" t="s">
        <v>10</v>
      </c>
      <c r="C393" s="1499"/>
      <c r="D393" s="1500">
        <f>+D394+D396</f>
        <v>0</v>
      </c>
      <c r="E393" s="1500">
        <f t="shared" ref="E393" si="240">+E394+E396</f>
        <v>0</v>
      </c>
      <c r="F393" s="1500">
        <f t="shared" ref="F393:G393" si="241">+F394+F396</f>
        <v>0</v>
      </c>
      <c r="G393" s="1500">
        <f t="shared" si="241"/>
        <v>0</v>
      </c>
      <c r="H393" s="1500"/>
      <c r="I393" s="1500"/>
      <c r="J393" s="1500"/>
      <c r="K393" s="1500"/>
      <c r="L393" s="1500"/>
      <c r="M393" s="1477">
        <f>+M394+M396</f>
        <v>0</v>
      </c>
      <c r="N393" s="1477">
        <f>+N394+N396</f>
        <v>0</v>
      </c>
      <c r="O393" s="3621"/>
    </row>
    <row r="394" spans="1:16" hidden="1">
      <c r="A394" s="3692"/>
      <c r="B394" s="555" t="s">
        <v>24</v>
      </c>
      <c r="C394" s="3646" t="s">
        <v>84</v>
      </c>
      <c r="D394" s="1501">
        <f>+D395</f>
        <v>0</v>
      </c>
      <c r="E394" s="1501">
        <f t="shared" ref="E394:G394" si="242">+E395</f>
        <v>0</v>
      </c>
      <c r="F394" s="1501">
        <f t="shared" si="242"/>
        <v>0</v>
      </c>
      <c r="G394" s="1501">
        <f t="shared" si="242"/>
        <v>0</v>
      </c>
      <c r="H394" s="1501"/>
      <c r="I394" s="1501"/>
      <c r="J394" s="1501"/>
      <c r="K394" s="1501"/>
      <c r="L394" s="1501"/>
      <c r="M394" s="1480">
        <f>+M395</f>
        <v>0</v>
      </c>
      <c r="N394" s="1480">
        <f>+N395</f>
        <v>0</v>
      </c>
      <c r="O394" s="3621"/>
    </row>
    <row r="395" spans="1:16" hidden="1">
      <c r="A395" s="3692"/>
      <c r="B395" s="868" t="s">
        <v>12</v>
      </c>
      <c r="C395" s="3702"/>
      <c r="D395" s="839">
        <f>E395+F395+G395+H395+I395+J395+K395+L395</f>
        <v>0</v>
      </c>
      <c r="E395" s="1453">
        <v>0</v>
      </c>
      <c r="F395" s="1491">
        <v>0</v>
      </c>
      <c r="G395" s="1491">
        <f>938336-938336</f>
        <v>0</v>
      </c>
      <c r="H395" s="1491"/>
      <c r="I395" s="1491"/>
      <c r="J395" s="1491"/>
      <c r="K395" s="1491"/>
      <c r="L395" s="1491"/>
      <c r="M395" s="1493">
        <f>SUM(F395:K395)</f>
        <v>0</v>
      </c>
      <c r="N395" s="1493">
        <f>SUM(G395:L395)</f>
        <v>0</v>
      </c>
      <c r="O395" s="3621"/>
    </row>
    <row r="396" spans="1:16" hidden="1">
      <c r="A396" s="3692"/>
      <c r="B396" s="864" t="s">
        <v>18</v>
      </c>
      <c r="C396" s="3702"/>
      <c r="D396" s="1479">
        <f>+D397</f>
        <v>0</v>
      </c>
      <c r="E396" s="1479">
        <f t="shared" ref="E396:G396" si="243">+E397</f>
        <v>0</v>
      </c>
      <c r="F396" s="1479">
        <f t="shared" si="243"/>
        <v>0</v>
      </c>
      <c r="G396" s="1479">
        <f t="shared" si="243"/>
        <v>0</v>
      </c>
      <c r="H396" s="1479"/>
      <c r="I396" s="1479"/>
      <c r="J396" s="1479"/>
      <c r="K396" s="1479"/>
      <c r="L396" s="1479"/>
      <c r="M396" s="1480">
        <f>+M397</f>
        <v>0</v>
      </c>
      <c r="N396" s="1480">
        <f>+N397</f>
        <v>0</v>
      </c>
      <c r="O396" s="3621"/>
    </row>
    <row r="397" spans="1:16" hidden="1">
      <c r="A397" s="3692"/>
      <c r="B397" s="716" t="s">
        <v>205</v>
      </c>
      <c r="C397" s="3703"/>
      <c r="D397" s="839">
        <f>E397+F397+G397+H397+I397+J397+K397+L397</f>
        <v>0</v>
      </c>
      <c r="E397" s="1453">
        <v>0</v>
      </c>
      <c r="F397" s="1491">
        <v>0</v>
      </c>
      <c r="G397" s="1491">
        <f>3019942-3019942</f>
        <v>0</v>
      </c>
      <c r="H397" s="1491"/>
      <c r="I397" s="1491"/>
      <c r="J397" s="1491"/>
      <c r="K397" s="1491"/>
      <c r="L397" s="1491"/>
      <c r="M397" s="1493">
        <f>SUM(F397:K397)</f>
        <v>0</v>
      </c>
      <c r="N397" s="1493">
        <f>SUM(G397:L397)</f>
        <v>0</v>
      </c>
      <c r="O397" s="3638"/>
      <c r="P397" s="426"/>
    </row>
    <row r="398" spans="1:16" hidden="1">
      <c r="A398" s="3706"/>
      <c r="B398" s="581" t="s">
        <v>22</v>
      </c>
      <c r="C398" s="1499"/>
      <c r="D398" s="1476">
        <f>+D399</f>
        <v>0</v>
      </c>
      <c r="E398" s="1476">
        <f t="shared" ref="E398:H399" si="244">+E399</f>
        <v>0</v>
      </c>
      <c r="F398" s="1476">
        <f t="shared" si="244"/>
        <v>0</v>
      </c>
      <c r="G398" s="1476">
        <f t="shared" si="244"/>
        <v>0</v>
      </c>
      <c r="H398" s="1476">
        <f t="shared" si="244"/>
        <v>0</v>
      </c>
      <c r="I398" s="1476"/>
      <c r="J398" s="1476"/>
      <c r="K398" s="1476"/>
      <c r="L398" s="1476"/>
      <c r="M398" s="3697" t="s">
        <v>23</v>
      </c>
      <c r="N398" s="3697" t="s">
        <v>23</v>
      </c>
      <c r="O398" s="3698" t="s">
        <v>102</v>
      </c>
    </row>
    <row r="399" spans="1:16" s="257" customFormat="1" ht="12.75" hidden="1" customHeight="1">
      <c r="A399" s="3706"/>
      <c r="B399" s="864" t="s">
        <v>18</v>
      </c>
      <c r="C399" s="3646" t="s">
        <v>84</v>
      </c>
      <c r="D399" s="1497">
        <f>+D400</f>
        <v>0</v>
      </c>
      <c r="E399" s="1504">
        <f t="shared" si="244"/>
        <v>0</v>
      </c>
      <c r="F399" s="1504">
        <f t="shared" si="244"/>
        <v>0</v>
      </c>
      <c r="G399" s="1504">
        <f t="shared" si="244"/>
        <v>0</v>
      </c>
      <c r="H399" s="1504">
        <f t="shared" si="244"/>
        <v>0</v>
      </c>
      <c r="I399" s="1497"/>
      <c r="J399" s="1497"/>
      <c r="K399" s="1497"/>
      <c r="L399" s="1497"/>
      <c r="M399" s="3630"/>
      <c r="N399" s="3630"/>
      <c r="O399" s="3699"/>
    </row>
    <row r="400" spans="1:16" ht="12" hidden="1" customHeight="1" thickBot="1">
      <c r="A400" s="3707"/>
      <c r="B400" s="722" t="s">
        <v>20</v>
      </c>
      <c r="C400" s="3657"/>
      <c r="D400" s="833">
        <f>E400+F400+G400+H400+I400+J400+K400+L400</f>
        <v>0</v>
      </c>
      <c r="E400" s="833">
        <v>0</v>
      </c>
      <c r="F400" s="448">
        <f>2334228-2334228</f>
        <v>0</v>
      </c>
      <c r="G400" s="448">
        <f>1025310+1308918-2334228</f>
        <v>0</v>
      </c>
      <c r="H400" s="448">
        <v>0</v>
      </c>
      <c r="I400" s="448"/>
      <c r="J400" s="448"/>
      <c r="K400" s="448"/>
      <c r="L400" s="448"/>
      <c r="M400" s="3631"/>
      <c r="N400" s="3631"/>
      <c r="O400" s="3700"/>
    </row>
    <row r="401" spans="1:16" ht="23.25" customHeight="1" thickBot="1">
      <c r="A401" s="3704" t="s">
        <v>258</v>
      </c>
      <c r="B401" s="273" t="s">
        <v>493</v>
      </c>
      <c r="C401" s="56" t="s">
        <v>81</v>
      </c>
      <c r="D401" s="3162"/>
      <c r="E401" s="3160"/>
      <c r="F401" s="3161"/>
      <c r="G401" s="3161"/>
      <c r="H401" s="3161"/>
      <c r="I401" s="3161"/>
      <c r="J401" s="3161"/>
      <c r="K401" s="3161"/>
      <c r="L401" s="41"/>
      <c r="M401" s="60"/>
      <c r="N401" s="60"/>
      <c r="O401" s="3620" t="s">
        <v>86</v>
      </c>
      <c r="P401" s="226" t="s">
        <v>269</v>
      </c>
    </row>
    <row r="402" spans="1:16" ht="13.5" thickBot="1">
      <c r="A402" s="3704"/>
      <c r="B402" s="21" t="s">
        <v>10</v>
      </c>
      <c r="C402" s="22"/>
      <c r="D402" s="2615">
        <f>+D403+D405</f>
        <v>11037981</v>
      </c>
      <c r="E402" s="2616">
        <f t="shared" ref="E402:F402" si="245">+E403+E405</f>
        <v>0</v>
      </c>
      <c r="F402" s="2616">
        <f t="shared" si="245"/>
        <v>0</v>
      </c>
      <c r="G402" s="2615">
        <f>+G403+G405</f>
        <v>0</v>
      </c>
      <c r="H402" s="2615">
        <f>+H403+H405</f>
        <v>6622789</v>
      </c>
      <c r="I402" s="2615">
        <f>+I403+I405</f>
        <v>4415192</v>
      </c>
      <c r="J402" s="2615"/>
      <c r="K402" s="2615"/>
      <c r="L402" s="2036"/>
      <c r="M402" s="562">
        <f>+M403+M405</f>
        <v>11037981</v>
      </c>
      <c r="N402" s="562">
        <f>+N403+N405</f>
        <v>11037981</v>
      </c>
      <c r="O402" s="3621"/>
    </row>
    <row r="403" spans="1:16" ht="13.5" customHeight="1" thickBot="1">
      <c r="A403" s="3704"/>
      <c r="B403" s="167" t="s">
        <v>24</v>
      </c>
      <c r="C403" s="3822" t="s">
        <v>84</v>
      </c>
      <c r="D403" s="2617">
        <f>+D404</f>
        <v>5773368</v>
      </c>
      <c r="E403" s="2618">
        <f t="shared" ref="E403:I403" si="246">+E404</f>
        <v>0</v>
      </c>
      <c r="F403" s="2618">
        <f t="shared" si="246"/>
        <v>0</v>
      </c>
      <c r="G403" s="2617">
        <f t="shared" si="246"/>
        <v>0</v>
      </c>
      <c r="H403" s="2617">
        <f t="shared" si="246"/>
        <v>3311394</v>
      </c>
      <c r="I403" s="2617">
        <f t="shared" si="246"/>
        <v>2461974</v>
      </c>
      <c r="J403" s="2617"/>
      <c r="K403" s="2617"/>
      <c r="L403" s="2039"/>
      <c r="M403" s="563">
        <f>+M404</f>
        <v>5773368</v>
      </c>
      <c r="N403" s="563">
        <f>+N404</f>
        <v>5773368</v>
      </c>
      <c r="O403" s="3621"/>
    </row>
    <row r="404" spans="1:16" ht="13.5" thickBot="1">
      <c r="A404" s="3704"/>
      <c r="B404" s="406" t="s">
        <v>12</v>
      </c>
      <c r="C404" s="3702"/>
      <c r="D404" s="239">
        <f>E404+F404+G404+H404+I404+J404+K404+L404</f>
        <v>5773368</v>
      </c>
      <c r="E404" s="2619">
        <v>0</v>
      </c>
      <c r="F404" s="2619">
        <v>0</v>
      </c>
      <c r="G404" s="2620">
        <f>621874-435312-186562</f>
        <v>0</v>
      </c>
      <c r="H404" s="2620">
        <f>1058866+787322+1465206</f>
        <v>3311394</v>
      </c>
      <c r="I404" s="2620">
        <v>2461974</v>
      </c>
      <c r="J404" s="2620"/>
      <c r="K404" s="2620"/>
      <c r="L404" s="2054"/>
      <c r="M404" s="862">
        <f>SUM(F404:K404)</f>
        <v>5773368</v>
      </c>
      <c r="N404" s="862">
        <f>SUM(G404:L404)</f>
        <v>5773368</v>
      </c>
      <c r="O404" s="3621"/>
    </row>
    <row r="405" spans="1:16" ht="13.5" thickBot="1">
      <c r="A405" s="3704"/>
      <c r="B405" s="430" t="s">
        <v>18</v>
      </c>
      <c r="C405" s="3702"/>
      <c r="D405" s="2621">
        <f>+D406</f>
        <v>5264613</v>
      </c>
      <c r="E405" s="2622">
        <f t="shared" ref="E405:I405" si="247">+E406</f>
        <v>0</v>
      </c>
      <c r="F405" s="2622">
        <f t="shared" si="247"/>
        <v>0</v>
      </c>
      <c r="G405" s="2621">
        <f t="shared" si="247"/>
        <v>0</v>
      </c>
      <c r="H405" s="2621">
        <f t="shared" si="247"/>
        <v>3311395</v>
      </c>
      <c r="I405" s="2621">
        <f t="shared" si="247"/>
        <v>1953218</v>
      </c>
      <c r="J405" s="2621"/>
      <c r="K405" s="2621"/>
      <c r="L405" s="564"/>
      <c r="M405" s="563">
        <f>+M406</f>
        <v>5264613</v>
      </c>
      <c r="N405" s="563">
        <f>+N406</f>
        <v>5264613</v>
      </c>
      <c r="O405" s="3621"/>
    </row>
    <row r="406" spans="1:16" ht="11.25" customHeight="1" thickBot="1">
      <c r="A406" s="3704"/>
      <c r="B406" s="2623" t="s">
        <v>21</v>
      </c>
      <c r="C406" s="3703"/>
      <c r="D406" s="239">
        <f>E406+F406+G406+H406+I406+J406+K406+L406</f>
        <v>5264613</v>
      </c>
      <c r="E406" s="2619">
        <v>0</v>
      </c>
      <c r="F406" s="2619">
        <v>0</v>
      </c>
      <c r="G406" s="2620">
        <f>1988846-1392192-596654</f>
        <v>0</v>
      </c>
      <c r="H406" s="2620">
        <f>3386414+2522163-2597182</f>
        <v>3311395</v>
      </c>
      <c r="I406" s="2620">
        <v>1953218</v>
      </c>
      <c r="J406" s="2620"/>
      <c r="K406" s="2620"/>
      <c r="L406" s="2054"/>
      <c r="M406" s="862">
        <f>SUM(F406:K406)</f>
        <v>5264613</v>
      </c>
      <c r="N406" s="862">
        <f>SUM(G406:L406)</f>
        <v>5264613</v>
      </c>
      <c r="O406" s="3638"/>
      <c r="P406" s="426"/>
    </row>
    <row r="407" spans="1:16" ht="13.5" thickBot="1">
      <c r="A407" s="3705"/>
      <c r="B407" s="21" t="s">
        <v>22</v>
      </c>
      <c r="C407" s="22"/>
      <c r="D407" s="2624">
        <f>+D408</f>
        <v>5264613</v>
      </c>
      <c r="E407" s="2625">
        <f t="shared" ref="E407:J408" si="248">+E408</f>
        <v>0</v>
      </c>
      <c r="F407" s="2625">
        <f t="shared" si="248"/>
        <v>0</v>
      </c>
      <c r="G407" s="2624">
        <f t="shared" si="248"/>
        <v>0</v>
      </c>
      <c r="H407" s="2624">
        <f t="shared" si="248"/>
        <v>1052923</v>
      </c>
      <c r="I407" s="2624">
        <f t="shared" si="248"/>
        <v>3158768</v>
      </c>
      <c r="J407" s="2624">
        <f t="shared" si="248"/>
        <v>1052922</v>
      </c>
      <c r="K407" s="2624"/>
      <c r="L407" s="626"/>
      <c r="M407" s="3818" t="s">
        <v>23</v>
      </c>
      <c r="N407" s="3733" t="s">
        <v>23</v>
      </c>
      <c r="O407" s="3819" t="s">
        <v>102</v>
      </c>
    </row>
    <row r="408" spans="1:16" s="257" customFormat="1" ht="13.5" thickBot="1">
      <c r="A408" s="3705"/>
      <c r="B408" s="430" t="s">
        <v>18</v>
      </c>
      <c r="C408" s="3820" t="s">
        <v>84</v>
      </c>
      <c r="D408" s="2626">
        <f>+D409</f>
        <v>5264613</v>
      </c>
      <c r="E408" s="2627">
        <f t="shared" si="248"/>
        <v>0</v>
      </c>
      <c r="F408" s="2627">
        <f t="shared" si="248"/>
        <v>0</v>
      </c>
      <c r="G408" s="2628">
        <f t="shared" si="248"/>
        <v>0</v>
      </c>
      <c r="H408" s="2628">
        <f t="shared" si="248"/>
        <v>1052923</v>
      </c>
      <c r="I408" s="2628">
        <f t="shared" si="248"/>
        <v>3158768</v>
      </c>
      <c r="J408" s="2628">
        <f t="shared" si="248"/>
        <v>1052922</v>
      </c>
      <c r="K408" s="2626"/>
      <c r="L408" s="780"/>
      <c r="M408" s="3718"/>
      <c r="N408" s="3734"/>
      <c r="O408" s="3736"/>
    </row>
    <row r="409" spans="1:16" ht="12" customHeight="1" thickBot="1">
      <c r="A409" s="3705"/>
      <c r="B409" s="53" t="s">
        <v>21</v>
      </c>
      <c r="C409" s="3821"/>
      <c r="D409" s="2283">
        <f>E409+F409+G409+H409+I409+J409+K409+L409</f>
        <v>5264613</v>
      </c>
      <c r="E409" s="1787">
        <v>0</v>
      </c>
      <c r="F409" s="1787">
        <v>0</v>
      </c>
      <c r="G409" s="1786">
        <v>0</v>
      </c>
      <c r="H409" s="1786">
        <f>3657763-2604840</f>
        <v>1052923</v>
      </c>
      <c r="I409" s="1786">
        <f>1717497+1129971+311300</f>
        <v>3158768</v>
      </c>
      <c r="J409" s="1786">
        <v>1052922</v>
      </c>
      <c r="K409" s="1786"/>
      <c r="L409" s="1786"/>
      <c r="M409" s="3719"/>
      <c r="N409" s="3734"/>
      <c r="O409" s="3736"/>
    </row>
    <row r="410" spans="1:16" ht="24.75" thickBot="1">
      <c r="A410" s="3704" t="s">
        <v>104</v>
      </c>
      <c r="B410" s="273" t="s">
        <v>494</v>
      </c>
      <c r="C410" s="56" t="s">
        <v>81</v>
      </c>
      <c r="D410" s="3162"/>
      <c r="E410" s="3160"/>
      <c r="F410" s="3160"/>
      <c r="G410" s="3161"/>
      <c r="H410" s="3161"/>
      <c r="I410" s="3161"/>
      <c r="J410" s="3161"/>
      <c r="K410" s="3161"/>
      <c r="L410" s="41"/>
      <c r="M410" s="60"/>
      <c r="N410" s="60"/>
      <c r="O410" s="3825" t="s">
        <v>86</v>
      </c>
      <c r="P410" s="226" t="s">
        <v>269</v>
      </c>
    </row>
    <row r="411" spans="1:16" ht="10.5" customHeight="1" thickBot="1">
      <c r="A411" s="3704"/>
      <c r="B411" s="581" t="s">
        <v>10</v>
      </c>
      <c r="C411" s="1475"/>
      <c r="D411" s="1500">
        <f>+D412+D414</f>
        <v>9147981</v>
      </c>
      <c r="E411" s="1500">
        <f t="shared" ref="E411" si="249">+E412+E414</f>
        <v>0</v>
      </c>
      <c r="F411" s="1505">
        <f t="shared" ref="F411:I411" si="250">+F412+F414</f>
        <v>0</v>
      </c>
      <c r="G411" s="1500">
        <f t="shared" si="250"/>
        <v>0</v>
      </c>
      <c r="H411" s="1500">
        <f t="shared" si="250"/>
        <v>5488789</v>
      </c>
      <c r="I411" s="1500">
        <f t="shared" si="250"/>
        <v>3659192</v>
      </c>
      <c r="J411" s="1500"/>
      <c r="K411" s="1500"/>
      <c r="L411" s="1500"/>
      <c r="M411" s="1539">
        <f>+M412+M414</f>
        <v>9147981</v>
      </c>
      <c r="N411" s="1539">
        <f>+N412+N414</f>
        <v>9147981</v>
      </c>
      <c r="O411" s="3825"/>
    </row>
    <row r="412" spans="1:16" ht="13.5" thickBot="1">
      <c r="A412" s="3704"/>
      <c r="B412" s="555" t="s">
        <v>24</v>
      </c>
      <c r="C412" s="3655" t="s">
        <v>84</v>
      </c>
      <c r="D412" s="1501">
        <f>+D413</f>
        <v>4825749</v>
      </c>
      <c r="E412" s="1501">
        <f t="shared" ref="E412:I412" si="251">+E413</f>
        <v>0</v>
      </c>
      <c r="F412" s="1503">
        <f t="shared" si="251"/>
        <v>0</v>
      </c>
      <c r="G412" s="1501">
        <f t="shared" si="251"/>
        <v>0</v>
      </c>
      <c r="H412" s="1501">
        <f t="shared" si="251"/>
        <v>2744394</v>
      </c>
      <c r="I412" s="1501">
        <f t="shared" si="251"/>
        <v>2081355</v>
      </c>
      <c r="J412" s="1501"/>
      <c r="K412" s="1501"/>
      <c r="L412" s="1501"/>
      <c r="M412" s="1480">
        <f>+M413</f>
        <v>4825749</v>
      </c>
      <c r="N412" s="1480">
        <f>+N413</f>
        <v>4825749</v>
      </c>
      <c r="O412" s="3825"/>
    </row>
    <row r="413" spans="1:16" ht="11.25" customHeight="1" thickBot="1">
      <c r="A413" s="3704"/>
      <c r="B413" s="868" t="s">
        <v>12</v>
      </c>
      <c r="C413" s="3702"/>
      <c r="D413" s="1406">
        <f>E413+F413+G413+H413+I413+J413+K413+L413</f>
        <v>4825749</v>
      </c>
      <c r="E413" s="1491">
        <f>47545-47545</f>
        <v>0</v>
      </c>
      <c r="F413" s="1436">
        <v>0</v>
      </c>
      <c r="G413" s="1491">
        <f>455300-318710-136590</f>
        <v>0</v>
      </c>
      <c r="H413" s="1491">
        <f>775241+670720+1298433</f>
        <v>2744394</v>
      </c>
      <c r="I413" s="1491">
        <v>2081355</v>
      </c>
      <c r="J413" s="1491"/>
      <c r="K413" s="1491"/>
      <c r="L413" s="1491"/>
      <c r="M413" s="1493">
        <f>SUM(F413:K413)</f>
        <v>4825749</v>
      </c>
      <c r="N413" s="1493">
        <f>SUM(G413:L413)</f>
        <v>4825749</v>
      </c>
      <c r="O413" s="3825"/>
    </row>
    <row r="414" spans="1:16" ht="13.5" thickBot="1">
      <c r="A414" s="3704"/>
      <c r="B414" s="864" t="s">
        <v>18</v>
      </c>
      <c r="C414" s="3702"/>
      <c r="D414" s="1479">
        <f>+D415</f>
        <v>4322232</v>
      </c>
      <c r="E414" s="1479">
        <f t="shared" ref="E414:I414" si="252">+E415</f>
        <v>0</v>
      </c>
      <c r="F414" s="1778">
        <f t="shared" si="252"/>
        <v>0</v>
      </c>
      <c r="G414" s="1479">
        <f t="shared" si="252"/>
        <v>0</v>
      </c>
      <c r="H414" s="1479">
        <f t="shared" si="252"/>
        <v>2744395</v>
      </c>
      <c r="I414" s="1479">
        <f t="shared" si="252"/>
        <v>1577837</v>
      </c>
      <c r="J414" s="1479"/>
      <c r="K414" s="1479"/>
      <c r="L414" s="1479"/>
      <c r="M414" s="1480">
        <f>+M415</f>
        <v>4322232</v>
      </c>
      <c r="N414" s="1480">
        <f>+N415</f>
        <v>4322232</v>
      </c>
      <c r="O414" s="3825"/>
    </row>
    <row r="415" spans="1:16" ht="13.5" thickBot="1">
      <c r="A415" s="3704"/>
      <c r="B415" s="1779" t="s">
        <v>21</v>
      </c>
      <c r="C415" s="3703"/>
      <c r="D415" s="1406">
        <f>E415+F415+G415+H415+I415+J415+K415+L415</f>
        <v>4322232</v>
      </c>
      <c r="E415" s="1453">
        <v>0</v>
      </c>
      <c r="F415" s="1436">
        <v>0</v>
      </c>
      <c r="G415" s="1491">
        <f>1456120-1019284-436836</f>
        <v>0</v>
      </c>
      <c r="H415" s="1491">
        <f>2479339+2149255-1884199</f>
        <v>2744395</v>
      </c>
      <c r="I415" s="1491">
        <v>1577837</v>
      </c>
      <c r="J415" s="1491"/>
      <c r="K415" s="1491"/>
      <c r="L415" s="1491"/>
      <c r="M415" s="1493">
        <f>SUM(F415:K415)</f>
        <v>4322232</v>
      </c>
      <c r="N415" s="1493">
        <f>SUM(G415:L415)</f>
        <v>4322232</v>
      </c>
      <c r="O415" s="3826"/>
      <c r="P415" s="426"/>
    </row>
    <row r="416" spans="1:16" ht="12" customHeight="1" thickBot="1">
      <c r="A416" s="3705"/>
      <c r="B416" s="581" t="s">
        <v>22</v>
      </c>
      <c r="C416" s="1475"/>
      <c r="D416" s="1476">
        <f>+D417</f>
        <v>4322232</v>
      </c>
      <c r="E416" s="1476">
        <f t="shared" ref="E416:J417" si="253">+E417</f>
        <v>0</v>
      </c>
      <c r="F416" s="1780">
        <f t="shared" si="253"/>
        <v>0</v>
      </c>
      <c r="G416" s="1476">
        <f t="shared" si="253"/>
        <v>0</v>
      </c>
      <c r="H416" s="1476">
        <f t="shared" si="253"/>
        <v>864447</v>
      </c>
      <c r="I416" s="1476">
        <f t="shared" si="253"/>
        <v>2593339</v>
      </c>
      <c r="J416" s="1476">
        <f t="shared" si="253"/>
        <v>864446</v>
      </c>
      <c r="K416" s="1476"/>
      <c r="L416" s="1476"/>
      <c r="M416" s="3755" t="s">
        <v>23</v>
      </c>
      <c r="N416" s="3755" t="s">
        <v>23</v>
      </c>
      <c r="O416" s="3713" t="s">
        <v>102</v>
      </c>
    </row>
    <row r="417" spans="1:15" s="257" customFormat="1" ht="12.75" customHeight="1" thickBot="1">
      <c r="A417" s="3705"/>
      <c r="B417" s="864" t="s">
        <v>18</v>
      </c>
      <c r="C417" s="3655" t="s">
        <v>84</v>
      </c>
      <c r="D417" s="1497">
        <f>+D418</f>
        <v>4322232</v>
      </c>
      <c r="E417" s="1504">
        <f t="shared" si="253"/>
        <v>0</v>
      </c>
      <c r="F417" s="2079">
        <f t="shared" si="253"/>
        <v>0</v>
      </c>
      <c r="G417" s="1504">
        <f t="shared" si="253"/>
        <v>0</v>
      </c>
      <c r="H417" s="1504">
        <f t="shared" si="253"/>
        <v>864447</v>
      </c>
      <c r="I417" s="1504">
        <f t="shared" si="253"/>
        <v>2593339</v>
      </c>
      <c r="J417" s="1504">
        <f t="shared" si="253"/>
        <v>864446</v>
      </c>
      <c r="K417" s="1497"/>
      <c r="L417" s="1497"/>
      <c r="M417" s="3630"/>
      <c r="N417" s="3630"/>
      <c r="O417" s="3699"/>
    </row>
    <row r="418" spans="1:15" ht="12" customHeight="1" thickBot="1">
      <c r="A418" s="3705"/>
      <c r="B418" s="722" t="s">
        <v>21</v>
      </c>
      <c r="C418" s="3657"/>
      <c r="D418" s="1578">
        <f>E418+F418+G418+H418+I418+J418+K418+L418</f>
        <v>4322232</v>
      </c>
      <c r="E418" s="1578">
        <v>0</v>
      </c>
      <c r="F418" s="1787">
        <v>0</v>
      </c>
      <c r="G418" s="1786">
        <v>0</v>
      </c>
      <c r="H418" s="1786">
        <f>2671398-1806951</f>
        <v>864447</v>
      </c>
      <c r="I418" s="1786">
        <f>1264061+1129971+199307</f>
        <v>2593339</v>
      </c>
      <c r="J418" s="1786">
        <v>864446</v>
      </c>
      <c r="K418" s="1786"/>
      <c r="L418" s="1786"/>
      <c r="M418" s="3631"/>
      <c r="N418" s="3631"/>
      <c r="O418" s="3700"/>
    </row>
    <row r="419" spans="1:15" ht="27.75" customHeight="1">
      <c r="A419" s="3815" t="s">
        <v>259</v>
      </c>
      <c r="B419" s="273" t="s">
        <v>495</v>
      </c>
      <c r="C419" s="56" t="s">
        <v>109</v>
      </c>
      <c r="D419" s="403"/>
      <c r="E419" s="3160"/>
      <c r="F419" s="3161"/>
      <c r="G419" s="3161"/>
      <c r="H419" s="3161"/>
      <c r="I419" s="3161"/>
      <c r="J419" s="3161"/>
      <c r="K419" s="3161"/>
      <c r="L419" s="41"/>
      <c r="M419" s="60"/>
      <c r="N419" s="60"/>
      <c r="O419" s="3620" t="s">
        <v>272</v>
      </c>
    </row>
    <row r="420" spans="1:15" ht="15.75" customHeight="1">
      <c r="A420" s="3816"/>
      <c r="B420" s="581" t="s">
        <v>10</v>
      </c>
      <c r="C420" s="472"/>
      <c r="D420" s="2036">
        <f>+D421+D426</f>
        <v>454666</v>
      </c>
      <c r="E420" s="2036">
        <f t="shared" ref="E420" si="254">+E421+E426</f>
        <v>48374</v>
      </c>
      <c r="F420" s="2036">
        <f>+F421+F426</f>
        <v>130976</v>
      </c>
      <c r="G420" s="2036">
        <f>+G421+G426</f>
        <v>247072</v>
      </c>
      <c r="H420" s="2036">
        <f>+H421+H426</f>
        <v>28244</v>
      </c>
      <c r="I420" s="2037">
        <v>0</v>
      </c>
      <c r="J420" s="2037">
        <v>0</v>
      </c>
      <c r="K420" s="2037">
        <v>0</v>
      </c>
      <c r="L420" s="2037">
        <v>0</v>
      </c>
      <c r="M420" s="2038">
        <f>+M421+M426</f>
        <v>406292</v>
      </c>
      <c r="N420" s="2038">
        <f>+N421+N426</f>
        <v>275316</v>
      </c>
      <c r="O420" s="3621"/>
    </row>
    <row r="421" spans="1:15" ht="12.75" customHeight="1">
      <c r="A421" s="3816"/>
      <c r="B421" s="555" t="s">
        <v>24</v>
      </c>
      <c r="C421" s="3646" t="s">
        <v>361</v>
      </c>
      <c r="D421" s="2039">
        <f>+D422</f>
        <v>70277</v>
      </c>
      <c r="E421" s="2039">
        <f t="shared" ref="E421" si="255">+E422</f>
        <v>7548</v>
      </c>
      <c r="F421" s="2039">
        <f>+F422</f>
        <v>19763</v>
      </c>
      <c r="G421" s="2039">
        <f>+G422</f>
        <v>38305</v>
      </c>
      <c r="H421" s="2039">
        <f>+H422</f>
        <v>4661</v>
      </c>
      <c r="I421" s="2040">
        <v>0</v>
      </c>
      <c r="J421" s="2040">
        <v>0</v>
      </c>
      <c r="K421" s="2040">
        <v>0</v>
      </c>
      <c r="L421" s="2040">
        <v>0</v>
      </c>
      <c r="M421" s="563">
        <f>M422</f>
        <v>62729</v>
      </c>
      <c r="N421" s="563">
        <f>N422</f>
        <v>42966</v>
      </c>
      <c r="O421" s="3621"/>
    </row>
    <row r="422" spans="1:15" ht="12.75" customHeight="1">
      <c r="A422" s="3816"/>
      <c r="B422" s="868" t="s">
        <v>12</v>
      </c>
      <c r="C422" s="3702"/>
      <c r="D422" s="839">
        <f>E422+F422+G422+H422+I422+J422+K422+L422</f>
        <v>70277</v>
      </c>
      <c r="E422" s="854">
        <f>+E424+E425</f>
        <v>7548</v>
      </c>
      <c r="F422" s="2054">
        <f>+F424+F425</f>
        <v>19763</v>
      </c>
      <c r="G422" s="2054">
        <f>+G424+G425</f>
        <v>38305</v>
      </c>
      <c r="H422" s="2054">
        <f>+H424+H425</f>
        <v>4661</v>
      </c>
      <c r="I422" s="2041">
        <v>0</v>
      </c>
      <c r="J422" s="2041">
        <v>0</v>
      </c>
      <c r="K422" s="2041">
        <v>0</v>
      </c>
      <c r="L422" s="2041">
        <v>0</v>
      </c>
      <c r="M422" s="862">
        <f>SUM(F422:L422)</f>
        <v>62729</v>
      </c>
      <c r="N422" s="862">
        <f>SUM(G422:L422)</f>
        <v>42966</v>
      </c>
      <c r="O422" s="3621"/>
    </row>
    <row r="423" spans="1:15" ht="12.75" hidden="1" customHeight="1">
      <c r="A423" s="3816"/>
      <c r="B423" s="868" t="s">
        <v>149</v>
      </c>
      <c r="C423" s="3702"/>
      <c r="D423" s="839"/>
      <c r="E423" s="593"/>
      <c r="F423" s="2054"/>
      <c r="G423" s="2054"/>
      <c r="H423" s="2054"/>
      <c r="I423" s="2041"/>
      <c r="J423" s="2041"/>
      <c r="K423" s="2041"/>
      <c r="L423" s="2041"/>
      <c r="M423" s="862"/>
      <c r="N423" s="862"/>
      <c r="O423" s="3621"/>
    </row>
    <row r="424" spans="1:15" ht="18" hidden="1" customHeight="1">
      <c r="A424" s="3816"/>
      <c r="B424" s="868" t="s">
        <v>110</v>
      </c>
      <c r="C424" s="3702"/>
      <c r="D424" s="839">
        <f>SUM(E424:H424)</f>
        <v>54138</v>
      </c>
      <c r="E424" s="2054">
        <v>3466</v>
      </c>
      <c r="F424" s="2054">
        <f>35747+1841-2300-20219</f>
        <v>15069</v>
      </c>
      <c r="G424" s="2054">
        <f>12993+600-951+20219</f>
        <v>32861</v>
      </c>
      <c r="H424" s="2054">
        <f>2242+500</f>
        <v>2742</v>
      </c>
      <c r="I424" s="2041"/>
      <c r="J424" s="2041"/>
      <c r="K424" s="2041"/>
      <c r="L424" s="2041"/>
      <c r="M424" s="862">
        <f>SUM(E424:G424)</f>
        <v>51396</v>
      </c>
      <c r="N424" s="862">
        <f>SUM(G424:H424)</f>
        <v>35603</v>
      </c>
      <c r="O424" s="3621"/>
    </row>
    <row r="425" spans="1:15" ht="18" hidden="1" customHeight="1">
      <c r="A425" s="3816"/>
      <c r="B425" s="868" t="s">
        <v>260</v>
      </c>
      <c r="C425" s="3702"/>
      <c r="D425" s="839">
        <f>SUM(E425:H425)</f>
        <v>16139</v>
      </c>
      <c r="E425" s="2054">
        <f>3291+791</f>
        <v>4082</v>
      </c>
      <c r="F425" s="2054">
        <f>4259+28+585-178</f>
        <v>4694</v>
      </c>
      <c r="G425" s="2054">
        <f>4315+951+178</f>
        <v>5444</v>
      </c>
      <c r="H425" s="2054">
        <f>995+924</f>
        <v>1919</v>
      </c>
      <c r="I425" s="2041"/>
      <c r="J425" s="2041"/>
      <c r="K425" s="2041"/>
      <c r="L425" s="2041"/>
      <c r="M425" s="862">
        <f>SUM(E425:G425)</f>
        <v>14220</v>
      </c>
      <c r="N425" s="862">
        <f>SUM(G425:H425)</f>
        <v>7363</v>
      </c>
      <c r="O425" s="3621"/>
    </row>
    <row r="426" spans="1:15" ht="12.75" customHeight="1">
      <c r="A426" s="3816"/>
      <c r="B426" s="864" t="s">
        <v>18</v>
      </c>
      <c r="C426" s="3702"/>
      <c r="D426" s="564">
        <f>+D427</f>
        <v>384389</v>
      </c>
      <c r="E426" s="564">
        <f t="shared" ref="E426" si="256">+E427</f>
        <v>40826</v>
      </c>
      <c r="F426" s="564">
        <f>+F427</f>
        <v>111213</v>
      </c>
      <c r="G426" s="564">
        <f>+G427</f>
        <v>208767</v>
      </c>
      <c r="H426" s="564">
        <f>+H427</f>
        <v>23583</v>
      </c>
      <c r="I426" s="865">
        <v>0</v>
      </c>
      <c r="J426" s="865">
        <v>0</v>
      </c>
      <c r="K426" s="865">
        <v>0</v>
      </c>
      <c r="L426" s="865">
        <v>0</v>
      </c>
      <c r="M426" s="563">
        <f>+M427</f>
        <v>343563</v>
      </c>
      <c r="N426" s="563">
        <f>+N427</f>
        <v>232350</v>
      </c>
      <c r="O426" s="3621"/>
    </row>
    <row r="427" spans="1:15" ht="12.75" customHeight="1">
      <c r="A427" s="3816"/>
      <c r="B427" s="716" t="s">
        <v>205</v>
      </c>
      <c r="C427" s="3703"/>
      <c r="D427" s="839">
        <f>E427+F427+G427+H427+I427+J427+K427+L427</f>
        <v>384389</v>
      </c>
      <c r="E427" s="854">
        <f>+E429+E430</f>
        <v>40826</v>
      </c>
      <c r="F427" s="2054">
        <f>+F429+F430</f>
        <v>111213</v>
      </c>
      <c r="G427" s="2054">
        <f>+G429+G430</f>
        <v>208767</v>
      </c>
      <c r="H427" s="2054">
        <f>+H429+H430</f>
        <v>23583</v>
      </c>
      <c r="I427" s="2041">
        <v>0</v>
      </c>
      <c r="J427" s="2041">
        <v>0</v>
      </c>
      <c r="K427" s="2041">
        <v>0</v>
      </c>
      <c r="L427" s="2041">
        <v>0</v>
      </c>
      <c r="M427" s="862">
        <f>SUM(F427:L427)</f>
        <v>343563</v>
      </c>
      <c r="N427" s="862">
        <f>SUM(G427:L427)</f>
        <v>232350</v>
      </c>
      <c r="O427" s="3638"/>
    </row>
    <row r="428" spans="1:15" ht="12.75" hidden="1" customHeight="1">
      <c r="A428" s="3816"/>
      <c r="B428" s="868" t="s">
        <v>149</v>
      </c>
      <c r="C428" s="3054"/>
      <c r="D428" s="839"/>
      <c r="E428" s="593"/>
      <c r="F428" s="2054"/>
      <c r="G428" s="2054"/>
      <c r="H428" s="2054"/>
      <c r="I428" s="2041"/>
      <c r="J428" s="2041"/>
      <c r="K428" s="2041"/>
      <c r="L428" s="2041"/>
      <c r="M428" s="2082"/>
      <c r="N428" s="2082"/>
      <c r="O428" s="2517"/>
    </row>
    <row r="429" spans="1:15" ht="21" hidden="1" customHeight="1">
      <c r="A429" s="3816"/>
      <c r="B429" s="868" t="s">
        <v>110</v>
      </c>
      <c r="C429" s="2083"/>
      <c r="D429" s="839">
        <f>+F429+G429+H429+E429</f>
        <v>292933</v>
      </c>
      <c r="E429" s="2054">
        <v>17695</v>
      </c>
      <c r="F429" s="2054">
        <f>202561+4760-13035-109673</f>
        <v>84613</v>
      </c>
      <c r="G429" s="2054">
        <f>73627-5379+109673</f>
        <v>177921</v>
      </c>
      <c r="H429" s="2054">
        <v>12704</v>
      </c>
      <c r="I429" s="2041"/>
      <c r="J429" s="2041"/>
      <c r="K429" s="2041"/>
      <c r="L429" s="2041"/>
      <c r="M429" s="862">
        <f>SUM(E429:G429)</f>
        <v>280229</v>
      </c>
      <c r="N429" s="862">
        <f>SUM(G429:H429)</f>
        <v>190625</v>
      </c>
      <c r="O429" s="2517"/>
    </row>
    <row r="430" spans="1:15" ht="14.25" hidden="1" customHeight="1">
      <c r="A430" s="3816"/>
      <c r="B430" s="868" t="s">
        <v>260</v>
      </c>
      <c r="C430" s="2083"/>
      <c r="D430" s="839">
        <f>+F430+G430+H430+E430</f>
        <v>91456</v>
      </c>
      <c r="E430" s="2054">
        <f>18646+4485</f>
        <v>23131</v>
      </c>
      <c r="F430" s="2054">
        <f>24139+163+3315-1017</f>
        <v>26600</v>
      </c>
      <c r="G430" s="2054">
        <f>24450+5379+1017</f>
        <v>30846</v>
      </c>
      <c r="H430" s="2054">
        <f>5644+5235</f>
        <v>10879</v>
      </c>
      <c r="I430" s="2041"/>
      <c r="J430" s="2041"/>
      <c r="K430" s="2041"/>
      <c r="L430" s="2041"/>
      <c r="M430" s="862">
        <f>SUM(E430:G430)</f>
        <v>80577</v>
      </c>
      <c r="N430" s="862">
        <f>SUM(G430:H430)</f>
        <v>41725</v>
      </c>
      <c r="O430" s="2517"/>
    </row>
    <row r="431" spans="1:15" ht="15.75" customHeight="1">
      <c r="A431" s="3816"/>
      <c r="B431" s="581" t="s">
        <v>22</v>
      </c>
      <c r="C431" s="472"/>
      <c r="D431" s="626">
        <f>SUM(E431:L431)</f>
        <v>384389</v>
      </c>
      <c r="E431" s="626">
        <v>0</v>
      </c>
      <c r="F431" s="626">
        <f t="shared" ref="F431:I432" si="257">+F432</f>
        <v>45734</v>
      </c>
      <c r="G431" s="626">
        <f t="shared" si="257"/>
        <v>164775</v>
      </c>
      <c r="H431" s="626">
        <f t="shared" si="257"/>
        <v>173880</v>
      </c>
      <c r="I431" s="655">
        <f t="shared" si="257"/>
        <v>0</v>
      </c>
      <c r="J431" s="655">
        <v>0</v>
      </c>
      <c r="K431" s="655">
        <v>0</v>
      </c>
      <c r="L431" s="655">
        <v>0</v>
      </c>
      <c r="M431" s="3697" t="s">
        <v>23</v>
      </c>
      <c r="N431" s="3697" t="s">
        <v>23</v>
      </c>
      <c r="O431" s="2517"/>
    </row>
    <row r="432" spans="1:15" ht="12.75" customHeight="1">
      <c r="A432" s="3816"/>
      <c r="B432" s="864" t="s">
        <v>18</v>
      </c>
      <c r="C432" s="3646" t="s">
        <v>111</v>
      </c>
      <c r="D432" s="780">
        <f>+D433</f>
        <v>384389</v>
      </c>
      <c r="E432" s="780">
        <v>0</v>
      </c>
      <c r="F432" s="2081">
        <f t="shared" si="257"/>
        <v>45734</v>
      </c>
      <c r="G432" s="2081">
        <f t="shared" si="257"/>
        <v>164775</v>
      </c>
      <c r="H432" s="2081">
        <f t="shared" si="257"/>
        <v>173880</v>
      </c>
      <c r="I432" s="2084">
        <f t="shared" si="257"/>
        <v>0</v>
      </c>
      <c r="J432" s="599">
        <v>0</v>
      </c>
      <c r="K432" s="599">
        <v>0</v>
      </c>
      <c r="L432" s="599">
        <v>0</v>
      </c>
      <c r="M432" s="3630"/>
      <c r="N432" s="3630"/>
      <c r="O432" s="3045" t="s">
        <v>110</v>
      </c>
    </row>
    <row r="433" spans="1:16" ht="12" customHeight="1" thickBot="1">
      <c r="A433" s="3817"/>
      <c r="B433" s="722" t="s">
        <v>20</v>
      </c>
      <c r="C433" s="3657"/>
      <c r="D433" s="1870">
        <f>E433+F433+G433+H433+I433+J433+K433+L433</f>
        <v>384389</v>
      </c>
      <c r="E433" s="1870">
        <v>0</v>
      </c>
      <c r="F433" s="1786">
        <f>20632+7848+17417-163</f>
        <v>45734</v>
      </c>
      <c r="G433" s="1786">
        <f>133982+66898+38178-74283</f>
        <v>164775</v>
      </c>
      <c r="H433" s="1786">
        <f>229775-109440-20901+74446</f>
        <v>173880</v>
      </c>
      <c r="I433" s="1787">
        <f>34694-34694</f>
        <v>0</v>
      </c>
      <c r="J433" s="1787">
        <v>0</v>
      </c>
      <c r="K433" s="1787">
        <v>0</v>
      </c>
      <c r="L433" s="1787">
        <v>0</v>
      </c>
      <c r="M433" s="3631"/>
      <c r="N433" s="3631"/>
      <c r="O433" s="2518"/>
      <c r="P433" s="426">
        <f>D433-D427</f>
        <v>0</v>
      </c>
    </row>
    <row r="434" spans="1:16" ht="27.75" customHeight="1">
      <c r="A434" s="3051"/>
      <c r="B434" s="273" t="s">
        <v>496</v>
      </c>
      <c r="C434" s="56" t="s">
        <v>109</v>
      </c>
      <c r="D434" s="3162"/>
      <c r="E434" s="3160"/>
      <c r="F434" s="3161"/>
      <c r="G434" s="3161"/>
      <c r="H434" s="3161"/>
      <c r="I434" s="3161"/>
      <c r="J434" s="3161"/>
      <c r="K434" s="3161"/>
      <c r="L434" s="41"/>
      <c r="M434" s="60"/>
      <c r="N434" s="60"/>
      <c r="O434" s="3045"/>
    </row>
    <row r="435" spans="1:16" ht="15.75" customHeight="1">
      <c r="A435" s="3051"/>
      <c r="B435" s="581" t="s">
        <v>10</v>
      </c>
      <c r="C435" s="654"/>
      <c r="D435" s="2036">
        <f>+F435+G435+H435+I435</f>
        <v>489921</v>
      </c>
      <c r="E435" s="2036">
        <f>+E436+E441</f>
        <v>0</v>
      </c>
      <c r="F435" s="2036">
        <f>+F436+F441</f>
        <v>19734</v>
      </c>
      <c r="G435" s="2036">
        <f t="shared" ref="G435:I435" si="258">+G436+G441</f>
        <v>220024</v>
      </c>
      <c r="H435" s="2036">
        <f t="shared" si="258"/>
        <v>167991</v>
      </c>
      <c r="I435" s="2036">
        <f t="shared" si="258"/>
        <v>82172</v>
      </c>
      <c r="J435" s="2037">
        <v>0</v>
      </c>
      <c r="K435" s="2037">
        <v>0</v>
      </c>
      <c r="L435" s="2037">
        <v>0</v>
      </c>
      <c r="M435" s="1413">
        <f>+M436+M441</f>
        <v>489921</v>
      </c>
      <c r="N435" s="1413">
        <f>+N436+N441</f>
        <v>470187</v>
      </c>
      <c r="O435" s="3045"/>
    </row>
    <row r="436" spans="1:16" ht="12.75" customHeight="1">
      <c r="A436" s="3051"/>
      <c r="B436" s="555" t="s">
        <v>24</v>
      </c>
      <c r="C436" s="3655" t="s">
        <v>361</v>
      </c>
      <c r="D436" s="1501">
        <f t="shared" ref="D436:D440" si="259">+F436+G436+H436+I436</f>
        <v>75188</v>
      </c>
      <c r="E436" s="1501">
        <f>+E437</f>
        <v>0</v>
      </c>
      <c r="F436" s="1501">
        <f>+F437</f>
        <v>2988</v>
      </c>
      <c r="G436" s="1501">
        <f t="shared" ref="G436:I436" si="260">+G437</f>
        <v>33825</v>
      </c>
      <c r="H436" s="1501">
        <f t="shared" si="260"/>
        <v>25709</v>
      </c>
      <c r="I436" s="1501">
        <f t="shared" si="260"/>
        <v>12666</v>
      </c>
      <c r="J436" s="1503">
        <v>0</v>
      </c>
      <c r="K436" s="1503">
        <v>0</v>
      </c>
      <c r="L436" s="1503">
        <v>0</v>
      </c>
      <c r="M436" s="1480">
        <f>+M437</f>
        <v>75188</v>
      </c>
      <c r="N436" s="1480">
        <f>+N437</f>
        <v>72200</v>
      </c>
      <c r="O436" s="3045"/>
    </row>
    <row r="437" spans="1:16" ht="12.75" customHeight="1">
      <c r="A437" s="3051" t="s">
        <v>192</v>
      </c>
      <c r="B437" s="868" t="s">
        <v>12</v>
      </c>
      <c r="C437" s="3702"/>
      <c r="D437" s="839">
        <f>E437+F437+G437+H437+I437+J437+K437+L437</f>
        <v>75188</v>
      </c>
      <c r="E437" s="1453">
        <v>0</v>
      </c>
      <c r="F437" s="1491">
        <f>+F438</f>
        <v>2988</v>
      </c>
      <c r="G437" s="1491">
        <f t="shared" ref="G437:I437" si="261">+G438</f>
        <v>33825</v>
      </c>
      <c r="H437" s="1491">
        <f t="shared" si="261"/>
        <v>25709</v>
      </c>
      <c r="I437" s="1491">
        <f t="shared" si="261"/>
        <v>12666</v>
      </c>
      <c r="J437" s="1436">
        <v>0</v>
      </c>
      <c r="K437" s="1436">
        <v>0</v>
      </c>
      <c r="L437" s="1436">
        <v>0</v>
      </c>
      <c r="M437" s="1493">
        <f>SUM(F437:K437)</f>
        <v>75188</v>
      </c>
      <c r="N437" s="1493">
        <f>SUM(G437:L437)</f>
        <v>72200</v>
      </c>
      <c r="O437" s="3045" t="s">
        <v>272</v>
      </c>
    </row>
    <row r="438" spans="1:16" ht="12.75" hidden="1" customHeight="1">
      <c r="A438" s="3051"/>
      <c r="B438" s="868" t="s">
        <v>149</v>
      </c>
      <c r="C438" s="3702"/>
      <c r="D438" s="1491">
        <f t="shared" si="259"/>
        <v>75188</v>
      </c>
      <c r="E438" s="2080">
        <v>0</v>
      </c>
      <c r="F438" s="1491">
        <f>+F439+F440</f>
        <v>2988</v>
      </c>
      <c r="G438" s="1491">
        <f t="shared" ref="G438:I438" si="262">+G439+G440</f>
        <v>33825</v>
      </c>
      <c r="H438" s="1491">
        <f t="shared" si="262"/>
        <v>25709</v>
      </c>
      <c r="I438" s="1491">
        <f t="shared" si="262"/>
        <v>12666</v>
      </c>
      <c r="J438" s="1436">
        <v>0</v>
      </c>
      <c r="K438" s="1436">
        <v>0</v>
      </c>
      <c r="L438" s="1436">
        <v>0</v>
      </c>
      <c r="M438" s="1493">
        <f t="shared" ref="M438:M440" si="263">+H438+G438+F438+E438</f>
        <v>62522</v>
      </c>
      <c r="N438" s="1493">
        <f>G438+H438+I438</f>
        <v>72200</v>
      </c>
      <c r="O438" s="3045"/>
    </row>
    <row r="439" spans="1:16" ht="12.75" hidden="1" customHeight="1">
      <c r="A439" s="3051"/>
      <c r="B439" s="868" t="s">
        <v>110</v>
      </c>
      <c r="C439" s="3702"/>
      <c r="D439" s="1491">
        <f t="shared" si="259"/>
        <v>61857</v>
      </c>
      <c r="E439" s="2080">
        <v>0</v>
      </c>
      <c r="F439" s="1491">
        <f>10714-1427-8380</f>
        <v>907</v>
      </c>
      <c r="G439" s="1491">
        <f>21623-548+8380</f>
        <v>29455</v>
      </c>
      <c r="H439" s="1491">
        <f>21679-604</f>
        <v>21075</v>
      </c>
      <c r="I439" s="1491">
        <f>10713-293</f>
        <v>10420</v>
      </c>
      <c r="J439" s="1436">
        <v>0</v>
      </c>
      <c r="K439" s="1436">
        <v>0</v>
      </c>
      <c r="L439" s="1436">
        <v>0</v>
      </c>
      <c r="M439" s="1493">
        <f t="shared" si="263"/>
        <v>51437</v>
      </c>
      <c r="N439" s="1493">
        <f>G439+H439+I439</f>
        <v>60950</v>
      </c>
      <c r="O439" s="3045"/>
    </row>
    <row r="440" spans="1:16" ht="12.75" hidden="1" customHeight="1">
      <c r="A440" s="3051"/>
      <c r="B440" s="868" t="s">
        <v>260</v>
      </c>
      <c r="C440" s="3702"/>
      <c r="D440" s="1491">
        <f t="shared" si="259"/>
        <v>13331</v>
      </c>
      <c r="E440" s="2080">
        <v>0</v>
      </c>
      <c r="F440" s="1491">
        <f>1959+294-172</f>
        <v>2081</v>
      </c>
      <c r="G440" s="1491">
        <f>3650+548+172</f>
        <v>4370</v>
      </c>
      <c r="H440" s="1491">
        <f>4030+604</f>
        <v>4634</v>
      </c>
      <c r="I440" s="1491">
        <f>1953+293</f>
        <v>2246</v>
      </c>
      <c r="J440" s="1436">
        <v>0</v>
      </c>
      <c r="K440" s="1436">
        <v>0</v>
      </c>
      <c r="L440" s="1436">
        <v>0</v>
      </c>
      <c r="M440" s="1493">
        <f t="shared" si="263"/>
        <v>11085</v>
      </c>
      <c r="N440" s="1493">
        <f>G440+H440+I440</f>
        <v>11250</v>
      </c>
      <c r="O440" s="3045"/>
    </row>
    <row r="441" spans="1:16" ht="12.75" customHeight="1">
      <c r="A441" s="3051"/>
      <c r="B441" s="864" t="s">
        <v>18</v>
      </c>
      <c r="C441" s="3702"/>
      <c r="D441" s="1479">
        <f>+E441+F441+G441+H441+I441+J441+K441+L441</f>
        <v>414733</v>
      </c>
      <c r="E441" s="1479">
        <f>+E442</f>
        <v>0</v>
      </c>
      <c r="F441" s="1479">
        <f>+F442</f>
        <v>16746</v>
      </c>
      <c r="G441" s="1479">
        <f t="shared" ref="G441:I441" si="264">+G442</f>
        <v>186199</v>
      </c>
      <c r="H441" s="1479">
        <f t="shared" si="264"/>
        <v>142282</v>
      </c>
      <c r="I441" s="1479">
        <f t="shared" si="264"/>
        <v>69506</v>
      </c>
      <c r="J441" s="1778">
        <v>0</v>
      </c>
      <c r="K441" s="1778">
        <v>0</v>
      </c>
      <c r="L441" s="1778">
        <v>0</v>
      </c>
      <c r="M441" s="1480">
        <f>+M442</f>
        <v>414733</v>
      </c>
      <c r="N441" s="1480">
        <f>+N442</f>
        <v>397987</v>
      </c>
      <c r="O441" s="3045"/>
    </row>
    <row r="442" spans="1:16" ht="12.75" customHeight="1">
      <c r="A442" s="3051"/>
      <c r="B442" s="1779" t="s">
        <v>205</v>
      </c>
      <c r="C442" s="3703"/>
      <c r="D442" s="839">
        <f>E442+F442+G442+H442+I442+J442+K442+L442</f>
        <v>414733</v>
      </c>
      <c r="E442" s="1453">
        <v>0</v>
      </c>
      <c r="F442" s="1491">
        <f>+F443</f>
        <v>16746</v>
      </c>
      <c r="G442" s="1491">
        <f t="shared" ref="G442:I442" si="265">+G443</f>
        <v>186199</v>
      </c>
      <c r="H442" s="1491">
        <f t="shared" si="265"/>
        <v>142282</v>
      </c>
      <c r="I442" s="1491">
        <f t="shared" si="265"/>
        <v>69506</v>
      </c>
      <c r="J442" s="1436">
        <v>0</v>
      </c>
      <c r="K442" s="1436">
        <v>0</v>
      </c>
      <c r="L442" s="1436">
        <v>0</v>
      </c>
      <c r="M442" s="1493">
        <f>SUM(F442:K442)</f>
        <v>414733</v>
      </c>
      <c r="N442" s="1493">
        <f>SUM(G442:L442)</f>
        <v>397987</v>
      </c>
      <c r="O442" s="3050"/>
      <c r="P442" s="426">
        <f>+F439+F444</f>
        <v>5859</v>
      </c>
    </row>
    <row r="443" spans="1:16" ht="12.75" hidden="1" customHeight="1">
      <c r="A443" s="3051"/>
      <c r="B443" s="868" t="s">
        <v>149</v>
      </c>
      <c r="C443" s="3054"/>
      <c r="D443" s="839">
        <f t="shared" ref="D443:D445" si="266">E443+F443+G443+H443+I443+J443+K443+L443</f>
        <v>414733</v>
      </c>
      <c r="E443" s="2080">
        <v>0</v>
      </c>
      <c r="F443" s="1491">
        <f>+F444+F445</f>
        <v>16746</v>
      </c>
      <c r="G443" s="1491">
        <f>+G444+G445</f>
        <v>186199</v>
      </c>
      <c r="H443" s="1491">
        <f>+H444+H445</f>
        <v>142282</v>
      </c>
      <c r="I443" s="1491">
        <f>+I444+I445</f>
        <v>69506</v>
      </c>
      <c r="J443" s="1436">
        <v>0</v>
      </c>
      <c r="K443" s="1436">
        <v>0</v>
      </c>
      <c r="L443" s="1436">
        <v>0</v>
      </c>
      <c r="M443" s="1491">
        <f t="shared" ref="M443:N445" si="267">+H443+G443+F443+E443</f>
        <v>345227</v>
      </c>
      <c r="N443" s="1491">
        <f t="shared" si="267"/>
        <v>414733</v>
      </c>
      <c r="O443" s="3045"/>
    </row>
    <row r="444" spans="1:16" ht="12.75" hidden="1" customHeight="1">
      <c r="A444" s="3051"/>
      <c r="B444" s="868" t="s">
        <v>110</v>
      </c>
      <c r="C444" s="2083"/>
      <c r="D444" s="839">
        <f t="shared" si="266"/>
        <v>339192</v>
      </c>
      <c r="E444" s="2080">
        <v>0</v>
      </c>
      <c r="F444" s="1491">
        <f>58446-8085-45409</f>
        <v>4952</v>
      </c>
      <c r="G444" s="1491">
        <f>119128-3103+45409</f>
        <v>161434</v>
      </c>
      <c r="H444" s="1491">
        <f>119450-3425</f>
        <v>116025</v>
      </c>
      <c r="I444" s="1491">
        <f>58441-1660</f>
        <v>56781</v>
      </c>
      <c r="J444" s="1436">
        <v>0</v>
      </c>
      <c r="K444" s="1436">
        <v>0</v>
      </c>
      <c r="L444" s="1436">
        <v>0</v>
      </c>
      <c r="M444" s="1491">
        <f t="shared" si="267"/>
        <v>282411</v>
      </c>
      <c r="N444" s="1491">
        <f t="shared" si="267"/>
        <v>339192</v>
      </c>
      <c r="O444" s="3045"/>
    </row>
    <row r="445" spans="1:16" ht="12" hidden="1" customHeight="1">
      <c r="A445" s="3051"/>
      <c r="B445" s="868" t="s">
        <v>260</v>
      </c>
      <c r="C445" s="2083"/>
      <c r="D445" s="839">
        <f t="shared" si="266"/>
        <v>75541</v>
      </c>
      <c r="E445" s="2080">
        <v>0</v>
      </c>
      <c r="F445" s="1491">
        <f>11101+1665-972</f>
        <v>11794</v>
      </c>
      <c r="G445" s="1491">
        <f>20690+3103+972</f>
        <v>24765</v>
      </c>
      <c r="H445" s="1491">
        <f>22832+3425</f>
        <v>26257</v>
      </c>
      <c r="I445" s="1491">
        <f>11065+1660</f>
        <v>12725</v>
      </c>
      <c r="J445" s="1436">
        <v>0</v>
      </c>
      <c r="K445" s="1436">
        <v>0</v>
      </c>
      <c r="L445" s="1436">
        <v>0</v>
      </c>
      <c r="M445" s="1491">
        <f t="shared" si="267"/>
        <v>62816</v>
      </c>
      <c r="N445" s="1491">
        <f t="shared" si="267"/>
        <v>75541</v>
      </c>
      <c r="O445" s="3045"/>
    </row>
    <row r="446" spans="1:16" ht="15.75" customHeight="1">
      <c r="A446" s="3051"/>
      <c r="B446" s="581" t="s">
        <v>22</v>
      </c>
      <c r="C446" s="1475"/>
      <c r="D446" s="1476">
        <f>+D447</f>
        <v>414733</v>
      </c>
      <c r="E446" s="1476">
        <f>+E447</f>
        <v>0</v>
      </c>
      <c r="F446" s="1780">
        <v>0</v>
      </c>
      <c r="G446" s="1476">
        <f>+G447</f>
        <v>94329</v>
      </c>
      <c r="H446" s="1476">
        <f t="shared" ref="H446:I446" si="268">+H447</f>
        <v>167900</v>
      </c>
      <c r="I446" s="1476">
        <f t="shared" si="268"/>
        <v>152504</v>
      </c>
      <c r="J446" s="1780">
        <v>0</v>
      </c>
      <c r="K446" s="1780">
        <v>0</v>
      </c>
      <c r="L446" s="1780">
        <v>0</v>
      </c>
      <c r="M446" s="3755" t="s">
        <v>23</v>
      </c>
      <c r="N446" s="3755" t="s">
        <v>23</v>
      </c>
      <c r="O446" s="3045"/>
    </row>
    <row r="447" spans="1:16" ht="12.75" customHeight="1">
      <c r="A447" s="3051"/>
      <c r="B447" s="864" t="s">
        <v>18</v>
      </c>
      <c r="C447" s="3655" t="s">
        <v>360</v>
      </c>
      <c r="D447" s="1497">
        <f>+D448</f>
        <v>414733</v>
      </c>
      <c r="E447" s="1504">
        <f>+E448</f>
        <v>0</v>
      </c>
      <c r="F447" s="2079">
        <v>0</v>
      </c>
      <c r="G447" s="1504">
        <f>+G448</f>
        <v>94329</v>
      </c>
      <c r="H447" s="1504">
        <f t="shared" ref="H447:I447" si="269">+H448</f>
        <v>167900</v>
      </c>
      <c r="I447" s="1504">
        <f t="shared" si="269"/>
        <v>152504</v>
      </c>
      <c r="J447" s="1781">
        <v>0</v>
      </c>
      <c r="K447" s="1781">
        <v>0</v>
      </c>
      <c r="L447" s="1781">
        <v>0</v>
      </c>
      <c r="M447" s="3630"/>
      <c r="N447" s="3630"/>
      <c r="O447" s="3045" t="s">
        <v>110</v>
      </c>
    </row>
    <row r="448" spans="1:16" ht="12.75" customHeight="1" thickBot="1">
      <c r="A448" s="3052"/>
      <c r="B448" s="722" t="s">
        <v>20</v>
      </c>
      <c r="C448" s="3657"/>
      <c r="D448" s="1766">
        <f>E448+F448+G448+H448+I448+J448+K448+L448</f>
        <v>414733</v>
      </c>
      <c r="E448" s="1766">
        <v>0</v>
      </c>
      <c r="F448" s="1787">
        <v>0</v>
      </c>
      <c r="G448" s="2085">
        <f>127804-6420-27055</f>
        <v>94329</v>
      </c>
      <c r="H448" s="2085">
        <f>140845+27055</f>
        <v>167900</v>
      </c>
      <c r="I448" s="2086">
        <v>152504</v>
      </c>
      <c r="J448" s="1787">
        <v>0</v>
      </c>
      <c r="K448" s="1787">
        <v>0</v>
      </c>
      <c r="L448" s="1787">
        <v>0</v>
      </c>
      <c r="M448" s="3631"/>
      <c r="N448" s="3631"/>
      <c r="O448" s="3047"/>
    </row>
    <row r="449" spans="1:17" ht="26.25" hidden="1" customHeight="1">
      <c r="A449" s="3634" t="s">
        <v>236</v>
      </c>
      <c r="B449" s="125" t="s">
        <v>103</v>
      </c>
      <c r="C449" s="781"/>
      <c r="D449" s="782"/>
      <c r="E449" s="784"/>
      <c r="F449" s="784"/>
      <c r="G449" s="784"/>
      <c r="H449" s="784"/>
      <c r="I449" s="784"/>
      <c r="J449" s="784"/>
      <c r="K449" s="784"/>
      <c r="L449" s="784"/>
      <c r="M449" s="785"/>
      <c r="N449" s="785"/>
      <c r="O449" s="3632"/>
    </row>
    <row r="450" spans="1:17" ht="12" hidden="1" customHeight="1">
      <c r="A450" s="3635"/>
      <c r="B450" s="21" t="s">
        <v>10</v>
      </c>
      <c r="C450" s="22"/>
      <c r="D450" s="126">
        <f>+D451+D455</f>
        <v>0</v>
      </c>
      <c r="E450" s="126">
        <f>+E451+E455</f>
        <v>0</v>
      </c>
      <c r="F450" s="126">
        <f t="shared" ref="F450:G450" si="270">+F451+F455</f>
        <v>0</v>
      </c>
      <c r="G450" s="126">
        <f t="shared" si="270"/>
        <v>0</v>
      </c>
      <c r="H450" s="126">
        <f t="shared" ref="H450:N450" si="271">+H451+H455</f>
        <v>0</v>
      </c>
      <c r="I450" s="126">
        <f t="shared" si="271"/>
        <v>0</v>
      </c>
      <c r="J450" s="126">
        <f t="shared" si="271"/>
        <v>0</v>
      </c>
      <c r="K450" s="126">
        <f t="shared" si="271"/>
        <v>0</v>
      </c>
      <c r="L450" s="126">
        <f t="shared" si="271"/>
        <v>0</v>
      </c>
      <c r="M450" s="30">
        <f t="shared" ref="M450" si="272">+M451+M455</f>
        <v>0</v>
      </c>
      <c r="N450" s="30">
        <f t="shared" si="271"/>
        <v>0</v>
      </c>
      <c r="O450" s="3633"/>
      <c r="P450" s="426" t="e">
        <f>+#REF!+#REF!</f>
        <v>#REF!</v>
      </c>
      <c r="Q450" s="426"/>
    </row>
    <row r="451" spans="1:17" s="738" customFormat="1" ht="12" hidden="1" customHeight="1">
      <c r="A451" s="3635"/>
      <c r="B451" s="786" t="s">
        <v>11</v>
      </c>
      <c r="C451" s="787"/>
      <c r="D451" s="118">
        <f>+D452+D453+D454</f>
        <v>0</v>
      </c>
      <c r="E451" s="118">
        <f>+E452+E453+E454</f>
        <v>0</v>
      </c>
      <c r="F451" s="118">
        <f t="shared" ref="F451:G451" si="273">+F452+F453+F454</f>
        <v>0</v>
      </c>
      <c r="G451" s="118">
        <f t="shared" si="273"/>
        <v>0</v>
      </c>
      <c r="H451" s="118">
        <f t="shared" ref="H451:N451" si="274">+H452+H453+H454</f>
        <v>0</v>
      </c>
      <c r="I451" s="118">
        <f t="shared" si="274"/>
        <v>0</v>
      </c>
      <c r="J451" s="118">
        <f t="shared" si="274"/>
        <v>0</v>
      </c>
      <c r="K451" s="118">
        <f t="shared" si="274"/>
        <v>0</v>
      </c>
      <c r="L451" s="118">
        <f t="shared" si="274"/>
        <v>0</v>
      </c>
      <c r="M451" s="32">
        <f t="shared" ref="M451" si="275">+M452+M453+M454</f>
        <v>0</v>
      </c>
      <c r="N451" s="32">
        <f t="shared" si="274"/>
        <v>0</v>
      </c>
      <c r="O451" s="3633"/>
      <c r="Q451" s="426"/>
    </row>
    <row r="452" spans="1:17" ht="12" hidden="1" customHeight="1">
      <c r="A452" s="3635"/>
      <c r="B452" s="788" t="s">
        <v>12</v>
      </c>
      <c r="C452" s="789"/>
      <c r="D452" s="33">
        <f>+D468+D486</f>
        <v>0</v>
      </c>
      <c r="E452" s="33">
        <f>+E468+E486</f>
        <v>0</v>
      </c>
      <c r="F452" s="33">
        <f t="shared" ref="F452:G452" si="276">+F468+F486</f>
        <v>0</v>
      </c>
      <c r="G452" s="33">
        <f t="shared" si="276"/>
        <v>0</v>
      </c>
      <c r="H452" s="33">
        <f>+H468+H486</f>
        <v>0</v>
      </c>
      <c r="I452" s="33">
        <f>+I468+I486</f>
        <v>0</v>
      </c>
      <c r="J452" s="33">
        <f>+J468+J486</f>
        <v>0</v>
      </c>
      <c r="K452" s="33">
        <f>+K468+K486</f>
        <v>0</v>
      </c>
      <c r="L452" s="33">
        <f>+L468+L486</f>
        <v>0</v>
      </c>
      <c r="M452" s="34">
        <f t="shared" ref="M452:N454" si="277">SUM(E452:H452)</f>
        <v>0</v>
      </c>
      <c r="N452" s="34">
        <f t="shared" si="277"/>
        <v>0</v>
      </c>
      <c r="O452" s="3633"/>
      <c r="P452" s="426"/>
      <c r="Q452" s="426"/>
    </row>
    <row r="453" spans="1:17" ht="12" hidden="1" customHeight="1">
      <c r="A453" s="3635"/>
      <c r="B453" s="750" t="s">
        <v>78</v>
      </c>
      <c r="C453" s="751"/>
      <c r="D453" s="33">
        <f>+D469</f>
        <v>0</v>
      </c>
      <c r="E453" s="33">
        <f>+E469</f>
        <v>0</v>
      </c>
      <c r="F453" s="33">
        <f t="shared" ref="F453:G454" si="278">+F469</f>
        <v>0</v>
      </c>
      <c r="G453" s="33">
        <f t="shared" si="278"/>
        <v>0</v>
      </c>
      <c r="H453" s="33">
        <f t="shared" ref="H453:L454" si="279">+H469</f>
        <v>0</v>
      </c>
      <c r="I453" s="33">
        <f t="shared" si="279"/>
        <v>0</v>
      </c>
      <c r="J453" s="33">
        <f t="shared" si="279"/>
        <v>0</v>
      </c>
      <c r="K453" s="33">
        <f t="shared" si="279"/>
        <v>0</v>
      </c>
      <c r="L453" s="33">
        <f t="shared" si="279"/>
        <v>0</v>
      </c>
      <c r="M453" s="34">
        <f t="shared" si="277"/>
        <v>0</v>
      </c>
      <c r="N453" s="34">
        <f t="shared" si="277"/>
        <v>0</v>
      </c>
      <c r="O453" s="3633"/>
      <c r="Q453" s="426"/>
    </row>
    <row r="454" spans="1:17" ht="12" hidden="1" customHeight="1">
      <c r="A454" s="3635"/>
      <c r="B454" s="790" t="s">
        <v>52</v>
      </c>
      <c r="C454" s="791"/>
      <c r="D454" s="33">
        <f>+D470</f>
        <v>0</v>
      </c>
      <c r="E454" s="33">
        <f>+E470</f>
        <v>0</v>
      </c>
      <c r="F454" s="33">
        <f t="shared" si="278"/>
        <v>0</v>
      </c>
      <c r="G454" s="33">
        <f t="shared" si="278"/>
        <v>0</v>
      </c>
      <c r="H454" s="33">
        <f t="shared" si="279"/>
        <v>0</v>
      </c>
      <c r="I454" s="33">
        <f t="shared" si="279"/>
        <v>0</v>
      </c>
      <c r="J454" s="33">
        <f t="shared" si="279"/>
        <v>0</v>
      </c>
      <c r="K454" s="33">
        <f t="shared" si="279"/>
        <v>0</v>
      </c>
      <c r="L454" s="33">
        <f t="shared" si="279"/>
        <v>0</v>
      </c>
      <c r="M454" s="34">
        <f t="shared" si="277"/>
        <v>0</v>
      </c>
      <c r="N454" s="34">
        <f t="shared" si="277"/>
        <v>0</v>
      </c>
      <c r="O454" s="3633"/>
      <c r="P454" s="426"/>
      <c r="Q454" s="426"/>
    </row>
    <row r="455" spans="1:17" s="793" customFormat="1" ht="12" hidden="1" customHeight="1">
      <c r="A455" s="3635"/>
      <c r="B455" s="753" t="s">
        <v>18</v>
      </c>
      <c r="C455" s="792"/>
      <c r="D455" s="31">
        <f>+D456+D457</f>
        <v>0</v>
      </c>
      <c r="E455" s="31">
        <f>+E456+E457</f>
        <v>0</v>
      </c>
      <c r="F455" s="31">
        <f t="shared" ref="F455:G455" si="280">+F456+F457</f>
        <v>0</v>
      </c>
      <c r="G455" s="31">
        <f t="shared" si="280"/>
        <v>0</v>
      </c>
      <c r="H455" s="31">
        <f t="shared" ref="H455:N455" si="281">+H456+H457</f>
        <v>0</v>
      </c>
      <c r="I455" s="31">
        <f t="shared" si="281"/>
        <v>0</v>
      </c>
      <c r="J455" s="31">
        <f t="shared" si="281"/>
        <v>0</v>
      </c>
      <c r="K455" s="31">
        <f t="shared" si="281"/>
        <v>0</v>
      </c>
      <c r="L455" s="31">
        <f t="shared" si="281"/>
        <v>0</v>
      </c>
      <c r="M455" s="127">
        <f t="shared" ref="M455" si="282">+M456+M457</f>
        <v>0</v>
      </c>
      <c r="N455" s="127">
        <f t="shared" si="281"/>
        <v>0</v>
      </c>
      <c r="O455" s="3633"/>
      <c r="P455" s="737"/>
      <c r="Q455" s="737"/>
    </row>
    <row r="456" spans="1:17" ht="12" hidden="1" customHeight="1">
      <c r="A456" s="3635"/>
      <c r="B456" s="754" t="s">
        <v>21</v>
      </c>
      <c r="C456" s="791"/>
      <c r="D456" s="33">
        <f>+D472+D488</f>
        <v>0</v>
      </c>
      <c r="E456" s="33">
        <f>+E472+E488</f>
        <v>0</v>
      </c>
      <c r="F456" s="33">
        <f t="shared" ref="F456:G456" si="283">+F472+F488</f>
        <v>0</v>
      </c>
      <c r="G456" s="33">
        <f t="shared" si="283"/>
        <v>0</v>
      </c>
      <c r="H456" s="33">
        <f>+H472+H488</f>
        <v>0</v>
      </c>
      <c r="I456" s="33">
        <f>+I472+I488</f>
        <v>0</v>
      </c>
      <c r="J456" s="33">
        <f>+J472+J488</f>
        <v>0</v>
      </c>
      <c r="K456" s="33">
        <f>+K472+K488</f>
        <v>0</v>
      </c>
      <c r="L456" s="33">
        <f>+L472+L488</f>
        <v>0</v>
      </c>
      <c r="M456" s="34">
        <f>SUM(E456:H456)</f>
        <v>0</v>
      </c>
      <c r="N456" s="34">
        <f>SUM(F456:I456)</f>
        <v>0</v>
      </c>
      <c r="O456" s="3633"/>
      <c r="P456" s="426"/>
      <c r="Q456" s="426"/>
    </row>
    <row r="457" spans="1:17" ht="12" hidden="1" customHeight="1">
      <c r="A457" s="3635"/>
      <c r="B457" s="754" t="s">
        <v>79</v>
      </c>
      <c r="C457" s="791"/>
      <c r="D457" s="33">
        <f>+D473</f>
        <v>0</v>
      </c>
      <c r="E457" s="33">
        <f>+E473</f>
        <v>0</v>
      </c>
      <c r="F457" s="33">
        <f t="shared" ref="F457:G457" si="284">+F473</f>
        <v>0</v>
      </c>
      <c r="G457" s="33">
        <f t="shared" si="284"/>
        <v>0</v>
      </c>
      <c r="H457" s="33">
        <f>+H473</f>
        <v>0</v>
      </c>
      <c r="I457" s="33">
        <f>+I473</f>
        <v>0</v>
      </c>
      <c r="J457" s="33">
        <f>+J473</f>
        <v>0</v>
      </c>
      <c r="K457" s="33">
        <f>+K473</f>
        <v>0</v>
      </c>
      <c r="L457" s="33">
        <f>+L473</f>
        <v>0</v>
      </c>
      <c r="M457" s="34">
        <f>SUM(E457:H457)</f>
        <v>0</v>
      </c>
      <c r="N457" s="34">
        <f>SUM(F457:I457)</f>
        <v>0</v>
      </c>
      <c r="O457" s="3633"/>
      <c r="P457" s="426"/>
      <c r="Q457" s="426"/>
    </row>
    <row r="458" spans="1:17" ht="12" hidden="1" customHeight="1">
      <c r="A458" s="3635"/>
      <c r="B458" s="21" t="s">
        <v>22</v>
      </c>
      <c r="C458" s="22"/>
      <c r="D458" s="193">
        <f>+D459+D462</f>
        <v>0</v>
      </c>
      <c r="E458" s="193">
        <f>+E459+E462</f>
        <v>0</v>
      </c>
      <c r="F458" s="193">
        <f t="shared" ref="F458:G458" si="285">+F459+F462</f>
        <v>0</v>
      </c>
      <c r="G458" s="193">
        <f t="shared" si="285"/>
        <v>0</v>
      </c>
      <c r="H458" s="193">
        <f>+H459+H462</f>
        <v>0</v>
      </c>
      <c r="I458" s="193">
        <f>+I459+I462</f>
        <v>0</v>
      </c>
      <c r="J458" s="193">
        <f>+J459+J462</f>
        <v>0</v>
      </c>
      <c r="K458" s="193">
        <f>+K459+K462</f>
        <v>0</v>
      </c>
      <c r="L458" s="193">
        <f>+L459+L462</f>
        <v>0</v>
      </c>
      <c r="M458" s="3629" t="s">
        <v>23</v>
      </c>
      <c r="N458" s="3629" t="s">
        <v>23</v>
      </c>
      <c r="O458" s="3633"/>
    </row>
    <row r="459" spans="1:17" ht="12" hidden="1" customHeight="1">
      <c r="A459" s="3635"/>
      <c r="B459" s="794" t="s">
        <v>24</v>
      </c>
      <c r="C459" s="795"/>
      <c r="D459" s="118">
        <f>+D460+D461</f>
        <v>0</v>
      </c>
      <c r="E459" s="118">
        <f>+E460+E461</f>
        <v>0</v>
      </c>
      <c r="F459" s="118">
        <f t="shared" ref="F459:G459" si="286">+F460+F461</f>
        <v>0</v>
      </c>
      <c r="G459" s="118">
        <f t="shared" si="286"/>
        <v>0</v>
      </c>
      <c r="H459" s="118">
        <f>+H460+H461</f>
        <v>0</v>
      </c>
      <c r="I459" s="118">
        <f>+I460+I461</f>
        <v>0</v>
      </c>
      <c r="J459" s="118">
        <f>+J460+J461</f>
        <v>0</v>
      </c>
      <c r="K459" s="118">
        <f>+K460+K461</f>
        <v>0</v>
      </c>
      <c r="L459" s="118">
        <f>+L460+L461</f>
        <v>0</v>
      </c>
      <c r="M459" s="3630"/>
      <c r="N459" s="3630"/>
      <c r="O459" s="3633"/>
      <c r="P459" s="426"/>
    </row>
    <row r="460" spans="1:17" ht="12" hidden="1" customHeight="1">
      <c r="A460" s="3635"/>
      <c r="B460" s="256" t="s">
        <v>78</v>
      </c>
      <c r="C460" s="791"/>
      <c r="D460" s="33">
        <f>+D476</f>
        <v>0</v>
      </c>
      <c r="E460" s="33">
        <f>+E476</f>
        <v>0</v>
      </c>
      <c r="F460" s="33">
        <f t="shared" ref="F460:L460" si="287">+F476</f>
        <v>0</v>
      </c>
      <c r="G460" s="33">
        <f t="shared" si="287"/>
        <v>0</v>
      </c>
      <c r="H460" s="33">
        <f t="shared" si="287"/>
        <v>0</v>
      </c>
      <c r="I460" s="33">
        <f t="shared" si="287"/>
        <v>0</v>
      </c>
      <c r="J460" s="33">
        <f t="shared" si="287"/>
        <v>0</v>
      </c>
      <c r="K460" s="33">
        <f t="shared" si="287"/>
        <v>0</v>
      </c>
      <c r="L460" s="33">
        <f t="shared" si="287"/>
        <v>0</v>
      </c>
      <c r="M460" s="3630"/>
      <c r="N460" s="3630"/>
      <c r="O460" s="3633"/>
    </row>
    <row r="461" spans="1:17" ht="12" hidden="1" customHeight="1">
      <c r="A461" s="3635"/>
      <c r="B461" s="796" t="s">
        <v>52</v>
      </c>
      <c r="C461" s="128"/>
      <c r="D461" s="33">
        <f>+D478</f>
        <v>0</v>
      </c>
      <c r="E461" s="33">
        <f>+E478</f>
        <v>0</v>
      </c>
      <c r="F461" s="33">
        <f t="shared" ref="F461:L461" si="288">+F478</f>
        <v>0</v>
      </c>
      <c r="G461" s="33">
        <f t="shared" si="288"/>
        <v>0</v>
      </c>
      <c r="H461" s="33">
        <f t="shared" si="288"/>
        <v>0</v>
      </c>
      <c r="I461" s="33">
        <f t="shared" si="288"/>
        <v>0</v>
      </c>
      <c r="J461" s="33">
        <f t="shared" si="288"/>
        <v>0</v>
      </c>
      <c r="K461" s="33">
        <f t="shared" si="288"/>
        <v>0</v>
      </c>
      <c r="L461" s="33">
        <f t="shared" si="288"/>
        <v>0</v>
      </c>
      <c r="M461" s="3630"/>
      <c r="N461" s="3630"/>
      <c r="O461" s="3633"/>
    </row>
    <row r="462" spans="1:17" s="793" customFormat="1" ht="12" hidden="1" customHeight="1">
      <c r="A462" s="3635"/>
      <c r="B462" s="797" t="s">
        <v>18</v>
      </c>
      <c r="C462" s="792"/>
      <c r="D462" s="129">
        <f>+D463+D464</f>
        <v>0</v>
      </c>
      <c r="E462" s="129">
        <f>+E463+E464</f>
        <v>0</v>
      </c>
      <c r="F462" s="129">
        <f t="shared" ref="F462:G462" si="289">+F463+F464</f>
        <v>0</v>
      </c>
      <c r="G462" s="129">
        <f t="shared" si="289"/>
        <v>0</v>
      </c>
      <c r="H462" s="129">
        <f>+H463+H464</f>
        <v>0</v>
      </c>
      <c r="I462" s="129">
        <f>+I463+I464</f>
        <v>0</v>
      </c>
      <c r="J462" s="129">
        <f>+J463+J464</f>
        <v>0</v>
      </c>
      <c r="K462" s="129">
        <f>+K463+K464</f>
        <v>0</v>
      </c>
      <c r="L462" s="129">
        <f>+L463+L464</f>
        <v>0</v>
      </c>
      <c r="M462" s="3630"/>
      <c r="N462" s="3630"/>
      <c r="O462" s="3633"/>
    </row>
    <row r="463" spans="1:17" ht="12" hidden="1" customHeight="1">
      <c r="A463" s="3635"/>
      <c r="B463" s="798" t="s">
        <v>21</v>
      </c>
      <c r="C463" s="791"/>
      <c r="D463" s="33">
        <f>+D481+D491</f>
        <v>0</v>
      </c>
      <c r="E463" s="33">
        <f>+E481+E491</f>
        <v>0</v>
      </c>
      <c r="F463" s="33">
        <f t="shared" ref="F463:G463" si="290">+F481+F491</f>
        <v>0</v>
      </c>
      <c r="G463" s="33">
        <f t="shared" si="290"/>
        <v>0</v>
      </c>
      <c r="H463" s="33">
        <f>+H481+H491</f>
        <v>0</v>
      </c>
      <c r="I463" s="33">
        <f>+I481+I491</f>
        <v>0</v>
      </c>
      <c r="J463" s="33">
        <f>+J481+J491</f>
        <v>0</v>
      </c>
      <c r="K463" s="33">
        <f>+K481+K491</f>
        <v>0</v>
      </c>
      <c r="L463" s="33">
        <f>+L481+L491</f>
        <v>0</v>
      </c>
      <c r="M463" s="3630"/>
      <c r="N463" s="3630"/>
      <c r="O463" s="3633"/>
    </row>
    <row r="464" spans="1:17" ht="12" hidden="1" customHeight="1" thickBot="1">
      <c r="A464" s="3636"/>
      <c r="B464" s="799" t="s">
        <v>79</v>
      </c>
      <c r="C464" s="776"/>
      <c r="D464" s="120">
        <f>+D482</f>
        <v>0</v>
      </c>
      <c r="E464" s="120">
        <f>+E482</f>
        <v>0</v>
      </c>
      <c r="F464" s="120">
        <f t="shared" ref="F464:G464" si="291">+F482</f>
        <v>0</v>
      </c>
      <c r="G464" s="120">
        <f t="shared" si="291"/>
        <v>0</v>
      </c>
      <c r="H464" s="243">
        <f>+H482</f>
        <v>0</v>
      </c>
      <c r="I464" s="244">
        <f>+I482</f>
        <v>0</v>
      </c>
      <c r="J464" s="244">
        <f>+J482</f>
        <v>0</v>
      </c>
      <c r="K464" s="244">
        <f>+K482</f>
        <v>0</v>
      </c>
      <c r="L464" s="244">
        <f>+L482</f>
        <v>0</v>
      </c>
      <c r="M464" s="3631"/>
      <c r="N464" s="3631"/>
      <c r="O464" s="800"/>
    </row>
    <row r="465" spans="1:16" hidden="1">
      <c r="A465" s="3691"/>
      <c r="B465" s="565"/>
      <c r="C465" s="56" t="s">
        <v>81</v>
      </c>
      <c r="D465" s="99"/>
      <c r="E465" s="101"/>
      <c r="F465" s="100"/>
      <c r="G465" s="566"/>
      <c r="H465" s="566"/>
      <c r="I465" s="566"/>
      <c r="J465" s="566"/>
      <c r="K465" s="566"/>
      <c r="L465" s="566"/>
      <c r="M465" s="43"/>
      <c r="N465" s="43"/>
      <c r="O465" s="3620" t="s">
        <v>105</v>
      </c>
    </row>
    <row r="466" spans="1:16" ht="15" hidden="1" customHeight="1">
      <c r="A466" s="3692"/>
      <c r="B466" s="21" t="s">
        <v>10</v>
      </c>
      <c r="C466" s="22"/>
      <c r="D466" s="102">
        <f t="shared" ref="D466:I466" si="292">+D467+D471</f>
        <v>0</v>
      </c>
      <c r="E466" s="102">
        <f t="shared" si="292"/>
        <v>0</v>
      </c>
      <c r="F466" s="102">
        <f t="shared" si="292"/>
        <v>0</v>
      </c>
      <c r="G466" s="102">
        <f t="shared" si="292"/>
        <v>0</v>
      </c>
      <c r="H466" s="102">
        <f t="shared" si="292"/>
        <v>0</v>
      </c>
      <c r="I466" s="102">
        <f t="shared" si="292"/>
        <v>0</v>
      </c>
      <c r="J466" s="102"/>
      <c r="K466" s="102"/>
      <c r="L466" s="102"/>
      <c r="M466" s="30">
        <f>+M467+M471</f>
        <v>0</v>
      </c>
      <c r="N466" s="30">
        <f>+N467+N471</f>
        <v>0</v>
      </c>
      <c r="O466" s="3621"/>
      <c r="P466" s="426" t="e">
        <f>+#REF!+#REF!</f>
        <v>#REF!</v>
      </c>
    </row>
    <row r="467" spans="1:16" hidden="1">
      <c r="A467" s="3692"/>
      <c r="B467" s="167" t="s">
        <v>24</v>
      </c>
      <c r="C467" s="3648" t="s">
        <v>98</v>
      </c>
      <c r="D467" s="103">
        <f t="shared" ref="D467:I467" si="293">+D468+D469+D470</f>
        <v>0</v>
      </c>
      <c r="E467" s="104">
        <f t="shared" si="293"/>
        <v>0</v>
      </c>
      <c r="F467" s="103">
        <f t="shared" si="293"/>
        <v>0</v>
      </c>
      <c r="G467" s="103">
        <f t="shared" si="293"/>
        <v>0</v>
      </c>
      <c r="H467" s="103">
        <f t="shared" si="293"/>
        <v>0</v>
      </c>
      <c r="I467" s="103">
        <f t="shared" si="293"/>
        <v>0</v>
      </c>
      <c r="J467" s="105"/>
      <c r="K467" s="105"/>
      <c r="L467" s="105"/>
      <c r="M467" s="77">
        <f>+M468+M469+M470</f>
        <v>0</v>
      </c>
      <c r="N467" s="77">
        <f>+N468+N469+N470</f>
        <v>0</v>
      </c>
      <c r="O467" s="3621"/>
    </row>
    <row r="468" spans="1:16" ht="11.25" hidden="1" customHeight="1">
      <c r="A468" s="3692"/>
      <c r="B468" s="412" t="s">
        <v>12</v>
      </c>
      <c r="C468" s="3649"/>
      <c r="D468" s="239">
        <f t="shared" ref="D468:D473" si="294">E468+F468+G468+H468+I468+J468+K468+L468</f>
        <v>0</v>
      </c>
      <c r="E468" s="275"/>
      <c r="F468" s="567">
        <v>0</v>
      </c>
      <c r="G468" s="567">
        <v>0</v>
      </c>
      <c r="H468" s="567">
        <v>0</v>
      </c>
      <c r="I468" s="567">
        <v>0</v>
      </c>
      <c r="J468" s="568"/>
      <c r="K468" s="568"/>
      <c r="L468" s="568"/>
      <c r="M468" s="34">
        <f t="shared" ref="M468:N470" si="295">SUM(E468:H468)</f>
        <v>0</v>
      </c>
      <c r="N468" s="34">
        <f t="shared" si="295"/>
        <v>0</v>
      </c>
      <c r="O468" s="3621"/>
      <c r="P468" s="426"/>
    </row>
    <row r="469" spans="1:16" hidden="1">
      <c r="A469" s="3692"/>
      <c r="B469" s="130" t="s">
        <v>78</v>
      </c>
      <c r="C469" s="3649"/>
      <c r="D469" s="239">
        <f t="shared" si="294"/>
        <v>0</v>
      </c>
      <c r="E469" s="275"/>
      <c r="F469" s="131">
        <v>0</v>
      </c>
      <c r="G469" s="131">
        <v>0</v>
      </c>
      <c r="H469" s="131">
        <v>0</v>
      </c>
      <c r="I469" s="131">
        <v>0</v>
      </c>
      <c r="J469" s="109"/>
      <c r="K469" s="109"/>
      <c r="L469" s="109"/>
      <c r="M469" s="34">
        <f t="shared" si="295"/>
        <v>0</v>
      </c>
      <c r="N469" s="34">
        <f t="shared" si="295"/>
        <v>0</v>
      </c>
      <c r="O469" s="3621"/>
    </row>
    <row r="470" spans="1:16" ht="12" hidden="1" customHeight="1">
      <c r="A470" s="3692"/>
      <c r="B470" s="524" t="s">
        <v>106</v>
      </c>
      <c r="C470" s="3702"/>
      <c r="D470" s="239">
        <f t="shared" si="294"/>
        <v>0</v>
      </c>
      <c r="E470" s="275"/>
      <c r="F470" s="567">
        <v>0</v>
      </c>
      <c r="G470" s="567">
        <v>0</v>
      </c>
      <c r="H470" s="567">
        <v>0</v>
      </c>
      <c r="I470" s="567">
        <v>0</v>
      </c>
      <c r="J470" s="568"/>
      <c r="K470" s="568"/>
      <c r="L470" s="568"/>
      <c r="M470" s="34">
        <f t="shared" si="295"/>
        <v>0</v>
      </c>
      <c r="N470" s="34">
        <f t="shared" si="295"/>
        <v>0</v>
      </c>
      <c r="O470" s="3621"/>
    </row>
    <row r="471" spans="1:16" s="793" customFormat="1" hidden="1">
      <c r="A471" s="3692"/>
      <c r="B471" s="430" t="s">
        <v>18</v>
      </c>
      <c r="C471" s="569"/>
      <c r="D471" s="47">
        <f>+D472+D473</f>
        <v>0</v>
      </c>
      <c r="E471" s="570">
        <f t="shared" ref="E471:N471" si="296">+E472+E473</f>
        <v>0</v>
      </c>
      <c r="F471" s="570">
        <f t="shared" si="296"/>
        <v>0</v>
      </c>
      <c r="G471" s="570">
        <f t="shared" si="296"/>
        <v>0</v>
      </c>
      <c r="H471" s="570">
        <f t="shared" si="296"/>
        <v>0</v>
      </c>
      <c r="I471" s="570">
        <f t="shared" si="296"/>
        <v>0</v>
      </c>
      <c r="J471" s="570"/>
      <c r="K471" s="570"/>
      <c r="L471" s="570"/>
      <c r="M471" s="77">
        <f t="shared" ref="M471" si="297">+M472+M473</f>
        <v>0</v>
      </c>
      <c r="N471" s="77">
        <f t="shared" si="296"/>
        <v>0</v>
      </c>
      <c r="O471" s="3621"/>
    </row>
    <row r="472" spans="1:16" hidden="1">
      <c r="A472" s="3692"/>
      <c r="B472" s="762" t="s">
        <v>21</v>
      </c>
      <c r="C472" s="3053"/>
      <c r="D472" s="239">
        <f t="shared" si="294"/>
        <v>0</v>
      </c>
      <c r="E472" s="275"/>
      <c r="F472" s="568">
        <v>0</v>
      </c>
      <c r="G472" s="568">
        <v>0</v>
      </c>
      <c r="H472" s="568">
        <v>0</v>
      </c>
      <c r="I472" s="568">
        <v>0</v>
      </c>
      <c r="J472" s="568"/>
      <c r="K472" s="568"/>
      <c r="L472" s="568"/>
      <c r="M472" s="34">
        <f>SUM(E472:H472)</f>
        <v>0</v>
      </c>
      <c r="N472" s="34">
        <f>SUM(F472:I472)</f>
        <v>0</v>
      </c>
      <c r="O472" s="3621"/>
    </row>
    <row r="473" spans="1:16" ht="12" hidden="1" customHeight="1">
      <c r="A473" s="3692"/>
      <c r="B473" s="762" t="s">
        <v>79</v>
      </c>
      <c r="C473" s="3053"/>
      <c r="D473" s="239">
        <f t="shared" si="294"/>
        <v>0</v>
      </c>
      <c r="E473" s="275"/>
      <c r="F473" s="568">
        <v>0</v>
      </c>
      <c r="G473" s="568">
        <v>0</v>
      </c>
      <c r="H473" s="568">
        <v>0</v>
      </c>
      <c r="I473" s="568">
        <v>0</v>
      </c>
      <c r="J473" s="568"/>
      <c r="K473" s="568"/>
      <c r="L473" s="568"/>
      <c r="M473" s="34">
        <f>SUM(E473:H473)</f>
        <v>0</v>
      </c>
      <c r="N473" s="34">
        <f>SUM(F473:I473)</f>
        <v>0</v>
      </c>
      <c r="O473" s="3621"/>
    </row>
    <row r="474" spans="1:16" ht="14.25" hidden="1" customHeight="1">
      <c r="A474" s="3692"/>
      <c r="B474" s="21" t="s">
        <v>22</v>
      </c>
      <c r="C474" s="22"/>
      <c r="D474" s="193">
        <f t="shared" ref="D474:I474" si="298">+D475+D479</f>
        <v>0</v>
      </c>
      <c r="E474" s="193">
        <f t="shared" si="298"/>
        <v>0</v>
      </c>
      <c r="F474" s="193">
        <f t="shared" si="298"/>
        <v>0</v>
      </c>
      <c r="G474" s="193">
        <f t="shared" si="298"/>
        <v>0</v>
      </c>
      <c r="H474" s="193">
        <f t="shared" si="298"/>
        <v>0</v>
      </c>
      <c r="I474" s="193">
        <f t="shared" si="298"/>
        <v>0</v>
      </c>
      <c r="J474" s="193"/>
      <c r="K474" s="193"/>
      <c r="L474" s="193"/>
      <c r="M474" s="3629" t="s">
        <v>23</v>
      </c>
      <c r="N474" s="3629" t="s">
        <v>23</v>
      </c>
      <c r="O474" s="3621"/>
      <c r="P474" s="426"/>
    </row>
    <row r="475" spans="1:16" s="801" customFormat="1" ht="12.75" hidden="1" customHeight="1">
      <c r="A475" s="3692"/>
      <c r="B475" s="167" t="s">
        <v>24</v>
      </c>
      <c r="C475" s="3648" t="s">
        <v>98</v>
      </c>
      <c r="D475" s="671">
        <f>+D476+D477+D478</f>
        <v>0</v>
      </c>
      <c r="E475" s="671">
        <f>SUM(E476:E478)</f>
        <v>0</v>
      </c>
      <c r="F475" s="671">
        <f>+F476+F478</f>
        <v>0</v>
      </c>
      <c r="G475" s="671">
        <f>+G476+G478</f>
        <v>0</v>
      </c>
      <c r="H475" s="671">
        <f>+H476+H478</f>
        <v>0</v>
      </c>
      <c r="I475" s="671">
        <f>+I476+I478</f>
        <v>0</v>
      </c>
      <c r="J475" s="671"/>
      <c r="K475" s="671"/>
      <c r="L475" s="671"/>
      <c r="M475" s="3630"/>
      <c r="N475" s="3630"/>
      <c r="O475" s="3621"/>
    </row>
    <row r="476" spans="1:16" s="257" customFormat="1" hidden="1">
      <c r="A476" s="3692"/>
      <c r="B476" s="130" t="s">
        <v>107</v>
      </c>
      <c r="C476" s="3649"/>
      <c r="D476" s="239">
        <f t="shared" ref="D476:D478" si="299">E476+F476+G476+H476+I476+J476+K476+L476</f>
        <v>0</v>
      </c>
      <c r="E476" s="275"/>
      <c r="F476" s="802">
        <v>0</v>
      </c>
      <c r="G476" s="802">
        <v>0</v>
      </c>
      <c r="H476" s="802">
        <v>0</v>
      </c>
      <c r="I476" s="802">
        <v>0</v>
      </c>
      <c r="J476" s="802"/>
      <c r="K476" s="802"/>
      <c r="L476" s="802"/>
      <c r="M476" s="3630"/>
      <c r="N476" s="3630"/>
      <c r="O476" s="3621"/>
      <c r="P476" s="769">
        <v>-14575000</v>
      </c>
    </row>
    <row r="477" spans="1:16" s="257" customFormat="1" ht="10.5" hidden="1" customHeight="1">
      <c r="A477" s="3692"/>
      <c r="B477" s="803" t="s">
        <v>108</v>
      </c>
      <c r="C477" s="3649"/>
      <c r="D477" s="239">
        <f t="shared" si="299"/>
        <v>0</v>
      </c>
      <c r="E477" s="275"/>
      <c r="F477" s="802"/>
      <c r="G477" s="802"/>
      <c r="H477" s="802"/>
      <c r="I477" s="802"/>
      <c r="J477" s="802"/>
      <c r="K477" s="802"/>
      <c r="L477" s="802"/>
      <c r="M477" s="3630"/>
      <c r="N477" s="3630"/>
      <c r="O477" s="3621"/>
    </row>
    <row r="478" spans="1:16" s="257" customFormat="1" hidden="1">
      <c r="A478" s="3692"/>
      <c r="B478" s="524" t="s">
        <v>106</v>
      </c>
      <c r="C478" s="3649"/>
      <c r="D478" s="239">
        <f t="shared" si="299"/>
        <v>0</v>
      </c>
      <c r="E478" s="275"/>
      <c r="F478" s="567">
        <v>0</v>
      </c>
      <c r="G478" s="567">
        <v>0</v>
      </c>
      <c r="H478" s="567">
        <v>0</v>
      </c>
      <c r="I478" s="567">
        <v>0</v>
      </c>
      <c r="J478" s="567"/>
      <c r="K478" s="567"/>
      <c r="L478" s="567"/>
      <c r="M478" s="3630"/>
      <c r="N478" s="3630"/>
      <c r="O478" s="3621"/>
      <c r="P478" s="769"/>
    </row>
    <row r="479" spans="1:16" s="801" customFormat="1" hidden="1">
      <c r="A479" s="3692"/>
      <c r="B479" s="804" t="s">
        <v>18</v>
      </c>
      <c r="C479" s="3649"/>
      <c r="D479" s="50">
        <f>+D480+D481+D482</f>
        <v>0</v>
      </c>
      <c r="E479" s="673"/>
      <c r="F479" s="673">
        <f>+F481</f>
        <v>0</v>
      </c>
      <c r="G479" s="673">
        <f>+G481</f>
        <v>0</v>
      </c>
      <c r="H479" s="673">
        <f>+H481</f>
        <v>0</v>
      </c>
      <c r="I479" s="673">
        <f>+I481</f>
        <v>0</v>
      </c>
      <c r="J479" s="673"/>
      <c r="K479" s="673"/>
      <c r="L479" s="673"/>
      <c r="M479" s="3630"/>
      <c r="N479" s="3630"/>
      <c r="O479" s="3621"/>
    </row>
    <row r="480" spans="1:16" s="801" customFormat="1" ht="10.5" hidden="1" customHeight="1">
      <c r="A480" s="3692"/>
      <c r="B480" s="803" t="s">
        <v>108</v>
      </c>
      <c r="C480" s="3649"/>
      <c r="D480" s="239">
        <f t="shared" ref="D480:D482" si="300">E480+F480+G480+H480+I480+J480+K480+L480</f>
        <v>0</v>
      </c>
      <c r="E480" s="1401"/>
      <c r="F480" s="805"/>
      <c r="G480" s="805"/>
      <c r="H480" s="805"/>
      <c r="I480" s="805"/>
      <c r="J480" s="805"/>
      <c r="K480" s="805"/>
      <c r="L480" s="805"/>
      <c r="M480" s="3630"/>
      <c r="N480" s="3630"/>
      <c r="O480" s="3621"/>
    </row>
    <row r="481" spans="1:19" s="257" customFormat="1" hidden="1">
      <c r="A481" s="3692"/>
      <c r="B481" s="412" t="s">
        <v>21</v>
      </c>
      <c r="C481" s="3649"/>
      <c r="D481" s="239">
        <f t="shared" si="300"/>
        <v>0</v>
      </c>
      <c r="E481" s="275"/>
      <c r="F481" s="571">
        <v>0</v>
      </c>
      <c r="G481" s="571">
        <v>0</v>
      </c>
      <c r="H481" s="571">
        <v>0</v>
      </c>
      <c r="I481" s="571">
        <v>0</v>
      </c>
      <c r="J481" s="571"/>
      <c r="K481" s="571"/>
      <c r="L481" s="571"/>
      <c r="M481" s="3630"/>
      <c r="N481" s="3630"/>
      <c r="O481" s="3621"/>
      <c r="P481" s="769"/>
    </row>
    <row r="482" spans="1:19" s="257" customFormat="1" ht="11.25" hidden="1" customHeight="1" thickBot="1">
      <c r="A482" s="3693"/>
      <c r="B482" s="74" t="s">
        <v>79</v>
      </c>
      <c r="C482" s="3701"/>
      <c r="D482" s="239">
        <f t="shared" si="300"/>
        <v>0</v>
      </c>
      <c r="E482" s="54"/>
      <c r="F482" s="572">
        <v>0</v>
      </c>
      <c r="G482" s="572">
        <v>0</v>
      </c>
      <c r="H482" s="573">
        <v>0</v>
      </c>
      <c r="I482" s="173">
        <v>0</v>
      </c>
      <c r="J482" s="173"/>
      <c r="K482" s="173"/>
      <c r="L482" s="173"/>
      <c r="M482" s="3631"/>
      <c r="N482" s="3631"/>
      <c r="O482" s="3047"/>
    </row>
    <row r="483" spans="1:19" hidden="1">
      <c r="A483" s="3691"/>
      <c r="B483" s="273"/>
      <c r="C483" s="56" t="s">
        <v>109</v>
      </c>
      <c r="D483" s="763"/>
      <c r="E483" s="92"/>
      <c r="F483" s="93"/>
      <c r="G483" s="93"/>
      <c r="H483" s="93"/>
      <c r="I483" s="93"/>
      <c r="J483" s="93"/>
      <c r="K483" s="93"/>
      <c r="L483" s="93"/>
      <c r="M483" s="43"/>
      <c r="N483" s="43"/>
      <c r="O483" s="3651" t="s">
        <v>102</v>
      </c>
      <c r="S483" s="761"/>
    </row>
    <row r="484" spans="1:19" ht="14.25" hidden="1" customHeight="1">
      <c r="A484" s="3692"/>
      <c r="B484" s="21" t="s">
        <v>10</v>
      </c>
      <c r="C484" s="22"/>
      <c r="D484" s="61">
        <f t="shared" ref="D484" si="301">+D485+D487</f>
        <v>0</v>
      </c>
      <c r="E484" s="61">
        <f>+E485+E487</f>
        <v>0</v>
      </c>
      <c r="F484" s="61"/>
      <c r="G484" s="61"/>
      <c r="H484" s="62"/>
      <c r="I484" s="61"/>
      <c r="J484" s="61"/>
      <c r="K484" s="61"/>
      <c r="L484" s="61"/>
      <c r="M484" s="63">
        <f>+M485+M487</f>
        <v>0</v>
      </c>
      <c r="N484" s="63">
        <f>+N485+N487</f>
        <v>0</v>
      </c>
      <c r="O484" s="3652"/>
      <c r="P484" s="426" t="e">
        <f>+#REF!+#REF!+F484+G484</f>
        <v>#REF!</v>
      </c>
      <c r="Q484" s="426"/>
      <c r="R484" s="426"/>
      <c r="S484" s="426"/>
    </row>
    <row r="485" spans="1:19" ht="14.25" hidden="1" customHeight="1">
      <c r="A485" s="3692"/>
      <c r="B485" s="167" t="s">
        <v>24</v>
      </c>
      <c r="C485" s="3648" t="s">
        <v>98</v>
      </c>
      <c r="D485" s="64">
        <f>+D486</f>
        <v>0</v>
      </c>
      <c r="E485" s="64">
        <f t="shared" ref="E485" si="302">+E486</f>
        <v>0</v>
      </c>
      <c r="F485" s="64"/>
      <c r="G485" s="64"/>
      <c r="H485" s="94"/>
      <c r="I485" s="64"/>
      <c r="J485" s="64"/>
      <c r="K485" s="64"/>
      <c r="L485" s="64"/>
      <c r="M485" s="77">
        <f>+M486</f>
        <v>0</v>
      </c>
      <c r="N485" s="77">
        <f>+N486</f>
        <v>0</v>
      </c>
      <c r="O485" s="3652"/>
      <c r="P485" s="426"/>
    </row>
    <row r="486" spans="1:19" hidden="1">
      <c r="A486" s="3692"/>
      <c r="B486" s="406" t="s">
        <v>12</v>
      </c>
      <c r="C486" s="3656"/>
      <c r="D486" s="239">
        <f t="shared" ref="D486" si="303">E486+F486+G486+H486+I486+J486+K486+L486</f>
        <v>0</v>
      </c>
      <c r="E486" s="275"/>
      <c r="F486" s="46"/>
      <c r="G486" s="46"/>
      <c r="H486" s="45"/>
      <c r="I486" s="46"/>
      <c r="J486" s="46"/>
      <c r="K486" s="46"/>
      <c r="L486" s="46"/>
      <c r="M486" s="34">
        <f>SUM(E486:H486)</f>
        <v>0</v>
      </c>
      <c r="N486" s="34">
        <f>SUM(F486:I486)</f>
        <v>0</v>
      </c>
      <c r="O486" s="3652"/>
    </row>
    <row r="487" spans="1:19" ht="14.25" hidden="1" customHeight="1">
      <c r="A487" s="3692"/>
      <c r="B487" s="430" t="s">
        <v>18</v>
      </c>
      <c r="C487" s="3656"/>
      <c r="D487" s="47">
        <f>+D488</f>
        <v>0</v>
      </c>
      <c r="E487" s="47">
        <f t="shared" ref="E487" si="304">+E488</f>
        <v>0</v>
      </c>
      <c r="F487" s="47"/>
      <c r="G487" s="47"/>
      <c r="H487" s="48"/>
      <c r="I487" s="47"/>
      <c r="J487" s="47"/>
      <c r="K487" s="47"/>
      <c r="L487" s="47"/>
      <c r="M487" s="77">
        <f>+M488</f>
        <v>0</v>
      </c>
      <c r="N487" s="77">
        <f>+N488</f>
        <v>0</v>
      </c>
      <c r="O487" s="3652"/>
    </row>
    <row r="488" spans="1:19" hidden="1">
      <c r="A488" s="3692"/>
      <c r="B488" s="765" t="s">
        <v>21</v>
      </c>
      <c r="C488" s="3656"/>
      <c r="D488" s="239">
        <f t="shared" ref="D488" si="305">E488+F488+G488+H488+I488+J488+K488+L488</f>
        <v>0</v>
      </c>
      <c r="E488" s="275"/>
      <c r="F488" s="46"/>
      <c r="G488" s="46"/>
      <c r="H488" s="45"/>
      <c r="I488" s="46"/>
      <c r="J488" s="46"/>
      <c r="K488" s="46"/>
      <c r="L488" s="46"/>
      <c r="M488" s="34">
        <f>SUM(E488:H488)</f>
        <v>0</v>
      </c>
      <c r="N488" s="34">
        <f>SUM(F488:I488)</f>
        <v>0</v>
      </c>
      <c r="O488" s="3652"/>
    </row>
    <row r="489" spans="1:19" ht="14.25" hidden="1" customHeight="1">
      <c r="A489" s="3706"/>
      <c r="B489" s="21" t="s">
        <v>22</v>
      </c>
      <c r="C489" s="22"/>
      <c r="D489" s="193">
        <f>+D490</f>
        <v>0</v>
      </c>
      <c r="E489" s="193">
        <f t="shared" ref="E489" si="306">+E490</f>
        <v>0</v>
      </c>
      <c r="F489" s="193"/>
      <c r="G489" s="193"/>
      <c r="H489" s="194"/>
      <c r="I489" s="193"/>
      <c r="J489" s="193"/>
      <c r="K489" s="193"/>
      <c r="L489" s="193"/>
      <c r="M489" s="3674" t="s">
        <v>23</v>
      </c>
      <c r="N489" s="3674" t="s">
        <v>23</v>
      </c>
      <c r="O489" s="3653"/>
      <c r="P489" s="426"/>
    </row>
    <row r="490" spans="1:19" s="257" customFormat="1" ht="14.25" hidden="1" customHeight="1">
      <c r="A490" s="3706"/>
      <c r="B490" s="430" t="s">
        <v>18</v>
      </c>
      <c r="C490" s="3648" t="s">
        <v>98</v>
      </c>
      <c r="D490" s="671">
        <f>+D491</f>
        <v>0</v>
      </c>
      <c r="E490" s="671"/>
      <c r="F490" s="671"/>
      <c r="G490" s="671"/>
      <c r="H490" s="673"/>
      <c r="I490" s="671"/>
      <c r="J490" s="671"/>
      <c r="K490" s="671"/>
      <c r="L490" s="671"/>
      <c r="M490" s="3675"/>
      <c r="N490" s="3675"/>
      <c r="O490" s="3653"/>
    </row>
    <row r="491" spans="1:19" s="257" customFormat="1" ht="14.25" hidden="1" customHeight="1" thickBot="1">
      <c r="A491" s="3707"/>
      <c r="B491" s="53" t="s">
        <v>21</v>
      </c>
      <c r="C491" s="3657"/>
      <c r="D491" s="239">
        <f t="shared" ref="D491" si="307">E491+F491+G491+H491+I491+J491+K491+L491</f>
        <v>0</v>
      </c>
      <c r="E491" s="764"/>
      <c r="F491" s="446"/>
      <c r="G491" s="446"/>
      <c r="H491" s="446"/>
      <c r="I491" s="446"/>
      <c r="J491" s="446"/>
      <c r="K491" s="446"/>
      <c r="L491" s="446"/>
      <c r="M491" s="3676"/>
      <c r="N491" s="3676"/>
      <c r="O491" s="3654"/>
    </row>
    <row r="492" spans="1:19" ht="27.75" hidden="1" customHeight="1">
      <c r="A492" s="3680" t="s">
        <v>237</v>
      </c>
      <c r="B492" s="203" t="s">
        <v>201</v>
      </c>
      <c r="C492" s="806"/>
      <c r="D492" s="783"/>
      <c r="E492" s="784"/>
      <c r="F492" s="784"/>
      <c r="G492" s="784"/>
      <c r="H492" s="784"/>
      <c r="I492" s="784"/>
      <c r="J492" s="784"/>
      <c r="K492" s="784"/>
      <c r="L492" s="784"/>
      <c r="M492" s="294"/>
      <c r="N492" s="294"/>
      <c r="O492" s="3667"/>
    </row>
    <row r="493" spans="1:19" ht="14.25" hidden="1" customHeight="1">
      <c r="A493" s="3681"/>
      <c r="B493" s="21" t="s">
        <v>10</v>
      </c>
      <c r="C493" s="133"/>
      <c r="D493" s="126">
        <f>+D494+D496</f>
        <v>0</v>
      </c>
      <c r="E493" s="126">
        <f t="shared" ref="E493:N493" si="308">+E494+E496</f>
        <v>0</v>
      </c>
      <c r="F493" s="126">
        <f t="shared" si="308"/>
        <v>0</v>
      </c>
      <c r="G493" s="126">
        <f t="shared" si="308"/>
        <v>0</v>
      </c>
      <c r="H493" s="126">
        <f t="shared" si="308"/>
        <v>0</v>
      </c>
      <c r="I493" s="126">
        <f t="shared" si="308"/>
        <v>0</v>
      </c>
      <c r="J493" s="126">
        <f t="shared" si="308"/>
        <v>0</v>
      </c>
      <c r="K493" s="126">
        <f t="shared" si="308"/>
        <v>0</v>
      </c>
      <c r="L493" s="126">
        <f t="shared" si="308"/>
        <v>0</v>
      </c>
      <c r="M493" s="63">
        <f t="shared" ref="M493" si="309">+M494+M496</f>
        <v>0</v>
      </c>
      <c r="N493" s="63">
        <f t="shared" si="308"/>
        <v>0</v>
      </c>
      <c r="O493" s="3668"/>
      <c r="P493" s="426" t="e">
        <f>+#REF!+#REF!+F493+G493</f>
        <v>#REF!</v>
      </c>
    </row>
    <row r="494" spans="1:19" ht="13.5" hidden="1" customHeight="1">
      <c r="A494" s="3681"/>
      <c r="B494" s="807" t="s">
        <v>24</v>
      </c>
      <c r="C494" s="134"/>
      <c r="D494" s="118">
        <f>+D495</f>
        <v>0</v>
      </c>
      <c r="E494" s="118">
        <f t="shared" ref="E494:N494" si="310">+E495</f>
        <v>0</v>
      </c>
      <c r="F494" s="118">
        <f t="shared" si="310"/>
        <v>0</v>
      </c>
      <c r="G494" s="118">
        <f t="shared" si="310"/>
        <v>0</v>
      </c>
      <c r="H494" s="118">
        <f t="shared" si="310"/>
        <v>0</v>
      </c>
      <c r="I494" s="118">
        <f t="shared" si="310"/>
        <v>0</v>
      </c>
      <c r="J494" s="118">
        <f t="shared" si="310"/>
        <v>0</v>
      </c>
      <c r="K494" s="118">
        <f t="shared" si="310"/>
        <v>0</v>
      </c>
      <c r="L494" s="118">
        <f t="shared" si="310"/>
        <v>0</v>
      </c>
      <c r="M494" s="65">
        <f t="shared" si="310"/>
        <v>0</v>
      </c>
      <c r="N494" s="65">
        <f t="shared" si="310"/>
        <v>0</v>
      </c>
      <c r="O494" s="3668"/>
    </row>
    <row r="495" spans="1:19" hidden="1">
      <c r="A495" s="3681"/>
      <c r="B495" s="255" t="s">
        <v>12</v>
      </c>
      <c r="C495" s="135"/>
      <c r="D495" s="33">
        <f>+D504</f>
        <v>0</v>
      </c>
      <c r="E495" s="33">
        <f>+E504</f>
        <v>0</v>
      </c>
      <c r="F495" s="33">
        <f t="shared" ref="F495:I495" si="311">+F504</f>
        <v>0</v>
      </c>
      <c r="G495" s="33">
        <f t="shared" si="311"/>
        <v>0</v>
      </c>
      <c r="H495" s="33">
        <f t="shared" si="311"/>
        <v>0</v>
      </c>
      <c r="I495" s="33">
        <f t="shared" si="311"/>
        <v>0</v>
      </c>
      <c r="J495" s="33">
        <f>+J504</f>
        <v>0</v>
      </c>
      <c r="K495" s="33">
        <f>+K504</f>
        <v>0</v>
      </c>
      <c r="L495" s="33">
        <f>+L504</f>
        <v>0</v>
      </c>
      <c r="M495" s="34">
        <f>SUM(E495:H495)</f>
        <v>0</v>
      </c>
      <c r="N495" s="34">
        <f>SUM(F495:I495)</f>
        <v>0</v>
      </c>
      <c r="O495" s="3668"/>
    </row>
    <row r="496" spans="1:19" ht="14.25" hidden="1" customHeight="1">
      <c r="A496" s="3681"/>
      <c r="B496" s="808" t="s">
        <v>18</v>
      </c>
      <c r="C496" s="136"/>
      <c r="D496" s="31">
        <f>+D497</f>
        <v>0</v>
      </c>
      <c r="E496" s="31">
        <f t="shared" ref="E496:N496" si="312">+E497</f>
        <v>0</v>
      </c>
      <c r="F496" s="31">
        <f t="shared" si="312"/>
        <v>0</v>
      </c>
      <c r="G496" s="31">
        <f t="shared" si="312"/>
        <v>0</v>
      </c>
      <c r="H496" s="31">
        <f t="shared" si="312"/>
        <v>0</v>
      </c>
      <c r="I496" s="31">
        <f t="shared" si="312"/>
        <v>0</v>
      </c>
      <c r="J496" s="31">
        <f t="shared" si="312"/>
        <v>0</v>
      </c>
      <c r="K496" s="31">
        <f t="shared" si="312"/>
        <v>0</v>
      </c>
      <c r="L496" s="31">
        <f t="shared" si="312"/>
        <v>0</v>
      </c>
      <c r="M496" s="65">
        <f t="shared" si="312"/>
        <v>0</v>
      </c>
      <c r="N496" s="65">
        <f t="shared" si="312"/>
        <v>0</v>
      </c>
      <c r="O496" s="3668"/>
    </row>
    <row r="497" spans="1:19" ht="11.25" hidden="1" customHeight="1">
      <c r="A497" s="3681"/>
      <c r="B497" s="256" t="s">
        <v>20</v>
      </c>
      <c r="C497" s="135"/>
      <c r="D497" s="33">
        <f>+D506</f>
        <v>0</v>
      </c>
      <c r="E497" s="33">
        <f t="shared" ref="E497:I497" si="313">+E506</f>
        <v>0</v>
      </c>
      <c r="F497" s="33">
        <f t="shared" si="313"/>
        <v>0</v>
      </c>
      <c r="G497" s="33">
        <f t="shared" si="313"/>
        <v>0</v>
      </c>
      <c r="H497" s="33">
        <f t="shared" si="313"/>
        <v>0</v>
      </c>
      <c r="I497" s="33">
        <f t="shared" si="313"/>
        <v>0</v>
      </c>
      <c r="J497" s="33">
        <f>+J506</f>
        <v>0</v>
      </c>
      <c r="K497" s="33">
        <f>+K506</f>
        <v>0</v>
      </c>
      <c r="L497" s="33">
        <f>+L506</f>
        <v>0</v>
      </c>
      <c r="M497" s="34">
        <f>SUM(E497:H497)</f>
        <v>0</v>
      </c>
      <c r="N497" s="34">
        <f>SUM(F497:I497)</f>
        <v>0</v>
      </c>
      <c r="O497" s="3668"/>
    </row>
    <row r="498" spans="1:19" ht="13.5" hidden="1" customHeight="1">
      <c r="A498" s="3681"/>
      <c r="B498" s="21" t="s">
        <v>22</v>
      </c>
      <c r="C498" s="133"/>
      <c r="D498" s="126">
        <f>+D499</f>
        <v>0</v>
      </c>
      <c r="E498" s="126">
        <f>+E499</f>
        <v>0</v>
      </c>
      <c r="F498" s="126">
        <f t="shared" ref="F498:L499" si="314">+F499</f>
        <v>0</v>
      </c>
      <c r="G498" s="126">
        <f t="shared" si="314"/>
        <v>0</v>
      </c>
      <c r="H498" s="126">
        <f t="shared" si="314"/>
        <v>0</v>
      </c>
      <c r="I498" s="126">
        <f t="shared" si="314"/>
        <v>0</v>
      </c>
      <c r="J498" s="126">
        <f t="shared" si="314"/>
        <v>0</v>
      </c>
      <c r="K498" s="126">
        <f t="shared" si="314"/>
        <v>0</v>
      </c>
      <c r="L498" s="126">
        <f t="shared" si="314"/>
        <v>0</v>
      </c>
      <c r="M498" s="3674" t="s">
        <v>23</v>
      </c>
      <c r="N498" s="3674" t="s">
        <v>23</v>
      </c>
      <c r="O498" s="3668"/>
    </row>
    <row r="499" spans="1:19" ht="12" hidden="1" customHeight="1">
      <c r="A499" s="3681"/>
      <c r="B499" s="809" t="s">
        <v>18</v>
      </c>
      <c r="C499" s="134"/>
      <c r="D499" s="118">
        <f>+D500</f>
        <v>0</v>
      </c>
      <c r="E499" s="118">
        <f>+E500</f>
        <v>0</v>
      </c>
      <c r="F499" s="118">
        <f t="shared" si="314"/>
        <v>0</v>
      </c>
      <c r="G499" s="118">
        <f t="shared" si="314"/>
        <v>0</v>
      </c>
      <c r="H499" s="118">
        <f t="shared" si="314"/>
        <v>0</v>
      </c>
      <c r="I499" s="118">
        <f t="shared" si="314"/>
        <v>0</v>
      </c>
      <c r="J499" s="118">
        <f t="shared" si="314"/>
        <v>0</v>
      </c>
      <c r="K499" s="118">
        <f t="shared" si="314"/>
        <v>0</v>
      </c>
      <c r="L499" s="118">
        <f t="shared" si="314"/>
        <v>0</v>
      </c>
      <c r="M499" s="3675"/>
      <c r="N499" s="3675"/>
      <c r="O499" s="3668"/>
    </row>
    <row r="500" spans="1:19" ht="13.5" hidden="1" customHeight="1" thickBot="1">
      <c r="A500" s="3682"/>
      <c r="B500" s="256" t="s">
        <v>20</v>
      </c>
      <c r="C500" s="135"/>
      <c r="D500" s="33">
        <f>+D509</f>
        <v>0</v>
      </c>
      <c r="E500" s="33">
        <f t="shared" ref="E500:I500" si="315">+E509</f>
        <v>0</v>
      </c>
      <c r="F500" s="33">
        <f t="shared" si="315"/>
        <v>0</v>
      </c>
      <c r="G500" s="33">
        <f t="shared" si="315"/>
        <v>0</v>
      </c>
      <c r="H500" s="243">
        <f t="shared" si="315"/>
        <v>0</v>
      </c>
      <c r="I500" s="244">
        <f t="shared" si="315"/>
        <v>0</v>
      </c>
      <c r="J500" s="244">
        <f>+J509</f>
        <v>0</v>
      </c>
      <c r="K500" s="244">
        <f>+K509</f>
        <v>0</v>
      </c>
      <c r="L500" s="244">
        <f>+L509</f>
        <v>0</v>
      </c>
      <c r="M500" s="3676"/>
      <c r="N500" s="3676"/>
      <c r="O500" s="3669"/>
    </row>
    <row r="501" spans="1:19" hidden="1">
      <c r="A501" s="3691" t="s">
        <v>253</v>
      </c>
      <c r="B501" s="273"/>
      <c r="C501" s="56" t="s">
        <v>109</v>
      </c>
      <c r="D501" s="763"/>
      <c r="E501" s="92"/>
      <c r="F501" s="93"/>
      <c r="G501" s="93"/>
      <c r="H501" s="93"/>
      <c r="I501" s="93"/>
      <c r="J501" s="93"/>
      <c r="K501" s="93"/>
      <c r="L501" s="93"/>
      <c r="M501" s="43"/>
      <c r="N501" s="43"/>
      <c r="O501" s="3651" t="s">
        <v>110</v>
      </c>
      <c r="S501" s="761"/>
    </row>
    <row r="502" spans="1:19" ht="14.25" hidden="1" customHeight="1">
      <c r="A502" s="3692"/>
      <c r="B502" s="581" t="s">
        <v>10</v>
      </c>
      <c r="C502" s="1475"/>
      <c r="D502" s="1489">
        <f>+D503+D505</f>
        <v>0</v>
      </c>
      <c r="E502" s="1489">
        <f t="shared" ref="E502:N502" si="316">+E503+E505</f>
        <v>0</v>
      </c>
      <c r="F502" s="1776">
        <f t="shared" si="316"/>
        <v>0</v>
      </c>
      <c r="G502" s="1776">
        <f t="shared" si="316"/>
        <v>0</v>
      </c>
      <c r="H502" s="1776">
        <f t="shared" si="316"/>
        <v>0</v>
      </c>
      <c r="I502" s="1776">
        <f t="shared" si="316"/>
        <v>0</v>
      </c>
      <c r="J502" s="1776">
        <f t="shared" si="316"/>
        <v>0</v>
      </c>
      <c r="K502" s="1776">
        <f t="shared" si="316"/>
        <v>0</v>
      </c>
      <c r="L502" s="1776">
        <f t="shared" si="316"/>
        <v>0</v>
      </c>
      <c r="M502" s="1477">
        <f t="shared" ref="M502" si="317">+M503+M505</f>
        <v>0</v>
      </c>
      <c r="N502" s="1477">
        <f t="shared" si="316"/>
        <v>0</v>
      </c>
      <c r="O502" s="3652"/>
      <c r="P502" s="426" t="e">
        <f>+#REF!+#REF!+F502+G502</f>
        <v>#REF!</v>
      </c>
      <c r="Q502" s="426"/>
      <c r="R502" s="426"/>
      <c r="S502" s="426"/>
    </row>
    <row r="503" spans="1:19" ht="14.25" hidden="1" customHeight="1">
      <c r="A503" s="3692"/>
      <c r="B503" s="555" t="s">
        <v>24</v>
      </c>
      <c r="C503" s="3655" t="s">
        <v>111</v>
      </c>
      <c r="D503" s="1490">
        <f>+D504</f>
        <v>0</v>
      </c>
      <c r="E503" s="1490">
        <f t="shared" ref="E503:N503" si="318">+E504</f>
        <v>0</v>
      </c>
      <c r="F503" s="1777">
        <f t="shared" si="318"/>
        <v>0</v>
      </c>
      <c r="G503" s="1777">
        <f t="shared" si="318"/>
        <v>0</v>
      </c>
      <c r="H503" s="1777">
        <f t="shared" si="318"/>
        <v>0</v>
      </c>
      <c r="I503" s="1777">
        <f t="shared" si="318"/>
        <v>0</v>
      </c>
      <c r="J503" s="1777">
        <f t="shared" si="318"/>
        <v>0</v>
      </c>
      <c r="K503" s="1777">
        <f t="shared" si="318"/>
        <v>0</v>
      </c>
      <c r="L503" s="1777">
        <f t="shared" si="318"/>
        <v>0</v>
      </c>
      <c r="M503" s="1480">
        <f t="shared" si="318"/>
        <v>0</v>
      </c>
      <c r="N503" s="1480">
        <f t="shared" si="318"/>
        <v>0</v>
      </c>
      <c r="O503" s="3652"/>
      <c r="P503" s="426"/>
    </row>
    <row r="504" spans="1:19" ht="14.25" hidden="1" customHeight="1">
      <c r="A504" s="3692"/>
      <c r="B504" s="868" t="s">
        <v>12</v>
      </c>
      <c r="C504" s="3656"/>
      <c r="D504" s="1406">
        <f t="shared" ref="D504" si="319">E504+F504+G504+H504+I504+J504+K504+L504</f>
        <v>0</v>
      </c>
      <c r="E504" s="1453"/>
      <c r="F504" s="1518">
        <v>0</v>
      </c>
      <c r="G504" s="1518">
        <v>0</v>
      </c>
      <c r="H504" s="1518">
        <v>0</v>
      </c>
      <c r="I504" s="1518">
        <v>0</v>
      </c>
      <c r="J504" s="1518">
        <v>0</v>
      </c>
      <c r="K504" s="1518">
        <v>0</v>
      </c>
      <c r="L504" s="1518">
        <v>0</v>
      </c>
      <c r="M504" s="1493">
        <f>SUM(E504:H504)</f>
        <v>0</v>
      </c>
      <c r="N504" s="1493">
        <f>SUM(F504:I504)</f>
        <v>0</v>
      </c>
      <c r="O504" s="3652"/>
    </row>
    <row r="505" spans="1:19" ht="14.25" hidden="1" customHeight="1">
      <c r="A505" s="3692"/>
      <c r="B505" s="864" t="s">
        <v>18</v>
      </c>
      <c r="C505" s="3656"/>
      <c r="D505" s="1479">
        <f t="shared" ref="D505:N505" si="320">+D506</f>
        <v>0</v>
      </c>
      <c r="E505" s="1479">
        <f t="shared" si="320"/>
        <v>0</v>
      </c>
      <c r="F505" s="1778">
        <f t="shared" si="320"/>
        <v>0</v>
      </c>
      <c r="G505" s="1778">
        <f t="shared" si="320"/>
        <v>0</v>
      </c>
      <c r="H505" s="1778">
        <f t="shared" si="320"/>
        <v>0</v>
      </c>
      <c r="I505" s="1778">
        <f t="shared" si="320"/>
        <v>0</v>
      </c>
      <c r="J505" s="1778">
        <f t="shared" si="320"/>
        <v>0</v>
      </c>
      <c r="K505" s="1778">
        <f t="shared" si="320"/>
        <v>0</v>
      </c>
      <c r="L505" s="1778">
        <f t="shared" si="320"/>
        <v>0</v>
      </c>
      <c r="M505" s="1480">
        <f t="shared" si="320"/>
        <v>0</v>
      </c>
      <c r="N505" s="1480">
        <f t="shared" si="320"/>
        <v>0</v>
      </c>
      <c r="O505" s="3652"/>
    </row>
    <row r="506" spans="1:19" ht="14.25" hidden="1" customHeight="1">
      <c r="A506" s="3692"/>
      <c r="B506" s="1779" t="s">
        <v>20</v>
      </c>
      <c r="C506" s="3656"/>
      <c r="D506" s="1406">
        <f t="shared" ref="D506" si="321">E506+F506+G506+H506+I506+J506+K506+L506</f>
        <v>0</v>
      </c>
      <c r="E506" s="1453">
        <v>0</v>
      </c>
      <c r="F506" s="1518">
        <v>0</v>
      </c>
      <c r="G506" s="1518">
        <v>0</v>
      </c>
      <c r="H506" s="1518">
        <v>0</v>
      </c>
      <c r="I506" s="1518">
        <v>0</v>
      </c>
      <c r="J506" s="1518">
        <v>0</v>
      </c>
      <c r="K506" s="1518">
        <v>0</v>
      </c>
      <c r="L506" s="1518">
        <v>0</v>
      </c>
      <c r="M506" s="1493">
        <f>SUM(E506:H506)</f>
        <v>0</v>
      </c>
      <c r="N506" s="1493">
        <f>SUM(F506:I506)</f>
        <v>0</v>
      </c>
      <c r="O506" s="3652"/>
    </row>
    <row r="507" spans="1:19" ht="14.25" hidden="1" customHeight="1">
      <c r="A507" s="3706"/>
      <c r="B507" s="581" t="s">
        <v>22</v>
      </c>
      <c r="C507" s="1475"/>
      <c r="D507" s="1476">
        <f>+D508</f>
        <v>0</v>
      </c>
      <c r="E507" s="1476">
        <f t="shared" ref="E507:L508" si="322">+E508</f>
        <v>0</v>
      </c>
      <c r="F507" s="1780">
        <f t="shared" si="322"/>
        <v>0</v>
      </c>
      <c r="G507" s="1780">
        <f t="shared" si="322"/>
        <v>0</v>
      </c>
      <c r="H507" s="1780">
        <f t="shared" si="322"/>
        <v>0</v>
      </c>
      <c r="I507" s="1780">
        <f t="shared" si="322"/>
        <v>0</v>
      </c>
      <c r="J507" s="1780">
        <f t="shared" si="322"/>
        <v>0</v>
      </c>
      <c r="K507" s="1780">
        <f t="shared" si="322"/>
        <v>0</v>
      </c>
      <c r="L507" s="1780">
        <f t="shared" si="322"/>
        <v>0</v>
      </c>
      <c r="M507" s="3677" t="s">
        <v>23</v>
      </c>
      <c r="N507" s="3677" t="s">
        <v>23</v>
      </c>
      <c r="O507" s="3653"/>
    </row>
    <row r="508" spans="1:19" s="257" customFormat="1" ht="14.25" hidden="1" customHeight="1">
      <c r="A508" s="3706"/>
      <c r="B508" s="864" t="s">
        <v>18</v>
      </c>
      <c r="C508" s="3655" t="s">
        <v>112</v>
      </c>
      <c r="D508" s="1497">
        <f>+D509</f>
        <v>0</v>
      </c>
      <c r="E508" s="1504">
        <f t="shared" si="322"/>
        <v>0</v>
      </c>
      <c r="F508" s="1781">
        <f t="shared" si="322"/>
        <v>0</v>
      </c>
      <c r="G508" s="1781">
        <f t="shared" si="322"/>
        <v>0</v>
      </c>
      <c r="H508" s="1781">
        <f t="shared" si="322"/>
        <v>0</v>
      </c>
      <c r="I508" s="1781">
        <f t="shared" si="322"/>
        <v>0</v>
      </c>
      <c r="J508" s="1781">
        <f t="shared" si="322"/>
        <v>0</v>
      </c>
      <c r="K508" s="1781">
        <f t="shared" si="322"/>
        <v>0</v>
      </c>
      <c r="L508" s="1781">
        <f t="shared" si="322"/>
        <v>0</v>
      </c>
      <c r="M508" s="3675"/>
      <c r="N508" s="3675"/>
      <c r="O508" s="3653"/>
    </row>
    <row r="509" spans="1:19" s="257" customFormat="1" ht="14.25" hidden="1" customHeight="1" thickBot="1">
      <c r="A509" s="3707"/>
      <c r="B509" s="722" t="s">
        <v>20</v>
      </c>
      <c r="C509" s="3657"/>
      <c r="D509" s="1578">
        <f t="shared" ref="D509" si="323">E509+F509+G509+H509+I509+J509+K509+L509</f>
        <v>0</v>
      </c>
      <c r="E509" s="1766">
        <v>0</v>
      </c>
      <c r="F509" s="810">
        <v>0</v>
      </c>
      <c r="G509" s="810">
        <v>0</v>
      </c>
      <c r="H509" s="810">
        <v>0</v>
      </c>
      <c r="I509" s="810">
        <v>0</v>
      </c>
      <c r="J509" s="810">
        <v>0</v>
      </c>
      <c r="K509" s="810">
        <v>0</v>
      </c>
      <c r="L509" s="810">
        <v>0</v>
      </c>
      <c r="M509" s="3676"/>
      <c r="N509" s="3676"/>
      <c r="O509" s="3654"/>
      <c r="P509" s="769">
        <f>D509-D506</f>
        <v>0</v>
      </c>
    </row>
    <row r="510" spans="1:19" ht="21" customHeight="1" thickBot="1">
      <c r="A510" s="137" t="s">
        <v>113</v>
      </c>
      <c r="B510" s="138"/>
      <c r="C510" s="139"/>
      <c r="D510" s="140"/>
      <c r="E510" s="140"/>
      <c r="F510" s="139"/>
      <c r="G510" s="139"/>
      <c r="H510" s="139"/>
      <c r="I510" s="139"/>
      <c r="J510" s="139"/>
      <c r="K510" s="139"/>
      <c r="L510" s="139"/>
      <c r="M510" s="139"/>
      <c r="N510" s="139"/>
      <c r="O510" s="141"/>
    </row>
    <row r="511" spans="1:19" s="813" customFormat="1" ht="15.75" customHeight="1">
      <c r="A511" s="3625"/>
      <c r="B511" s="213" t="s">
        <v>76</v>
      </c>
      <c r="C511" s="205"/>
      <c r="D511" s="214">
        <f>+D512+D513</f>
        <v>1106490350</v>
      </c>
      <c r="E511" s="214">
        <f t="shared" ref="E511" si="324">+E512+E513</f>
        <v>367194414</v>
      </c>
      <c r="F511" s="214">
        <f t="shared" ref="F511" si="325">+F512+F513</f>
        <v>166997344</v>
      </c>
      <c r="G511" s="214">
        <f t="shared" ref="G511:L511" si="326">+G512+G513</f>
        <v>203138958</v>
      </c>
      <c r="H511" s="214">
        <f t="shared" si="326"/>
        <v>187628136</v>
      </c>
      <c r="I511" s="214">
        <f t="shared" si="326"/>
        <v>177586498</v>
      </c>
      <c r="J511" s="214">
        <f t="shared" si="326"/>
        <v>3945000</v>
      </c>
      <c r="K511" s="214">
        <f t="shared" si="326"/>
        <v>0</v>
      </c>
      <c r="L511" s="214">
        <f t="shared" si="326"/>
        <v>0</v>
      </c>
      <c r="M511" s="16">
        <f>+M512+M513</f>
        <v>739295936</v>
      </c>
      <c r="N511" s="16">
        <f>+N512+N513</f>
        <v>572298592</v>
      </c>
      <c r="O511" s="811"/>
      <c r="P511" s="812"/>
    </row>
    <row r="512" spans="1:19" s="813" customFormat="1" ht="11.25" customHeight="1">
      <c r="A512" s="3626"/>
      <c r="B512" s="207" t="s">
        <v>77</v>
      </c>
      <c r="C512" s="413"/>
      <c r="D512" s="209">
        <f t="shared" ref="D512:N512" si="327">D527+D585+D589+D602+D610+D622+D626+D634</f>
        <v>890922482</v>
      </c>
      <c r="E512" s="209">
        <f t="shared" ref="E512" si="328">E527+E585+E589+E602+E610+E622+E626+E634</f>
        <v>328478944</v>
      </c>
      <c r="F512" s="209">
        <f t="shared" si="327"/>
        <v>125586332</v>
      </c>
      <c r="G512" s="209">
        <f t="shared" si="327"/>
        <v>148320064</v>
      </c>
      <c r="H512" s="209">
        <f t="shared" si="327"/>
        <v>141985644</v>
      </c>
      <c r="I512" s="209">
        <f t="shared" si="327"/>
        <v>142606498</v>
      </c>
      <c r="J512" s="209">
        <f t="shared" si="327"/>
        <v>3945000</v>
      </c>
      <c r="K512" s="209">
        <f t="shared" si="327"/>
        <v>0</v>
      </c>
      <c r="L512" s="209">
        <f t="shared" si="327"/>
        <v>0</v>
      </c>
      <c r="M512" s="18">
        <f t="shared" ref="M512" si="329">M527+M585+M589+M602+M610+M622+M626+M634</f>
        <v>562443538</v>
      </c>
      <c r="N512" s="18">
        <f t="shared" si="327"/>
        <v>436857206</v>
      </c>
      <c r="O512" s="811"/>
    </row>
    <row r="513" spans="1:17" s="813" customFormat="1" ht="13.5" customHeight="1">
      <c r="A513" s="3626"/>
      <c r="B513" s="723" t="s">
        <v>9</v>
      </c>
      <c r="C513" s="814"/>
      <c r="D513" s="815">
        <f t="shared" ref="D513:N513" si="330">D539+D547+D551+D563+D578+D618+D630+D642+D650+D657</f>
        <v>215567868</v>
      </c>
      <c r="E513" s="815">
        <f t="shared" si="330"/>
        <v>38715470</v>
      </c>
      <c r="F513" s="815">
        <f t="shared" si="330"/>
        <v>41411012</v>
      </c>
      <c r="G513" s="815">
        <f t="shared" si="330"/>
        <v>54818894</v>
      </c>
      <c r="H513" s="815">
        <f t="shared" si="330"/>
        <v>45642492</v>
      </c>
      <c r="I513" s="815">
        <f t="shared" si="330"/>
        <v>34980000</v>
      </c>
      <c r="J513" s="815">
        <f t="shared" si="330"/>
        <v>0</v>
      </c>
      <c r="K513" s="815">
        <f t="shared" si="330"/>
        <v>0</v>
      </c>
      <c r="L513" s="815">
        <f t="shared" si="330"/>
        <v>0</v>
      </c>
      <c r="M513" s="18">
        <f t="shared" si="330"/>
        <v>176852398</v>
      </c>
      <c r="N513" s="18">
        <f t="shared" si="330"/>
        <v>135441386</v>
      </c>
      <c r="O513" s="811"/>
      <c r="P513" s="812"/>
    </row>
    <row r="514" spans="1:17" s="813" customFormat="1" ht="14.25" customHeight="1">
      <c r="A514" s="3626"/>
      <c r="B514" s="28" t="s">
        <v>10</v>
      </c>
      <c r="C514" s="22"/>
      <c r="D514" s="29">
        <f>+D515</f>
        <v>1106490350</v>
      </c>
      <c r="E514" s="29">
        <f t="shared" ref="E514:L515" si="331">+E515</f>
        <v>367194414</v>
      </c>
      <c r="F514" s="29">
        <f t="shared" si="331"/>
        <v>166997344</v>
      </c>
      <c r="G514" s="29">
        <f t="shared" si="331"/>
        <v>203138958</v>
      </c>
      <c r="H514" s="29">
        <f t="shared" si="331"/>
        <v>187628136</v>
      </c>
      <c r="I514" s="29">
        <f t="shared" si="331"/>
        <v>177586498</v>
      </c>
      <c r="J514" s="29">
        <f t="shared" si="331"/>
        <v>3945000</v>
      </c>
      <c r="K514" s="29">
        <f t="shared" si="331"/>
        <v>0</v>
      </c>
      <c r="L514" s="29">
        <f t="shared" si="331"/>
        <v>0</v>
      </c>
      <c r="M514" s="30">
        <f>+M515</f>
        <v>739295936</v>
      </c>
      <c r="N514" s="30">
        <f>+N515</f>
        <v>572298592</v>
      </c>
      <c r="O514" s="816"/>
      <c r="P514" s="812">
        <f>N514-N511</f>
        <v>0</v>
      </c>
    </row>
    <row r="515" spans="1:17" s="820" customFormat="1" ht="12">
      <c r="A515" s="3626"/>
      <c r="B515" s="817" t="s">
        <v>24</v>
      </c>
      <c r="C515" s="818"/>
      <c r="D515" s="414">
        <f>SUM(D516:D519)</f>
        <v>1106490350</v>
      </c>
      <c r="E515" s="414">
        <f t="shared" ref="E515" si="332">SUM(E516:E519)</f>
        <v>367194414</v>
      </c>
      <c r="F515" s="414">
        <f t="shared" ref="F515:I515" si="333">SUM(F516:F519)</f>
        <v>166997344</v>
      </c>
      <c r="G515" s="414">
        <f t="shared" si="333"/>
        <v>203138958</v>
      </c>
      <c r="H515" s="414">
        <f t="shared" si="333"/>
        <v>187628136</v>
      </c>
      <c r="I515" s="414">
        <f t="shared" si="333"/>
        <v>177586498</v>
      </c>
      <c r="J515" s="414">
        <f t="shared" si="331"/>
        <v>3945000</v>
      </c>
      <c r="K515" s="414">
        <f t="shared" si="331"/>
        <v>0</v>
      </c>
      <c r="L515" s="414">
        <f t="shared" si="331"/>
        <v>0</v>
      </c>
      <c r="M515" s="77">
        <f>SUM(M516:M519)</f>
        <v>739295936</v>
      </c>
      <c r="N515" s="77">
        <f>SUM(N516:N519)</f>
        <v>572298592</v>
      </c>
      <c r="O515" s="2611"/>
      <c r="P515" s="819"/>
    </row>
    <row r="516" spans="1:17" s="813" customFormat="1" thickBot="1">
      <c r="A516" s="3626"/>
      <c r="B516" s="740" t="s">
        <v>12</v>
      </c>
      <c r="C516" s="741"/>
      <c r="D516" s="415">
        <f t="shared" ref="D516:L516" si="334">+D529+D537+D541+D549+D553+D659+D557+D565+D572+D587+D591+D600+D604+D612+D620+D628+D580+D624+D632+D636+D644+D652</f>
        <v>981881231</v>
      </c>
      <c r="E516" s="415">
        <f t="shared" si="334"/>
        <v>362500650</v>
      </c>
      <c r="F516" s="415">
        <f t="shared" si="334"/>
        <v>129567608</v>
      </c>
      <c r="G516" s="415">
        <f t="shared" si="334"/>
        <v>151320462</v>
      </c>
      <c r="H516" s="415">
        <f t="shared" si="334"/>
        <v>171143873</v>
      </c>
      <c r="I516" s="415">
        <f t="shared" si="334"/>
        <v>163403638</v>
      </c>
      <c r="J516" s="415">
        <f t="shared" si="334"/>
        <v>3945000</v>
      </c>
      <c r="K516" s="415">
        <f t="shared" si="334"/>
        <v>0</v>
      </c>
      <c r="L516" s="415">
        <f t="shared" si="334"/>
        <v>0</v>
      </c>
      <c r="M516" s="862">
        <f t="shared" ref="M516:N519" si="335">SUM(F516:K516)</f>
        <v>619380581</v>
      </c>
      <c r="N516" s="862">
        <f t="shared" si="335"/>
        <v>489812973</v>
      </c>
      <c r="O516" s="3627"/>
      <c r="P516" s="812"/>
    </row>
    <row r="517" spans="1:17" s="813" customFormat="1" thickBot="1">
      <c r="A517" s="3626"/>
      <c r="B517" s="740" t="s">
        <v>78</v>
      </c>
      <c r="C517" s="741"/>
      <c r="D517" s="415">
        <f>D605+D613+D637</f>
        <v>49043728</v>
      </c>
      <c r="E517" s="415">
        <f t="shared" ref="E517" si="336">E605+E613+E637</f>
        <v>0</v>
      </c>
      <c r="F517" s="415">
        <f t="shared" ref="F517:L517" si="337">F605+F613+F637</f>
        <v>23425991</v>
      </c>
      <c r="G517" s="415">
        <f t="shared" si="337"/>
        <v>25617737</v>
      </c>
      <c r="H517" s="415">
        <f t="shared" si="337"/>
        <v>0</v>
      </c>
      <c r="I517" s="415">
        <f t="shared" si="337"/>
        <v>0</v>
      </c>
      <c r="J517" s="415">
        <f t="shared" si="337"/>
        <v>0</v>
      </c>
      <c r="K517" s="415">
        <f t="shared" si="337"/>
        <v>0</v>
      </c>
      <c r="L517" s="415">
        <f t="shared" si="337"/>
        <v>0</v>
      </c>
      <c r="M517" s="862">
        <f t="shared" si="335"/>
        <v>49043728</v>
      </c>
      <c r="N517" s="862">
        <f t="shared" si="335"/>
        <v>25617737</v>
      </c>
      <c r="O517" s="3628"/>
      <c r="P517" s="812"/>
    </row>
    <row r="518" spans="1:17" s="813" customFormat="1" thickBot="1">
      <c r="A518" s="3626"/>
      <c r="B518" s="740" t="s">
        <v>15</v>
      </c>
      <c r="C518" s="741"/>
      <c r="D518" s="415">
        <f t="shared" ref="D518:L518" si="338">+D542+D558+D573+D592+D645</f>
        <v>13116190</v>
      </c>
      <c r="E518" s="415">
        <f t="shared" ref="E518" si="339">+E542+E558+E573+E592+E645</f>
        <v>4693764</v>
      </c>
      <c r="F518" s="415">
        <f t="shared" si="338"/>
        <v>4000167</v>
      </c>
      <c r="G518" s="415">
        <f t="shared" si="338"/>
        <v>4422259</v>
      </c>
      <c r="H518" s="415">
        <f t="shared" si="338"/>
        <v>0</v>
      </c>
      <c r="I518" s="415">
        <f t="shared" si="338"/>
        <v>0</v>
      </c>
      <c r="J518" s="415">
        <f t="shared" si="338"/>
        <v>0</v>
      </c>
      <c r="K518" s="415">
        <f t="shared" si="338"/>
        <v>0</v>
      </c>
      <c r="L518" s="415">
        <f t="shared" si="338"/>
        <v>0</v>
      </c>
      <c r="M518" s="862">
        <f t="shared" si="335"/>
        <v>8422426</v>
      </c>
      <c r="N518" s="862">
        <f t="shared" si="335"/>
        <v>4422259</v>
      </c>
      <c r="O518" s="3628"/>
      <c r="P518" s="812">
        <f>D518-D524</f>
        <v>0</v>
      </c>
    </row>
    <row r="519" spans="1:17" s="813" customFormat="1" ht="13.5" customHeight="1" thickBot="1">
      <c r="A519" s="3626"/>
      <c r="B519" s="740" t="s">
        <v>106</v>
      </c>
      <c r="C519" s="741"/>
      <c r="D519" s="415">
        <f>D530</f>
        <v>62449201</v>
      </c>
      <c r="E519" s="415">
        <f t="shared" ref="E519" si="340">E530</f>
        <v>0</v>
      </c>
      <c r="F519" s="415">
        <f t="shared" ref="F519:L519" si="341">F530</f>
        <v>10003578</v>
      </c>
      <c r="G519" s="415">
        <f t="shared" si="341"/>
        <v>21778500</v>
      </c>
      <c r="H519" s="415">
        <f t="shared" si="341"/>
        <v>16484263</v>
      </c>
      <c r="I519" s="415">
        <f t="shared" si="341"/>
        <v>14182860</v>
      </c>
      <c r="J519" s="415">
        <f t="shared" si="341"/>
        <v>0</v>
      </c>
      <c r="K519" s="415">
        <f t="shared" si="341"/>
        <v>0</v>
      </c>
      <c r="L519" s="415">
        <f t="shared" si="341"/>
        <v>0</v>
      </c>
      <c r="M519" s="862">
        <f t="shared" si="335"/>
        <v>62449201</v>
      </c>
      <c r="N519" s="862">
        <f t="shared" si="335"/>
        <v>52445623</v>
      </c>
      <c r="O519" s="3628"/>
      <c r="P519" s="812"/>
    </row>
    <row r="520" spans="1:17" s="813" customFormat="1" ht="13.5" customHeight="1" thickBot="1">
      <c r="A520" s="3626"/>
      <c r="B520" s="80" t="s">
        <v>22</v>
      </c>
      <c r="C520" s="22"/>
      <c r="D520" s="29">
        <f>+D521</f>
        <v>226479303</v>
      </c>
      <c r="E520" s="29">
        <f t="shared" ref="E520:L520" si="342">+E521</f>
        <v>56644776</v>
      </c>
      <c r="F520" s="29">
        <f t="shared" si="342"/>
        <v>49455283</v>
      </c>
      <c r="G520" s="29">
        <f t="shared" si="342"/>
        <v>60268074</v>
      </c>
      <c r="H520" s="29">
        <f t="shared" si="342"/>
        <v>30055585</v>
      </c>
      <c r="I520" s="29">
        <f t="shared" si="342"/>
        <v>30055585</v>
      </c>
      <c r="J520" s="29">
        <f t="shared" si="342"/>
        <v>0</v>
      </c>
      <c r="K520" s="29">
        <f t="shared" si="342"/>
        <v>0</v>
      </c>
      <c r="L520" s="29">
        <f t="shared" si="342"/>
        <v>0</v>
      </c>
      <c r="M520" s="3674" t="s">
        <v>23</v>
      </c>
      <c r="N520" s="3678" t="s">
        <v>23</v>
      </c>
      <c r="O520" s="3628"/>
    </row>
    <row r="521" spans="1:17" s="813" customFormat="1" ht="12" customHeight="1" thickBot="1">
      <c r="A521" s="3626"/>
      <c r="B521" s="817" t="s">
        <v>24</v>
      </c>
      <c r="C521" s="746"/>
      <c r="D521" s="225">
        <f>+D522+D524+D523+D525</f>
        <v>226479303</v>
      </c>
      <c r="E521" s="225">
        <f t="shared" ref="E521" si="343">+E522+E524+E523+E525</f>
        <v>56644776</v>
      </c>
      <c r="F521" s="225">
        <f t="shared" ref="F521:L521" si="344">+F522+F524+F523+F525</f>
        <v>49455283</v>
      </c>
      <c r="G521" s="225">
        <f t="shared" si="344"/>
        <v>60268074</v>
      </c>
      <c r="H521" s="225">
        <f t="shared" si="344"/>
        <v>30055585</v>
      </c>
      <c r="I521" s="225">
        <f t="shared" si="344"/>
        <v>30055585</v>
      </c>
      <c r="J521" s="225">
        <f t="shared" si="344"/>
        <v>0</v>
      </c>
      <c r="K521" s="225">
        <f t="shared" si="344"/>
        <v>0</v>
      </c>
      <c r="L521" s="225">
        <f t="shared" si="344"/>
        <v>0</v>
      </c>
      <c r="M521" s="3675"/>
      <c r="N521" s="3679"/>
      <c r="O521" s="3628"/>
    </row>
    <row r="522" spans="1:17" s="813" customFormat="1" ht="12" customHeight="1" thickBot="1">
      <c r="A522" s="3626"/>
      <c r="B522" s="740" t="s">
        <v>186</v>
      </c>
      <c r="C522" s="416"/>
      <c r="D522" s="142">
        <f>+D595+D583+D568+D655</f>
        <v>101870184</v>
      </c>
      <c r="E522" s="142">
        <f t="shared" ref="E522:L522" si="345">+E595+E583+E568+E655</f>
        <v>23178951</v>
      </c>
      <c r="F522" s="142">
        <f t="shared" si="345"/>
        <v>13609840</v>
      </c>
      <c r="G522" s="142">
        <f t="shared" si="345"/>
        <v>21808793</v>
      </c>
      <c r="H522" s="142">
        <f t="shared" si="345"/>
        <v>21636300</v>
      </c>
      <c r="I522" s="142">
        <f t="shared" si="345"/>
        <v>21636300</v>
      </c>
      <c r="J522" s="142">
        <f t="shared" si="345"/>
        <v>0</v>
      </c>
      <c r="K522" s="142">
        <f t="shared" si="345"/>
        <v>0</v>
      </c>
      <c r="L522" s="142">
        <f t="shared" si="345"/>
        <v>0</v>
      </c>
      <c r="M522" s="3675"/>
      <c r="N522" s="3679"/>
      <c r="O522" s="3628"/>
      <c r="Q522" s="812">
        <v>28500000</v>
      </c>
    </row>
    <row r="523" spans="1:17" s="813" customFormat="1" ht="12" customHeight="1" thickBot="1">
      <c r="A523" s="3043"/>
      <c r="B523" s="740" t="s">
        <v>78</v>
      </c>
      <c r="C523" s="416"/>
      <c r="D523" s="415">
        <f>D608+D616+D640</f>
        <v>49043728</v>
      </c>
      <c r="E523" s="415">
        <f t="shared" ref="E523" si="346">E608+E616+E640</f>
        <v>0</v>
      </c>
      <c r="F523" s="415">
        <f t="shared" ref="F523:L523" si="347">F608+F616+F640</f>
        <v>23425991</v>
      </c>
      <c r="G523" s="415">
        <f t="shared" si="347"/>
        <v>25617737</v>
      </c>
      <c r="H523" s="415">
        <f t="shared" si="347"/>
        <v>0</v>
      </c>
      <c r="I523" s="415">
        <f t="shared" si="347"/>
        <v>0</v>
      </c>
      <c r="J523" s="415">
        <f t="shared" si="347"/>
        <v>0</v>
      </c>
      <c r="K523" s="415">
        <f t="shared" si="347"/>
        <v>0</v>
      </c>
      <c r="L523" s="415">
        <f t="shared" si="347"/>
        <v>0</v>
      </c>
      <c r="M523" s="3675"/>
      <c r="N523" s="3679"/>
      <c r="O523" s="3628"/>
      <c r="P523" s="812">
        <f>D523-D517</f>
        <v>0</v>
      </c>
      <c r="Q523" s="812">
        <v>4072498</v>
      </c>
    </row>
    <row r="524" spans="1:17" s="813" customFormat="1" ht="12" customHeight="1" thickBot="1">
      <c r="A524" s="3043"/>
      <c r="B524" s="740" t="s">
        <v>15</v>
      </c>
      <c r="C524" s="416"/>
      <c r="D524" s="142">
        <f t="shared" ref="D524:L524" si="348">+D545+D561+D576+D596+D648</f>
        <v>13116190</v>
      </c>
      <c r="E524" s="142">
        <f t="shared" ref="E524" si="349">+E545+E561+E576+E596+E648</f>
        <v>4693764</v>
      </c>
      <c r="F524" s="142">
        <f t="shared" si="348"/>
        <v>4000167</v>
      </c>
      <c r="G524" s="142">
        <f t="shared" si="348"/>
        <v>4422259</v>
      </c>
      <c r="H524" s="142">
        <f t="shared" si="348"/>
        <v>0</v>
      </c>
      <c r="I524" s="142">
        <f t="shared" si="348"/>
        <v>0</v>
      </c>
      <c r="J524" s="142">
        <f t="shared" si="348"/>
        <v>0</v>
      </c>
      <c r="K524" s="142">
        <f t="shared" si="348"/>
        <v>0</v>
      </c>
      <c r="L524" s="142">
        <f t="shared" si="348"/>
        <v>0</v>
      </c>
      <c r="M524" s="3675"/>
      <c r="N524" s="3679"/>
      <c r="O524" s="3628"/>
      <c r="Q524" s="812">
        <v>1570791</v>
      </c>
    </row>
    <row r="525" spans="1:17" s="813" customFormat="1" ht="12" customHeight="1" thickBot="1">
      <c r="A525" s="3044"/>
      <c r="B525" s="2798" t="s">
        <v>106</v>
      </c>
      <c r="C525" s="2713"/>
      <c r="D525" s="2799">
        <f>D533</f>
        <v>62449201</v>
      </c>
      <c r="E525" s="2799">
        <f t="shared" ref="E525" si="350">E533</f>
        <v>28772061</v>
      </c>
      <c r="F525" s="2799">
        <f t="shared" ref="F525:L525" si="351">F533</f>
        <v>8419285</v>
      </c>
      <c r="G525" s="2799">
        <f t="shared" si="351"/>
        <v>8419285</v>
      </c>
      <c r="H525" s="2799">
        <f t="shared" si="351"/>
        <v>8419285</v>
      </c>
      <c r="I525" s="2799">
        <f t="shared" si="351"/>
        <v>8419285</v>
      </c>
      <c r="J525" s="2799">
        <f t="shared" si="351"/>
        <v>0</v>
      </c>
      <c r="K525" s="2799">
        <f t="shared" si="351"/>
        <v>0</v>
      </c>
      <c r="L525" s="2799">
        <f t="shared" si="351"/>
        <v>0</v>
      </c>
      <c r="M525" s="3676"/>
      <c r="N525" s="3679"/>
      <c r="O525" s="3628"/>
    </row>
    <row r="526" spans="1:17" s="813" customFormat="1" ht="13.5" customHeight="1" thickBot="1">
      <c r="A526" s="3683" t="s">
        <v>63</v>
      </c>
      <c r="B526" s="72" t="s">
        <v>334</v>
      </c>
      <c r="C526" s="56" t="s">
        <v>109</v>
      </c>
      <c r="D526" s="3163"/>
      <c r="E526" s="3164"/>
      <c r="F526" s="3164"/>
      <c r="G526" s="3164"/>
      <c r="H526" s="3164"/>
      <c r="I526" s="3164"/>
      <c r="J526" s="3164"/>
      <c r="K526" s="3164"/>
      <c r="L526" s="3165"/>
      <c r="M526" s="1240"/>
      <c r="N526" s="1240"/>
      <c r="O526" s="3689" t="s">
        <v>102</v>
      </c>
    </row>
    <row r="527" spans="1:17" s="813" customFormat="1" thickBot="1">
      <c r="A527" s="3683"/>
      <c r="B527" s="451" t="s">
        <v>10</v>
      </c>
      <c r="C527" s="1475"/>
      <c r="D527" s="1788">
        <f>+D528</f>
        <v>83298218</v>
      </c>
      <c r="E527" s="1788">
        <f t="shared" ref="E527:I527" si="352">+E528</f>
        <v>2184218</v>
      </c>
      <c r="F527" s="1788">
        <f t="shared" si="352"/>
        <v>12304401</v>
      </c>
      <c r="G527" s="1788">
        <f t="shared" si="352"/>
        <v>26787555</v>
      </c>
      <c r="H527" s="1788">
        <f t="shared" si="352"/>
        <v>20275644</v>
      </c>
      <c r="I527" s="1788">
        <f t="shared" si="352"/>
        <v>21746400</v>
      </c>
      <c r="J527" s="1505">
        <v>0</v>
      </c>
      <c r="K527" s="1505">
        <v>0</v>
      </c>
      <c r="L527" s="1505">
        <v>0</v>
      </c>
      <c r="M527" s="1533">
        <f>+M528</f>
        <v>81114000</v>
      </c>
      <c r="N527" s="1533">
        <f>+N528</f>
        <v>68809599</v>
      </c>
      <c r="O527" s="3689"/>
      <c r="P527" s="812"/>
    </row>
    <row r="528" spans="1:17" s="813" customFormat="1" thickBot="1">
      <c r="A528" s="3683"/>
      <c r="B528" s="587" t="s">
        <v>24</v>
      </c>
      <c r="C528" s="3655" t="s">
        <v>98</v>
      </c>
      <c r="D528" s="1789">
        <f>D529+D530</f>
        <v>83298218</v>
      </c>
      <c r="E528" s="1789">
        <f t="shared" ref="E528:G528" si="353">E529+E530</f>
        <v>2184218</v>
      </c>
      <c r="F528" s="1789">
        <f>F529+F530</f>
        <v>12304401</v>
      </c>
      <c r="G528" s="1789">
        <f t="shared" si="353"/>
        <v>26787555</v>
      </c>
      <c r="H528" s="1789">
        <f t="shared" ref="H528" si="354">H529+H530</f>
        <v>20275644</v>
      </c>
      <c r="I528" s="1789">
        <f t="shared" ref="I528" si="355">I529+I530</f>
        <v>21746400</v>
      </c>
      <c r="J528" s="1503">
        <v>0</v>
      </c>
      <c r="K528" s="1503">
        <v>0</v>
      </c>
      <c r="L528" s="1503">
        <v>0</v>
      </c>
      <c r="M528" s="1517">
        <f>+M529+M530</f>
        <v>81114000</v>
      </c>
      <c r="N528" s="1517">
        <f>+N529+N530</f>
        <v>68809599</v>
      </c>
      <c r="O528" s="3689"/>
    </row>
    <row r="529" spans="1:16" s="813" customFormat="1" thickBot="1">
      <c r="A529" s="3683"/>
      <c r="B529" s="642" t="s">
        <v>12</v>
      </c>
      <c r="C529" s="3650"/>
      <c r="D529" s="1406">
        <f>E529+F529+G529+H529+I529+J529+K529+L529</f>
        <v>20849017</v>
      </c>
      <c r="E529" s="1453">
        <v>2184218</v>
      </c>
      <c r="F529" s="1790">
        <f>23370000-5870000+3500000-18079000-620177</f>
        <v>2300823</v>
      </c>
      <c r="G529" s="1790">
        <f>29212500-15212500+7000000-16067341+620177-543781</f>
        <v>5009055</v>
      </c>
      <c r="H529" s="1790">
        <f>3427000-179400+543781</f>
        <v>3791381</v>
      </c>
      <c r="I529" s="1790">
        <f>7384140+179400</f>
        <v>7563540</v>
      </c>
      <c r="J529" s="1436">
        <v>0</v>
      </c>
      <c r="K529" s="1436">
        <v>0</v>
      </c>
      <c r="L529" s="1436">
        <v>0</v>
      </c>
      <c r="M529" s="1493">
        <f>SUM(F529:K529)</f>
        <v>18664799</v>
      </c>
      <c r="N529" s="1493">
        <f>SUM(G529:L529)</f>
        <v>16363976</v>
      </c>
      <c r="O529" s="3689"/>
      <c r="P529" s="812"/>
    </row>
    <row r="530" spans="1:16" s="813" customFormat="1" thickBot="1">
      <c r="A530" s="3683"/>
      <c r="B530" s="1241" t="s">
        <v>106</v>
      </c>
      <c r="C530" s="3064"/>
      <c r="D530" s="1458">
        <f>E530+F530+G530+H530+I530+J530+K530+L530</f>
        <v>62449201</v>
      </c>
      <c r="E530" s="1453">
        <v>0</v>
      </c>
      <c r="F530" s="108">
        <f>12700000-2696422</f>
        <v>10003578</v>
      </c>
      <c r="G530" s="108">
        <f>21446341+2696422-2364263</f>
        <v>21778500</v>
      </c>
      <c r="H530" s="108">
        <f>14900000-780000+2364263</f>
        <v>16484263</v>
      </c>
      <c r="I530" s="108">
        <f>13402860+780000</f>
        <v>14182860</v>
      </c>
      <c r="J530" s="1219">
        <v>0</v>
      </c>
      <c r="K530" s="1219">
        <v>0</v>
      </c>
      <c r="L530" s="1219">
        <v>0</v>
      </c>
      <c r="M530" s="1493">
        <f>SUM(F530:K530)</f>
        <v>62449201</v>
      </c>
      <c r="N530" s="1493">
        <f>SUM(G530:L530)</f>
        <v>52445623</v>
      </c>
      <c r="O530" s="3689"/>
      <c r="P530" s="812"/>
    </row>
    <row r="531" spans="1:16" s="813" customFormat="1" thickBot="1">
      <c r="A531" s="3683"/>
      <c r="B531" s="183" t="s">
        <v>22</v>
      </c>
      <c r="C531" s="88"/>
      <c r="D531" s="1242">
        <f>D532</f>
        <v>62449201</v>
      </c>
      <c r="E531" s="1242">
        <f t="shared" ref="E531:L532" si="356">E532</f>
        <v>28772061</v>
      </c>
      <c r="F531" s="1242">
        <f t="shared" si="356"/>
        <v>8419285</v>
      </c>
      <c r="G531" s="1242">
        <f t="shared" si="356"/>
        <v>8419285</v>
      </c>
      <c r="H531" s="1242">
        <f t="shared" si="356"/>
        <v>8419285</v>
      </c>
      <c r="I531" s="1242">
        <f t="shared" si="356"/>
        <v>8419285</v>
      </c>
      <c r="J531" s="1243">
        <f t="shared" si="356"/>
        <v>0</v>
      </c>
      <c r="K531" s="1243">
        <f t="shared" si="356"/>
        <v>0</v>
      </c>
      <c r="L531" s="1243">
        <f t="shared" si="356"/>
        <v>0</v>
      </c>
      <c r="M531" s="3684" t="s">
        <v>23</v>
      </c>
      <c r="N531" s="3684" t="s">
        <v>23</v>
      </c>
      <c r="O531" s="3689"/>
      <c r="P531" s="812"/>
    </row>
    <row r="532" spans="1:16" s="813" customFormat="1" ht="14.25" customHeight="1" thickBot="1">
      <c r="A532" s="3683"/>
      <c r="B532" s="1547" t="s">
        <v>24</v>
      </c>
      <c r="C532" s="3655" t="s">
        <v>98</v>
      </c>
      <c r="D532" s="1458">
        <f>D533</f>
        <v>62449201</v>
      </c>
      <c r="E532" s="1458">
        <f t="shared" si="356"/>
        <v>28772061</v>
      </c>
      <c r="F532" s="1458">
        <f t="shared" si="356"/>
        <v>8419285</v>
      </c>
      <c r="G532" s="1458">
        <f t="shared" si="356"/>
        <v>8419285</v>
      </c>
      <c r="H532" s="1458">
        <f t="shared" si="356"/>
        <v>8419285</v>
      </c>
      <c r="I532" s="1458">
        <f t="shared" si="356"/>
        <v>8419285</v>
      </c>
      <c r="J532" s="1791">
        <f t="shared" si="356"/>
        <v>0</v>
      </c>
      <c r="K532" s="1791">
        <f t="shared" si="356"/>
        <v>0</v>
      </c>
      <c r="L532" s="1791">
        <f t="shared" si="356"/>
        <v>0</v>
      </c>
      <c r="M532" s="3684"/>
      <c r="N532" s="3684"/>
      <c r="O532" s="3689"/>
      <c r="P532" s="812"/>
    </row>
    <row r="533" spans="1:16" s="813" customFormat="1" thickBot="1">
      <c r="A533" s="3683"/>
      <c r="B533" s="1280" t="s">
        <v>106</v>
      </c>
      <c r="C533" s="3701"/>
      <c r="D533" s="1766">
        <f>E533+F533+G533+H533+I533+J533+K533+L533</f>
        <v>62449201</v>
      </c>
      <c r="E533" s="1766">
        <v>28772061</v>
      </c>
      <c r="F533" s="1766">
        <v>8419285</v>
      </c>
      <c r="G533" s="1766">
        <v>8419285</v>
      </c>
      <c r="H533" s="1766">
        <v>8419285</v>
      </c>
      <c r="I533" s="1766">
        <v>8419285</v>
      </c>
      <c r="J533" s="1792">
        <v>0</v>
      </c>
      <c r="K533" s="1792">
        <v>0</v>
      </c>
      <c r="L533" s="1792">
        <v>0</v>
      </c>
      <c r="M533" s="3685"/>
      <c r="N533" s="3685"/>
      <c r="O533" s="3689"/>
      <c r="P533" s="812"/>
    </row>
    <row r="534" spans="1:16" s="813" customFormat="1" ht="14.25" hidden="1" customHeight="1">
      <c r="A534" s="3626"/>
      <c r="B534" s="417"/>
      <c r="C534" s="821"/>
      <c r="D534" s="82"/>
      <c r="E534" s="247"/>
      <c r="F534" s="247"/>
      <c r="G534" s="247"/>
      <c r="H534" s="247"/>
      <c r="I534" s="247"/>
      <c r="J534" s="247"/>
      <c r="K534" s="247"/>
      <c r="L534" s="247"/>
      <c r="M534" s="248"/>
      <c r="N534" s="248"/>
      <c r="O534" s="3664"/>
    </row>
    <row r="535" spans="1:16" s="813" customFormat="1" ht="13.5" hidden="1" customHeight="1">
      <c r="A535" s="3626"/>
      <c r="B535" s="28"/>
      <c r="C535" s="88"/>
      <c r="D535" s="202"/>
      <c r="E535" s="202"/>
      <c r="F535" s="202"/>
      <c r="G535" s="202"/>
      <c r="H535" s="237"/>
      <c r="I535" s="237"/>
      <c r="J535" s="237"/>
      <c r="K535" s="237"/>
      <c r="L535" s="237"/>
      <c r="M535" s="232"/>
      <c r="N535" s="232"/>
      <c r="O535" s="3665"/>
    </row>
    <row r="536" spans="1:16" s="813" customFormat="1" ht="13.5" hidden="1" customHeight="1">
      <c r="A536" s="3626"/>
      <c r="B536" s="559"/>
      <c r="C536" s="3648"/>
      <c r="D536" s="76"/>
      <c r="E536" s="76"/>
      <c r="F536" s="76"/>
      <c r="G536" s="76"/>
      <c r="H536" s="235"/>
      <c r="I536" s="235"/>
      <c r="J536" s="235"/>
      <c r="K536" s="235"/>
      <c r="L536" s="235"/>
      <c r="M536" s="233"/>
      <c r="N536" s="233"/>
      <c r="O536" s="3665"/>
    </row>
    <row r="537" spans="1:16" s="813" customFormat="1" ht="13.5" hidden="1" customHeight="1" thickBot="1">
      <c r="A537" s="3836"/>
      <c r="B537" s="69"/>
      <c r="C537" s="3657"/>
      <c r="D537" s="85"/>
      <c r="E537" s="71"/>
      <c r="F537" s="49"/>
      <c r="G537" s="49"/>
      <c r="H537" s="238"/>
      <c r="I537" s="238"/>
      <c r="J537" s="238"/>
      <c r="K537" s="238"/>
      <c r="L537" s="238"/>
      <c r="M537" s="234"/>
      <c r="N537" s="234"/>
      <c r="O537" s="3666"/>
      <c r="P537" s="812"/>
    </row>
    <row r="538" spans="1:16" s="813" customFormat="1" ht="12" hidden="1">
      <c r="A538" s="3837"/>
      <c r="B538" s="72"/>
      <c r="C538" s="56" t="s">
        <v>81</v>
      </c>
      <c r="D538" s="763"/>
      <c r="E538" s="93"/>
      <c r="F538" s="93"/>
      <c r="G538" s="93"/>
      <c r="H538" s="93"/>
      <c r="I538" s="93"/>
      <c r="J538" s="93"/>
      <c r="K538" s="93"/>
      <c r="L538" s="93"/>
      <c r="M538" s="43"/>
      <c r="N538" s="43"/>
      <c r="O538" s="3651" t="s">
        <v>102</v>
      </c>
    </row>
    <row r="539" spans="1:16" s="813" customFormat="1" ht="15" hidden="1" customHeight="1">
      <c r="A539" s="3838"/>
      <c r="B539" s="451" t="s">
        <v>10</v>
      </c>
      <c r="C539" s="1499"/>
      <c r="D539" s="1412">
        <f>+D540</f>
        <v>0</v>
      </c>
      <c r="E539" s="1489">
        <f t="shared" ref="E539:N539" si="357">+E540</f>
        <v>0</v>
      </c>
      <c r="F539" s="1489">
        <f t="shared" si="357"/>
        <v>0</v>
      </c>
      <c r="G539" s="1505">
        <v>0</v>
      </c>
      <c r="H539" s="1505">
        <v>0</v>
      </c>
      <c r="I539" s="1505">
        <v>0</v>
      </c>
      <c r="J539" s="1505">
        <v>0</v>
      </c>
      <c r="K539" s="1505">
        <v>0</v>
      </c>
      <c r="L539" s="1505">
        <v>0</v>
      </c>
      <c r="M539" s="1413">
        <f t="shared" si="357"/>
        <v>0</v>
      </c>
      <c r="N539" s="1413">
        <f t="shared" si="357"/>
        <v>0</v>
      </c>
      <c r="O539" s="3841"/>
      <c r="P539" s="812"/>
    </row>
    <row r="540" spans="1:16" s="813" customFormat="1" ht="13.5" hidden="1" customHeight="1">
      <c r="A540" s="3838"/>
      <c r="B540" s="587" t="s">
        <v>24</v>
      </c>
      <c r="C540" s="3655"/>
      <c r="D540" s="1415">
        <f>+D541+D542</f>
        <v>0</v>
      </c>
      <c r="E540" s="1490">
        <f t="shared" ref="E540" si="358">+E541+E542</f>
        <v>0</v>
      </c>
      <c r="F540" s="1490">
        <f>+F541+F542</f>
        <v>0</v>
      </c>
      <c r="G540" s="1503">
        <v>0</v>
      </c>
      <c r="H540" s="1503">
        <v>0</v>
      </c>
      <c r="I540" s="1503">
        <v>0</v>
      </c>
      <c r="J540" s="1503">
        <v>0</v>
      </c>
      <c r="K540" s="1503">
        <v>0</v>
      </c>
      <c r="L540" s="1503">
        <v>0</v>
      </c>
      <c r="M540" s="1480">
        <f>+M541+M542</f>
        <v>0</v>
      </c>
      <c r="N540" s="1480">
        <f>+N541+N542</f>
        <v>0</v>
      </c>
      <c r="O540" s="3841"/>
    </row>
    <row r="541" spans="1:16" s="813" customFormat="1" ht="13.5" hidden="1" customHeight="1">
      <c r="A541" s="3838"/>
      <c r="B541" s="1506" t="s">
        <v>12</v>
      </c>
      <c r="C541" s="3656"/>
      <c r="D541" s="1406">
        <f>E541+F541+G541+H541+I541+J541+K541+L541</f>
        <v>0</v>
      </c>
      <c r="E541" s="1453"/>
      <c r="F541" s="1419"/>
      <c r="G541" s="1502">
        <v>0</v>
      </c>
      <c r="H541" s="1502">
        <v>0</v>
      </c>
      <c r="I541" s="1502">
        <v>0</v>
      </c>
      <c r="J541" s="1502">
        <v>0</v>
      </c>
      <c r="K541" s="1502">
        <v>0</v>
      </c>
      <c r="L541" s="1502">
        <v>0</v>
      </c>
      <c r="M541" s="862">
        <f>SUM(F541:K541)</f>
        <v>0</v>
      </c>
      <c r="N541" s="862">
        <f>SUM(G541:L541)</f>
        <v>0</v>
      </c>
      <c r="O541" s="3841"/>
    </row>
    <row r="542" spans="1:16" s="813" customFormat="1" ht="13.5" hidden="1" customHeight="1">
      <c r="A542" s="3838"/>
      <c r="B542" s="642" t="s">
        <v>114</v>
      </c>
      <c r="C542" s="3670"/>
      <c r="D542" s="1406">
        <f>E542+F542+G542+H542+I542+J542+K542+L542</f>
        <v>0</v>
      </c>
      <c r="E542" s="1453"/>
      <c r="F542" s="1502">
        <v>0</v>
      </c>
      <c r="G542" s="1502">
        <v>0</v>
      </c>
      <c r="H542" s="1502">
        <v>0</v>
      </c>
      <c r="I542" s="1502">
        <v>0</v>
      </c>
      <c r="J542" s="1502">
        <v>0</v>
      </c>
      <c r="K542" s="1502">
        <v>0</v>
      </c>
      <c r="L542" s="1502">
        <v>0</v>
      </c>
      <c r="M542" s="862">
        <f>SUM(F542:K542)</f>
        <v>0</v>
      </c>
      <c r="N542" s="862">
        <f>SUM(G542:L542)</f>
        <v>0</v>
      </c>
      <c r="O542" s="3841"/>
    </row>
    <row r="543" spans="1:16" s="813" customFormat="1" ht="12.75" hidden="1" customHeight="1">
      <c r="A543" s="3839"/>
      <c r="B543" s="581" t="s">
        <v>22</v>
      </c>
      <c r="C543" s="1499"/>
      <c r="D543" s="1412">
        <f>+D544</f>
        <v>0</v>
      </c>
      <c r="E543" s="1412">
        <f t="shared" ref="E543:E544" si="359">+E544</f>
        <v>0</v>
      </c>
      <c r="F543" s="1505">
        <v>0</v>
      </c>
      <c r="G543" s="1505">
        <v>0</v>
      </c>
      <c r="H543" s="1505">
        <v>0</v>
      </c>
      <c r="I543" s="1505">
        <v>0</v>
      </c>
      <c r="J543" s="1505">
        <v>0</v>
      </c>
      <c r="K543" s="1505">
        <v>0</v>
      </c>
      <c r="L543" s="1505">
        <v>0</v>
      </c>
      <c r="M543" s="3671" t="s">
        <v>23</v>
      </c>
      <c r="N543" s="3671" t="s">
        <v>23</v>
      </c>
      <c r="O543" s="3841"/>
    </row>
    <row r="544" spans="1:16" s="813" customFormat="1" ht="13.5" hidden="1" customHeight="1">
      <c r="A544" s="3839"/>
      <c r="B544" s="555" t="s">
        <v>24</v>
      </c>
      <c r="C544" s="3655"/>
      <c r="D544" s="1490">
        <f>+D545</f>
        <v>0</v>
      </c>
      <c r="E544" s="1490">
        <f t="shared" si="359"/>
        <v>0</v>
      </c>
      <c r="F544" s="1503">
        <v>0</v>
      </c>
      <c r="G544" s="1503">
        <v>0</v>
      </c>
      <c r="H544" s="1503">
        <v>0</v>
      </c>
      <c r="I544" s="1503">
        <v>0</v>
      </c>
      <c r="J544" s="1503">
        <v>0</v>
      </c>
      <c r="K544" s="1503">
        <v>0</v>
      </c>
      <c r="L544" s="1503">
        <v>0</v>
      </c>
      <c r="M544" s="3672"/>
      <c r="N544" s="3672"/>
      <c r="O544" s="3841"/>
    </row>
    <row r="545" spans="1:131" s="813" customFormat="1" ht="13.5" hidden="1" customHeight="1" thickBot="1">
      <c r="A545" s="3840"/>
      <c r="B545" s="344" t="s">
        <v>114</v>
      </c>
      <c r="C545" s="3657"/>
      <c r="D545" s="1406">
        <f>E545+F545+G545+H545+I545+J545+K545+L545</f>
        <v>0</v>
      </c>
      <c r="E545" s="1453"/>
      <c r="F545" s="873">
        <v>0</v>
      </c>
      <c r="G545" s="873">
        <v>0</v>
      </c>
      <c r="H545" s="873">
        <v>0</v>
      </c>
      <c r="I545" s="873">
        <v>0</v>
      </c>
      <c r="J545" s="873">
        <v>0</v>
      </c>
      <c r="K545" s="873">
        <v>0</v>
      </c>
      <c r="L545" s="873">
        <v>0</v>
      </c>
      <c r="M545" s="3673"/>
      <c r="N545" s="3673"/>
      <c r="O545" s="3842"/>
    </row>
    <row r="546" spans="1:131" s="823" customFormat="1" ht="12" customHeight="1">
      <c r="A546" s="3617" t="s">
        <v>64</v>
      </c>
      <c r="B546" s="72" t="s">
        <v>298</v>
      </c>
      <c r="C546" s="56" t="s">
        <v>81</v>
      </c>
      <c r="D546" s="3166"/>
      <c r="E546" s="3167"/>
      <c r="F546" s="3167"/>
      <c r="G546" s="3167"/>
      <c r="H546" s="3167"/>
      <c r="I546" s="3167"/>
      <c r="J546" s="3167"/>
      <c r="K546" s="3167"/>
      <c r="L546" s="58"/>
      <c r="M546" s="43"/>
      <c r="N546" s="43"/>
      <c r="O546" s="3620" t="s">
        <v>86</v>
      </c>
      <c r="P546" s="822"/>
      <c r="Q546" s="822"/>
      <c r="R546" s="822"/>
      <c r="S546" s="822"/>
      <c r="T546" s="822"/>
      <c r="U546" s="822"/>
      <c r="V546" s="822"/>
      <c r="W546" s="822"/>
      <c r="X546" s="822"/>
      <c r="Y546" s="822"/>
      <c r="Z546" s="822"/>
      <c r="AA546" s="822"/>
      <c r="AB546" s="822"/>
      <c r="AC546" s="822"/>
      <c r="AD546" s="822"/>
      <c r="AE546" s="822"/>
      <c r="AF546" s="822"/>
      <c r="AG546" s="822"/>
      <c r="AH546" s="822"/>
      <c r="AI546" s="822"/>
      <c r="AJ546" s="822"/>
      <c r="AK546" s="822"/>
      <c r="AL546" s="822"/>
      <c r="AM546" s="822"/>
      <c r="AN546" s="822"/>
      <c r="AO546" s="822"/>
      <c r="AP546" s="822"/>
      <c r="AQ546" s="822"/>
      <c r="AR546" s="822"/>
      <c r="AS546" s="822"/>
      <c r="AT546" s="822"/>
      <c r="AU546" s="822"/>
      <c r="AV546" s="822"/>
      <c r="AW546" s="822"/>
      <c r="AX546" s="822"/>
      <c r="AY546" s="822"/>
      <c r="AZ546" s="822"/>
      <c r="BA546" s="822"/>
      <c r="BB546" s="822"/>
      <c r="BC546" s="822"/>
      <c r="BD546" s="822"/>
      <c r="BE546" s="822"/>
      <c r="BF546" s="822"/>
      <c r="BG546" s="822"/>
      <c r="BH546" s="822"/>
      <c r="BI546" s="822"/>
      <c r="BJ546" s="822"/>
      <c r="BK546" s="822"/>
      <c r="BL546" s="822"/>
      <c r="BM546" s="822"/>
      <c r="BN546" s="822"/>
      <c r="BO546" s="822"/>
      <c r="BP546" s="822"/>
      <c r="BQ546" s="822"/>
      <c r="BR546" s="822"/>
      <c r="BS546" s="822"/>
      <c r="BT546" s="822"/>
      <c r="BU546" s="822"/>
      <c r="BV546" s="822"/>
      <c r="BW546" s="822"/>
      <c r="BX546" s="822"/>
      <c r="BY546" s="822"/>
      <c r="BZ546" s="822"/>
      <c r="CA546" s="822"/>
      <c r="CB546" s="822"/>
      <c r="CC546" s="822"/>
      <c r="CD546" s="822"/>
      <c r="CE546" s="822"/>
      <c r="CF546" s="822"/>
      <c r="CG546" s="822"/>
      <c r="CH546" s="822"/>
      <c r="CI546" s="822"/>
      <c r="CJ546" s="822"/>
      <c r="CK546" s="822"/>
      <c r="CL546" s="822"/>
      <c r="CM546" s="822"/>
      <c r="CN546" s="822"/>
      <c r="CO546" s="822"/>
      <c r="CP546" s="822"/>
      <c r="CQ546" s="822"/>
      <c r="CR546" s="822"/>
      <c r="CS546" s="822"/>
      <c r="CT546" s="822"/>
      <c r="CU546" s="822"/>
      <c r="CV546" s="822"/>
      <c r="CW546" s="822"/>
      <c r="CX546" s="822"/>
      <c r="CY546" s="822"/>
      <c r="CZ546" s="822"/>
      <c r="DA546" s="822"/>
      <c r="DB546" s="822"/>
      <c r="DC546" s="822"/>
      <c r="DD546" s="822"/>
      <c r="DE546" s="822"/>
      <c r="DF546" s="822"/>
      <c r="DG546" s="822"/>
      <c r="DH546" s="822"/>
      <c r="DI546" s="822"/>
      <c r="DJ546" s="822"/>
      <c r="DK546" s="822"/>
      <c r="DL546" s="822"/>
      <c r="DM546" s="822"/>
      <c r="DN546" s="822"/>
      <c r="DO546" s="822"/>
      <c r="DP546" s="822"/>
      <c r="DQ546" s="822"/>
      <c r="DR546" s="822"/>
      <c r="DS546" s="822"/>
      <c r="DT546" s="822"/>
      <c r="DU546" s="822"/>
      <c r="DV546" s="822"/>
      <c r="DW546" s="822"/>
      <c r="DX546" s="822"/>
      <c r="DY546" s="822"/>
      <c r="DZ546" s="822"/>
      <c r="EA546" s="822"/>
    </row>
    <row r="547" spans="1:131" s="822" customFormat="1" ht="12">
      <c r="A547" s="3618"/>
      <c r="B547" s="451" t="s">
        <v>10</v>
      </c>
      <c r="C547" s="1499"/>
      <c r="D547" s="2531">
        <f>+D548</f>
        <v>8500760</v>
      </c>
      <c r="E547" s="1500">
        <f t="shared" ref="E547:I548" si="360">+E548</f>
        <v>3000367</v>
      </c>
      <c r="F547" s="1500">
        <f t="shared" si="360"/>
        <v>97933</v>
      </c>
      <c r="G547" s="1500">
        <f t="shared" si="360"/>
        <v>809968</v>
      </c>
      <c r="H547" s="1500">
        <f t="shared" si="360"/>
        <v>2392492</v>
      </c>
      <c r="I547" s="1500">
        <f t="shared" si="360"/>
        <v>2200000</v>
      </c>
      <c r="J547" s="1505">
        <v>0</v>
      </c>
      <c r="K547" s="1505">
        <v>0</v>
      </c>
      <c r="L547" s="1505">
        <v>0</v>
      </c>
      <c r="M547" s="1413">
        <f>+M548</f>
        <v>5500393</v>
      </c>
      <c r="N547" s="1413">
        <f>+N548</f>
        <v>5402460</v>
      </c>
      <c r="O547" s="3621"/>
      <c r="P547" s="812"/>
    </row>
    <row r="548" spans="1:131" s="822" customFormat="1" ht="14.25" customHeight="1">
      <c r="A548" s="3618"/>
      <c r="B548" s="587" t="s">
        <v>24</v>
      </c>
      <c r="C548" s="3655" t="s">
        <v>84</v>
      </c>
      <c r="D548" s="107">
        <f>+D549</f>
        <v>8500760</v>
      </c>
      <c r="E548" s="1501">
        <f t="shared" si="360"/>
        <v>3000367</v>
      </c>
      <c r="F548" s="1501">
        <f t="shared" si="360"/>
        <v>97933</v>
      </c>
      <c r="G548" s="1501">
        <f t="shared" si="360"/>
        <v>809968</v>
      </c>
      <c r="H548" s="1501">
        <f t="shared" si="360"/>
        <v>2392492</v>
      </c>
      <c r="I548" s="1501">
        <f t="shared" si="360"/>
        <v>2200000</v>
      </c>
      <c r="J548" s="1503">
        <v>0</v>
      </c>
      <c r="K548" s="1503">
        <v>0</v>
      </c>
      <c r="L548" s="1503">
        <v>0</v>
      </c>
      <c r="M548" s="1480">
        <f>+M549</f>
        <v>5500393</v>
      </c>
      <c r="N548" s="1480">
        <f>+N549</f>
        <v>5402460</v>
      </c>
      <c r="O548" s="3621"/>
    </row>
    <row r="549" spans="1:131" s="822" customFormat="1" thickBot="1">
      <c r="A549" s="3619"/>
      <c r="B549" s="867" t="s">
        <v>12</v>
      </c>
      <c r="C549" s="3657"/>
      <c r="D549" s="833">
        <f>E549+F549+G549+H549+I549+J549+K549+L549</f>
        <v>8500760</v>
      </c>
      <c r="E549" s="833">
        <f>3130167-129800</f>
        <v>3000367</v>
      </c>
      <c r="F549" s="448">
        <f>1925000+100000-1300000+50351+160000+51342-67533-683227-138000</f>
        <v>97933</v>
      </c>
      <c r="G549" s="448">
        <f>1971200-850000-500000+67533+121235</f>
        <v>809968</v>
      </c>
      <c r="H549" s="448">
        <f>2020500+371992</f>
        <v>2392492</v>
      </c>
      <c r="I549" s="448">
        <f>2070000+130000</f>
        <v>2200000</v>
      </c>
      <c r="J549" s="873">
        <v>0</v>
      </c>
      <c r="K549" s="873">
        <v>0</v>
      </c>
      <c r="L549" s="873">
        <v>0</v>
      </c>
      <c r="M549" s="862">
        <f>SUM(F549:K549)</f>
        <v>5500393</v>
      </c>
      <c r="N549" s="862">
        <f>SUM(G549:L549)</f>
        <v>5402460</v>
      </c>
      <c r="O549" s="3622"/>
      <c r="P549" s="824"/>
    </row>
    <row r="550" spans="1:131" s="813" customFormat="1" ht="23.25" customHeight="1">
      <c r="A550" s="3658" t="s">
        <v>65</v>
      </c>
      <c r="B550" s="1177" t="s">
        <v>184</v>
      </c>
      <c r="C550" s="56" t="s">
        <v>81</v>
      </c>
      <c r="D550" s="3163"/>
      <c r="E550" s="3164"/>
      <c r="F550" s="3164"/>
      <c r="G550" s="3164"/>
      <c r="H550" s="3164"/>
      <c r="I550" s="3164"/>
      <c r="J550" s="3164"/>
      <c r="K550" s="3164"/>
      <c r="L550" s="3165"/>
      <c r="M550" s="43"/>
      <c r="N550" s="43"/>
      <c r="O550" s="3661" t="s">
        <v>193</v>
      </c>
    </row>
    <row r="551" spans="1:131" s="813" customFormat="1" ht="12">
      <c r="A551" s="3659"/>
      <c r="B551" s="78" t="s">
        <v>10</v>
      </c>
      <c r="C551" s="22"/>
      <c r="D551" s="126">
        <f>+D552</f>
        <v>45601289</v>
      </c>
      <c r="E551" s="102">
        <f t="shared" ref="E551:N552" si="361">+E552</f>
        <v>31401289</v>
      </c>
      <c r="F551" s="102">
        <f t="shared" si="361"/>
        <v>5000000</v>
      </c>
      <c r="G551" s="102">
        <f t="shared" si="361"/>
        <v>5000000</v>
      </c>
      <c r="H551" s="102">
        <f t="shared" si="361"/>
        <v>2700000</v>
      </c>
      <c r="I551" s="102">
        <f t="shared" si="361"/>
        <v>1500000</v>
      </c>
      <c r="J551" s="102"/>
      <c r="K551" s="102"/>
      <c r="L551" s="102"/>
      <c r="M551" s="30">
        <f t="shared" si="361"/>
        <v>14200000</v>
      </c>
      <c r="N551" s="30">
        <f t="shared" si="361"/>
        <v>9200000</v>
      </c>
      <c r="O551" s="3662"/>
      <c r="P551" s="812"/>
    </row>
    <row r="552" spans="1:131" s="813" customFormat="1" ht="12">
      <c r="A552" s="3659"/>
      <c r="B552" s="222" t="s">
        <v>24</v>
      </c>
      <c r="C552" s="3648" t="s">
        <v>111</v>
      </c>
      <c r="D552" s="107">
        <f>+D553</f>
        <v>45601289</v>
      </c>
      <c r="E552" s="104">
        <f t="shared" si="361"/>
        <v>31401289</v>
      </c>
      <c r="F552" s="104">
        <f t="shared" si="361"/>
        <v>5000000</v>
      </c>
      <c r="G552" s="104">
        <f t="shared" si="361"/>
        <v>5000000</v>
      </c>
      <c r="H552" s="104">
        <f t="shared" si="361"/>
        <v>2700000</v>
      </c>
      <c r="I552" s="104">
        <f t="shared" si="361"/>
        <v>1500000</v>
      </c>
      <c r="J552" s="1178"/>
      <c r="K552" s="1178"/>
      <c r="L552" s="1178"/>
      <c r="M552" s="106">
        <f>+M553</f>
        <v>14200000</v>
      </c>
      <c r="N552" s="106">
        <f>+N553</f>
        <v>9200000</v>
      </c>
      <c r="O552" s="3662"/>
    </row>
    <row r="553" spans="1:131" s="813" customFormat="1" thickBot="1">
      <c r="A553" s="3660"/>
      <c r="B553" s="288" t="s">
        <v>12</v>
      </c>
      <c r="C553" s="3647"/>
      <c r="D553" s="239">
        <f>E553+F553+G553+H553+I553+J553+K553+L553</f>
        <v>45601289</v>
      </c>
      <c r="E553" s="275">
        <v>31401289</v>
      </c>
      <c r="F553" s="1179">
        <v>5000000</v>
      </c>
      <c r="G553" s="1179">
        <v>5000000</v>
      </c>
      <c r="H553" s="1179">
        <v>2700000</v>
      </c>
      <c r="I553" s="1179">
        <v>1500000</v>
      </c>
      <c r="J553" s="1180"/>
      <c r="K553" s="1180"/>
      <c r="L553" s="1180"/>
      <c r="M553" s="862">
        <f>SUM(F553:K553)</f>
        <v>14200000</v>
      </c>
      <c r="N553" s="862">
        <f>SUM(G553:L553)</f>
        <v>9200000</v>
      </c>
      <c r="O553" s="3663"/>
      <c r="P553" s="812"/>
    </row>
    <row r="554" spans="1:131" s="813" customFormat="1" ht="14.25" hidden="1" customHeight="1">
      <c r="A554" s="3617"/>
      <c r="B554" s="273"/>
      <c r="C554" s="56" t="s">
        <v>81</v>
      </c>
      <c r="D554" s="124"/>
      <c r="E554" s="42"/>
      <c r="F554" s="403"/>
      <c r="G554" s="403"/>
      <c r="H554" s="403"/>
      <c r="I554" s="403"/>
      <c r="J554" s="42"/>
      <c r="K554" s="42"/>
      <c r="L554" s="42"/>
      <c r="M554" s="43"/>
      <c r="N554" s="43"/>
      <c r="O554" s="3620" t="s">
        <v>86</v>
      </c>
    </row>
    <row r="555" spans="1:131" s="813" customFormat="1" ht="13.5" hidden="1" customHeight="1">
      <c r="A555" s="3618"/>
      <c r="B555" s="21" t="s">
        <v>10</v>
      </c>
      <c r="C555" s="22"/>
      <c r="D555" s="122">
        <f>+D556</f>
        <v>0</v>
      </c>
      <c r="E555" s="122">
        <v>0</v>
      </c>
      <c r="F555" s="281">
        <v>0</v>
      </c>
      <c r="G555" s="281">
        <v>0</v>
      </c>
      <c r="H555" s="281">
        <v>0</v>
      </c>
      <c r="I555" s="281">
        <v>0</v>
      </c>
      <c r="J555" s="281">
        <v>0</v>
      </c>
      <c r="K555" s="281">
        <v>0</v>
      </c>
      <c r="L555" s="281">
        <v>0</v>
      </c>
      <c r="M555" s="63">
        <f>+M556</f>
        <v>0</v>
      </c>
      <c r="N555" s="63">
        <f>+N556</f>
        <v>0</v>
      </c>
      <c r="O555" s="3621"/>
      <c r="P555" s="812" t="e">
        <f>+#REF!+#REF!+F555+G555</f>
        <v>#REF!</v>
      </c>
    </row>
    <row r="556" spans="1:131" s="813" customFormat="1" ht="12.75" hidden="1" customHeight="1">
      <c r="A556" s="3618"/>
      <c r="B556" s="167" t="s">
        <v>24</v>
      </c>
      <c r="C556" s="3648" t="s">
        <v>84</v>
      </c>
      <c r="D556" s="123">
        <f>+D557+D558</f>
        <v>0</v>
      </c>
      <c r="E556" s="123">
        <v>0</v>
      </c>
      <c r="F556" s="282">
        <v>0</v>
      </c>
      <c r="G556" s="282">
        <v>0</v>
      </c>
      <c r="H556" s="282">
        <v>0</v>
      </c>
      <c r="I556" s="282">
        <v>0</v>
      </c>
      <c r="J556" s="282">
        <v>0</v>
      </c>
      <c r="K556" s="282">
        <v>0</v>
      </c>
      <c r="L556" s="282">
        <v>0</v>
      </c>
      <c r="M556" s="77">
        <f>+M557+M558</f>
        <v>0</v>
      </c>
      <c r="N556" s="77">
        <f>+N557+N558</f>
        <v>0</v>
      </c>
      <c r="O556" s="3621"/>
      <c r="P556" s="813" t="s">
        <v>209</v>
      </c>
    </row>
    <row r="557" spans="1:131" s="813" customFormat="1" hidden="1" thickBot="1">
      <c r="A557" s="3618"/>
      <c r="B557" s="419" t="s">
        <v>12</v>
      </c>
      <c r="C557" s="3649"/>
      <c r="D557" s="239">
        <f>E557+F557+G557+H557+I557+J557+K557+L557</f>
        <v>0</v>
      </c>
      <c r="E557" s="84">
        <v>0</v>
      </c>
      <c r="F557" s="283">
        <v>0</v>
      </c>
      <c r="G557" s="283">
        <v>0</v>
      </c>
      <c r="H557" s="283">
        <v>0</v>
      </c>
      <c r="I557" s="283">
        <v>0</v>
      </c>
      <c r="J557" s="283">
        <v>0</v>
      </c>
      <c r="K557" s="283">
        <v>0</v>
      </c>
      <c r="L557" s="283">
        <v>0</v>
      </c>
      <c r="M557" s="34">
        <f>SUM(E557:H557)</f>
        <v>0</v>
      </c>
      <c r="N557" s="34">
        <f>SUM(F557:I557)</f>
        <v>0</v>
      </c>
      <c r="O557" s="3621"/>
    </row>
    <row r="558" spans="1:131" s="813" customFormat="1" hidden="1" thickBot="1">
      <c r="A558" s="3618"/>
      <c r="B558" s="420" t="s">
        <v>15</v>
      </c>
      <c r="C558" s="3650"/>
      <c r="D558" s="239">
        <f>E558+F558+G558+H558+I558+J558+K558+L558</f>
        <v>0</v>
      </c>
      <c r="E558" s="84">
        <v>0</v>
      </c>
      <c r="F558" s="283">
        <v>0</v>
      </c>
      <c r="G558" s="283">
        <v>0</v>
      </c>
      <c r="H558" s="283">
        <v>0</v>
      </c>
      <c r="I558" s="283">
        <v>0</v>
      </c>
      <c r="J558" s="283">
        <v>0</v>
      </c>
      <c r="K558" s="283">
        <v>0</v>
      </c>
      <c r="L558" s="283">
        <v>0</v>
      </c>
      <c r="M558" s="34">
        <f>SUM(E558:H558)</f>
        <v>0</v>
      </c>
      <c r="N558" s="34">
        <f>SUM(F558:I558)</f>
        <v>0</v>
      </c>
      <c r="O558" s="3050"/>
    </row>
    <row r="559" spans="1:131" s="813" customFormat="1" ht="10.5" hidden="1" customHeight="1">
      <c r="A559" s="3618"/>
      <c r="B559" s="21" t="s">
        <v>22</v>
      </c>
      <c r="C559" s="22"/>
      <c r="D559" s="122">
        <f>+D560</f>
        <v>0</v>
      </c>
      <c r="E559" s="122">
        <v>0</v>
      </c>
      <c r="F559" s="281">
        <v>0</v>
      </c>
      <c r="G559" s="281">
        <v>0</v>
      </c>
      <c r="H559" s="281">
        <v>0</v>
      </c>
      <c r="I559" s="281">
        <v>0</v>
      </c>
      <c r="J559" s="281">
        <v>0</v>
      </c>
      <c r="K559" s="281">
        <v>0</v>
      </c>
      <c r="L559" s="281">
        <v>0</v>
      </c>
      <c r="M559" s="3640" t="s">
        <v>23</v>
      </c>
      <c r="N559" s="3640" t="s">
        <v>23</v>
      </c>
      <c r="O559" s="3637" t="s">
        <v>102</v>
      </c>
    </row>
    <row r="560" spans="1:131" s="813" customFormat="1" ht="12.75" hidden="1" customHeight="1">
      <c r="A560" s="3618"/>
      <c r="B560" s="167" t="s">
        <v>24</v>
      </c>
      <c r="C560" s="3623" t="s">
        <v>84</v>
      </c>
      <c r="D560" s="123">
        <f>+D561</f>
        <v>0</v>
      </c>
      <c r="E560" s="123">
        <v>0</v>
      </c>
      <c r="F560" s="282">
        <v>0</v>
      </c>
      <c r="G560" s="282">
        <v>0</v>
      </c>
      <c r="H560" s="282">
        <v>0</v>
      </c>
      <c r="I560" s="282">
        <v>0</v>
      </c>
      <c r="J560" s="282">
        <v>0</v>
      </c>
      <c r="K560" s="282">
        <v>0</v>
      </c>
      <c r="L560" s="282">
        <v>0</v>
      </c>
      <c r="M560" s="3641"/>
      <c r="N560" s="3641"/>
      <c r="O560" s="3621"/>
    </row>
    <row r="561" spans="1:16" s="813" customFormat="1" ht="13.5" hidden="1" customHeight="1" thickBot="1">
      <c r="A561" s="3619"/>
      <c r="B561" s="418" t="s">
        <v>15</v>
      </c>
      <c r="C561" s="3624"/>
      <c r="D561" s="239">
        <f>E561+F561+G561+H561+I561+J561+K561+L561</f>
        <v>0</v>
      </c>
      <c r="E561" s="75">
        <v>0</v>
      </c>
      <c r="F561" s="283">
        <v>0</v>
      </c>
      <c r="G561" s="283">
        <v>0</v>
      </c>
      <c r="H561" s="283">
        <v>0</v>
      </c>
      <c r="I561" s="283">
        <v>0</v>
      </c>
      <c r="J561" s="283">
        <v>0</v>
      </c>
      <c r="K561" s="283">
        <v>0</v>
      </c>
      <c r="L561" s="283">
        <v>0</v>
      </c>
      <c r="M561" s="3642"/>
      <c r="N561" s="3642"/>
      <c r="O561" s="3622"/>
    </row>
    <row r="562" spans="1:16" s="813" customFormat="1" ht="23.25" customHeight="1">
      <c r="A562" s="3617" t="s">
        <v>66</v>
      </c>
      <c r="B562" s="273" t="s">
        <v>417</v>
      </c>
      <c r="C562" s="56" t="s">
        <v>81</v>
      </c>
      <c r="D562" s="403"/>
      <c r="E562" s="3161"/>
      <c r="F562" s="3161"/>
      <c r="G562" s="3161"/>
      <c r="H562" s="3161"/>
      <c r="I562" s="3161"/>
      <c r="J562" s="3161"/>
      <c r="K562" s="3161"/>
      <c r="L562" s="41"/>
      <c r="M562" s="43"/>
      <c r="N562" s="43"/>
      <c r="O562" s="3620" t="s">
        <v>86</v>
      </c>
    </row>
    <row r="563" spans="1:16" s="813" customFormat="1" ht="12">
      <c r="A563" s="3618"/>
      <c r="B563" s="2440" t="s">
        <v>10</v>
      </c>
      <c r="C563" s="1475"/>
      <c r="D563" s="2036">
        <f>+D564</f>
        <v>1824799</v>
      </c>
      <c r="E563" s="2036">
        <f t="shared" ref="E563:G564" si="362">+E564</f>
        <v>503620</v>
      </c>
      <c r="F563" s="2037">
        <f t="shared" si="362"/>
        <v>0</v>
      </c>
      <c r="G563" s="2036">
        <f t="shared" si="362"/>
        <v>1321179</v>
      </c>
      <c r="H563" s="2037">
        <v>0</v>
      </c>
      <c r="I563" s="2037">
        <v>0</v>
      </c>
      <c r="J563" s="2037">
        <v>0</v>
      </c>
      <c r="K563" s="2037">
        <v>0</v>
      </c>
      <c r="L563" s="2037">
        <v>0</v>
      </c>
      <c r="M563" s="2038">
        <f>+M564</f>
        <v>1321179</v>
      </c>
      <c r="N563" s="2038">
        <f>+N564</f>
        <v>1321179</v>
      </c>
      <c r="O563" s="3621"/>
      <c r="P563" s="812"/>
    </row>
    <row r="564" spans="1:16" s="813" customFormat="1" ht="12.75" customHeight="1">
      <c r="A564" s="3618"/>
      <c r="B564" s="2478" t="s">
        <v>24</v>
      </c>
      <c r="C564" s="3646" t="s">
        <v>84</v>
      </c>
      <c r="D564" s="2039">
        <f>+D565</f>
        <v>1824799</v>
      </c>
      <c r="E564" s="2039">
        <f t="shared" si="362"/>
        <v>503620</v>
      </c>
      <c r="F564" s="2040">
        <f t="shared" si="362"/>
        <v>0</v>
      </c>
      <c r="G564" s="2039">
        <f t="shared" si="362"/>
        <v>1321179</v>
      </c>
      <c r="H564" s="2040">
        <v>0</v>
      </c>
      <c r="I564" s="2040">
        <v>0</v>
      </c>
      <c r="J564" s="2040">
        <v>0</v>
      </c>
      <c r="K564" s="2040">
        <v>0</v>
      </c>
      <c r="L564" s="2040">
        <v>0</v>
      </c>
      <c r="M564" s="563">
        <f>+M565</f>
        <v>1321179</v>
      </c>
      <c r="N564" s="563">
        <f>+N565</f>
        <v>1321179</v>
      </c>
      <c r="O564" s="3621"/>
    </row>
    <row r="565" spans="1:16" s="813" customFormat="1" ht="12">
      <c r="A565" s="3618"/>
      <c r="B565" s="3524" t="s">
        <v>12</v>
      </c>
      <c r="C565" s="3702"/>
      <c r="D565" s="839">
        <f>E565+F565+G565+H565+I565+J565+K565+L565</f>
        <v>1824799</v>
      </c>
      <c r="E565" s="854">
        <f>503620</f>
        <v>503620</v>
      </c>
      <c r="F565" s="2041">
        <f>1239686+35000-1274686</f>
        <v>0</v>
      </c>
      <c r="G565" s="3525">
        <f>1274686+46493</f>
        <v>1321179</v>
      </c>
      <c r="H565" s="1536">
        <v>0</v>
      </c>
      <c r="I565" s="1536">
        <v>0</v>
      </c>
      <c r="J565" s="1536">
        <v>0</v>
      </c>
      <c r="K565" s="1536">
        <v>0</v>
      </c>
      <c r="L565" s="1536">
        <v>0</v>
      </c>
      <c r="M565" s="862">
        <f>SUM(F565:K565)</f>
        <v>1321179</v>
      </c>
      <c r="N565" s="862">
        <f>SUM(G565:L565)</f>
        <v>1321179</v>
      </c>
      <c r="O565" s="3638"/>
    </row>
    <row r="566" spans="1:16" s="813" customFormat="1" ht="12" customHeight="1">
      <c r="A566" s="3618"/>
      <c r="B566" s="80" t="s">
        <v>22</v>
      </c>
      <c r="C566" s="1475"/>
      <c r="D566" s="2036">
        <f>+D567</f>
        <v>81493</v>
      </c>
      <c r="E566" s="2037">
        <v>0</v>
      </c>
      <c r="F566" s="2036">
        <f t="shared" ref="F566:L567" si="363">+F567</f>
        <v>35000</v>
      </c>
      <c r="G566" s="2036">
        <f t="shared" si="363"/>
        <v>46493</v>
      </c>
      <c r="H566" s="2037">
        <f t="shared" si="363"/>
        <v>0</v>
      </c>
      <c r="I566" s="2037">
        <f t="shared" si="363"/>
        <v>0</v>
      </c>
      <c r="J566" s="2037">
        <f t="shared" si="363"/>
        <v>0</v>
      </c>
      <c r="K566" s="2037">
        <f t="shared" si="363"/>
        <v>0</v>
      </c>
      <c r="L566" s="2037">
        <f t="shared" si="363"/>
        <v>0</v>
      </c>
      <c r="M566" s="3643" t="s">
        <v>23</v>
      </c>
      <c r="N566" s="3643" t="s">
        <v>23</v>
      </c>
      <c r="O566" s="3045"/>
    </row>
    <row r="567" spans="1:16" s="813" customFormat="1" ht="12.75" customHeight="1">
      <c r="A567" s="3618"/>
      <c r="B567" s="2478" t="s">
        <v>24</v>
      </c>
      <c r="C567" s="3646" t="s">
        <v>84</v>
      </c>
      <c r="D567" s="2039">
        <f>+D568</f>
        <v>81493</v>
      </c>
      <c r="E567" s="2040">
        <v>0</v>
      </c>
      <c r="F567" s="2039">
        <f t="shared" si="363"/>
        <v>35000</v>
      </c>
      <c r="G567" s="2039">
        <f t="shared" si="363"/>
        <v>46493</v>
      </c>
      <c r="H567" s="2040">
        <f t="shared" si="363"/>
        <v>0</v>
      </c>
      <c r="I567" s="2040">
        <f t="shared" si="363"/>
        <v>0</v>
      </c>
      <c r="J567" s="2040">
        <f t="shared" si="363"/>
        <v>0</v>
      </c>
      <c r="K567" s="2040">
        <f t="shared" si="363"/>
        <v>0</v>
      </c>
      <c r="L567" s="2040">
        <f t="shared" si="363"/>
        <v>0</v>
      </c>
      <c r="M567" s="3644"/>
      <c r="N567" s="3644"/>
      <c r="O567" s="3045" t="s">
        <v>102</v>
      </c>
    </row>
    <row r="568" spans="1:16" s="813" customFormat="1" ht="13.5" customHeight="1" thickBot="1">
      <c r="A568" s="3619"/>
      <c r="B568" s="421" t="s">
        <v>12</v>
      </c>
      <c r="C568" s="3647"/>
      <c r="D568" s="2283">
        <f>E568+F568+G568+H568+I568+J568+K568+L568</f>
        <v>81493</v>
      </c>
      <c r="E568" s="2814">
        <v>0</v>
      </c>
      <c r="F568" s="3526">
        <f>35000</f>
        <v>35000</v>
      </c>
      <c r="G568" s="3526">
        <v>46493</v>
      </c>
      <c r="H568" s="2481">
        <v>0</v>
      </c>
      <c r="I568" s="2481">
        <v>0</v>
      </c>
      <c r="J568" s="2481">
        <v>0</v>
      </c>
      <c r="K568" s="2481">
        <v>0</v>
      </c>
      <c r="L568" s="2481">
        <v>0</v>
      </c>
      <c r="M568" s="3645"/>
      <c r="N568" s="3645"/>
      <c r="O568" s="3047"/>
    </row>
    <row r="569" spans="1:16" s="813" customFormat="1" ht="22.5" hidden="1" customHeight="1">
      <c r="A569" s="3617"/>
      <c r="B569" s="273"/>
      <c r="C569" s="56" t="s">
        <v>81</v>
      </c>
      <c r="D569" s="124"/>
      <c r="E569" s="42"/>
      <c r="F569" s="42"/>
      <c r="G569" s="42"/>
      <c r="H569" s="230"/>
      <c r="I569" s="95"/>
      <c r="J569" s="230"/>
      <c r="K569" s="230"/>
      <c r="L569" s="230"/>
      <c r="M569" s="43"/>
      <c r="N569" s="43"/>
      <c r="O569" s="3620" t="s">
        <v>86</v>
      </c>
    </row>
    <row r="570" spans="1:16" s="813" customFormat="1" ht="12.75" hidden="1" customHeight="1">
      <c r="A570" s="3618"/>
      <c r="B570" s="2440" t="s">
        <v>10</v>
      </c>
      <c r="C570" s="1475"/>
      <c r="D570" s="2036">
        <f>+D571</f>
        <v>0</v>
      </c>
      <c r="E570" s="2036">
        <v>0</v>
      </c>
      <c r="F570" s="2037">
        <v>0</v>
      </c>
      <c r="G570" s="2037">
        <v>0</v>
      </c>
      <c r="H570" s="2037">
        <v>0</v>
      </c>
      <c r="I570" s="2037">
        <v>0</v>
      </c>
      <c r="J570" s="2037">
        <v>0</v>
      </c>
      <c r="K570" s="2037">
        <v>0</v>
      </c>
      <c r="L570" s="2037">
        <v>0</v>
      </c>
      <c r="M570" s="562">
        <f>+M571</f>
        <v>0</v>
      </c>
      <c r="N570" s="562">
        <f>+N571</f>
        <v>0</v>
      </c>
      <c r="O570" s="3621"/>
      <c r="P570" s="812" t="e">
        <f>+#REF!+#REF!+F570+G570</f>
        <v>#REF!</v>
      </c>
    </row>
    <row r="571" spans="1:16" s="813" customFormat="1" ht="12.75" hidden="1" customHeight="1">
      <c r="A571" s="3618"/>
      <c r="B571" s="2478" t="s">
        <v>24</v>
      </c>
      <c r="C571" s="3646" t="s">
        <v>84</v>
      </c>
      <c r="D571" s="2039">
        <f>+D572+D573</f>
        <v>0</v>
      </c>
      <c r="E571" s="2039">
        <v>0</v>
      </c>
      <c r="F571" s="2040">
        <v>0</v>
      </c>
      <c r="G571" s="2040">
        <v>0</v>
      </c>
      <c r="H571" s="2040">
        <v>0</v>
      </c>
      <c r="I571" s="2040">
        <v>0</v>
      </c>
      <c r="J571" s="2040">
        <v>0</v>
      </c>
      <c r="K571" s="2040">
        <v>0</v>
      </c>
      <c r="L571" s="2040">
        <v>0</v>
      </c>
      <c r="M571" s="563">
        <f>+M572</f>
        <v>0</v>
      </c>
      <c r="N571" s="563">
        <f>+N572</f>
        <v>0</v>
      </c>
      <c r="O571" s="3621"/>
    </row>
    <row r="572" spans="1:16" s="813" customFormat="1" ht="12.75" hidden="1" customHeight="1">
      <c r="A572" s="3618"/>
      <c r="B572" s="2482" t="s">
        <v>12</v>
      </c>
      <c r="C572" s="3649"/>
      <c r="D572" s="839">
        <f>E572+F572+G572+H572+I572+J572+K572+L572</f>
        <v>0</v>
      </c>
      <c r="E572" s="854">
        <v>0</v>
      </c>
      <c r="F572" s="1536">
        <v>0</v>
      </c>
      <c r="G572" s="1536">
        <v>0</v>
      </c>
      <c r="H572" s="1536">
        <v>0</v>
      </c>
      <c r="I572" s="1536">
        <v>0</v>
      </c>
      <c r="J572" s="1536">
        <v>0</v>
      </c>
      <c r="K572" s="1536">
        <v>0</v>
      </c>
      <c r="L572" s="1536">
        <v>0</v>
      </c>
      <c r="M572" s="862">
        <f>SUM(E572:H572)</f>
        <v>0</v>
      </c>
      <c r="N572" s="862">
        <f>SUM(F572:I572)</f>
        <v>0</v>
      </c>
      <c r="O572" s="3621"/>
    </row>
    <row r="573" spans="1:16" s="813" customFormat="1" ht="12.75" hidden="1" customHeight="1">
      <c r="A573" s="3618"/>
      <c r="B573" s="420" t="s">
        <v>15</v>
      </c>
      <c r="C573" s="3650"/>
      <c r="D573" s="839">
        <f>E573+F573+G573+H573+I573+J573+K573+L573</f>
        <v>0</v>
      </c>
      <c r="E573" s="854">
        <v>0</v>
      </c>
      <c r="F573" s="1536">
        <v>0</v>
      </c>
      <c r="G573" s="1536">
        <v>0</v>
      </c>
      <c r="H573" s="1536">
        <v>0</v>
      </c>
      <c r="I573" s="1536">
        <v>0</v>
      </c>
      <c r="J573" s="1536">
        <v>0</v>
      </c>
      <c r="K573" s="1536">
        <v>0</v>
      </c>
      <c r="L573" s="1536">
        <v>0</v>
      </c>
      <c r="M573" s="862">
        <f>SUM(E573:H573)</f>
        <v>0</v>
      </c>
      <c r="N573" s="862">
        <f>SUM(F573:I573)</f>
        <v>0</v>
      </c>
      <c r="O573" s="3050"/>
    </row>
    <row r="574" spans="1:16" s="813" customFormat="1" ht="12.75" hidden="1" customHeight="1">
      <c r="A574" s="3618"/>
      <c r="B574" s="2440" t="s">
        <v>22</v>
      </c>
      <c r="C574" s="1475"/>
      <c r="D574" s="2036">
        <f>+D575</f>
        <v>0</v>
      </c>
      <c r="E574" s="2036">
        <v>0</v>
      </c>
      <c r="F574" s="2037">
        <v>0</v>
      </c>
      <c r="G574" s="2037">
        <v>0</v>
      </c>
      <c r="H574" s="2037">
        <v>0</v>
      </c>
      <c r="I574" s="2037">
        <v>0</v>
      </c>
      <c r="J574" s="2037">
        <v>0</v>
      </c>
      <c r="K574" s="2037">
        <v>0</v>
      </c>
      <c r="L574" s="2037">
        <v>0</v>
      </c>
      <c r="M574" s="3643" t="s">
        <v>23</v>
      </c>
      <c r="N574" s="3643" t="s">
        <v>23</v>
      </c>
      <c r="O574" s="3829" t="s">
        <v>102</v>
      </c>
    </row>
    <row r="575" spans="1:16" s="813" customFormat="1" ht="12.75" hidden="1" customHeight="1">
      <c r="A575" s="3618"/>
      <c r="B575" s="2478" t="s">
        <v>24</v>
      </c>
      <c r="C575" s="3639" t="s">
        <v>84</v>
      </c>
      <c r="D575" s="2039">
        <f>+D576</f>
        <v>0</v>
      </c>
      <c r="E575" s="2039">
        <v>0</v>
      </c>
      <c r="F575" s="2040">
        <v>0</v>
      </c>
      <c r="G575" s="2040">
        <v>0</v>
      </c>
      <c r="H575" s="2040">
        <v>0</v>
      </c>
      <c r="I575" s="2040">
        <v>0</v>
      </c>
      <c r="J575" s="2040">
        <v>0</v>
      </c>
      <c r="K575" s="2040">
        <v>0</v>
      </c>
      <c r="L575" s="2040">
        <v>0</v>
      </c>
      <c r="M575" s="3644"/>
      <c r="N575" s="3644"/>
      <c r="O575" s="3621"/>
    </row>
    <row r="576" spans="1:16" s="813" customFormat="1" ht="13.5" hidden="1" customHeight="1" thickBot="1">
      <c r="A576" s="3619"/>
      <c r="B576" s="418" t="s">
        <v>15</v>
      </c>
      <c r="C576" s="3624"/>
      <c r="D576" s="839">
        <f>E576+F576+G576+H576+I576+J576+K576+L576</f>
        <v>0</v>
      </c>
      <c r="E576" s="854"/>
      <c r="F576" s="1536">
        <v>0</v>
      </c>
      <c r="G576" s="1536">
        <v>0</v>
      </c>
      <c r="H576" s="1536">
        <v>0</v>
      </c>
      <c r="I576" s="1536">
        <v>0</v>
      </c>
      <c r="J576" s="1536">
        <v>0</v>
      </c>
      <c r="K576" s="1536">
        <v>0</v>
      </c>
      <c r="L576" s="1536">
        <v>0</v>
      </c>
      <c r="M576" s="3645"/>
      <c r="N576" s="3645"/>
      <c r="O576" s="3622"/>
    </row>
    <row r="577" spans="1:16" s="813" customFormat="1" ht="26.25" hidden="1" customHeight="1">
      <c r="A577" s="3617"/>
      <c r="B577" s="273"/>
      <c r="C577" s="56"/>
      <c r="D577" s="124"/>
      <c r="E577" s="42"/>
      <c r="F577" s="42"/>
      <c r="G577" s="42"/>
      <c r="H577" s="42"/>
      <c r="I577" s="96"/>
      <c r="J577" s="230"/>
      <c r="K577" s="230"/>
      <c r="L577" s="230"/>
      <c r="M577" s="230"/>
      <c r="N577" s="230"/>
      <c r="O577" s="3620" t="s">
        <v>86</v>
      </c>
    </row>
    <row r="578" spans="1:16" s="813" customFormat="1" ht="12" hidden="1">
      <c r="A578" s="3618"/>
      <c r="B578" s="2440" t="s">
        <v>10</v>
      </c>
      <c r="C578" s="1475"/>
      <c r="D578" s="2036"/>
      <c r="E578" s="2037"/>
      <c r="F578" s="2037"/>
      <c r="G578" s="2037"/>
      <c r="H578" s="2037"/>
      <c r="I578" s="2037"/>
      <c r="J578" s="2037"/>
      <c r="K578" s="2037"/>
      <c r="L578" s="2037"/>
      <c r="M578" s="2483">
        <f>+M579</f>
        <v>0</v>
      </c>
      <c r="N578" s="2483">
        <f>+N579</f>
        <v>0</v>
      </c>
      <c r="O578" s="3621"/>
    </row>
    <row r="579" spans="1:16" s="813" customFormat="1" ht="12" hidden="1">
      <c r="A579" s="3618"/>
      <c r="B579" s="2478" t="s">
        <v>24</v>
      </c>
      <c r="C579" s="3639" t="s">
        <v>84</v>
      </c>
      <c r="D579" s="2039"/>
      <c r="E579" s="2040"/>
      <c r="F579" s="2040"/>
      <c r="G579" s="2040"/>
      <c r="H579" s="2040"/>
      <c r="I579" s="2040"/>
      <c r="J579" s="2040"/>
      <c r="K579" s="2040"/>
      <c r="L579" s="2040"/>
      <c r="M579" s="649">
        <f>+M580</f>
        <v>0</v>
      </c>
      <c r="N579" s="649">
        <f>+N580</f>
        <v>0</v>
      </c>
      <c r="O579" s="3621"/>
    </row>
    <row r="580" spans="1:16" s="813" customFormat="1" ht="12" hidden="1">
      <c r="A580" s="3618"/>
      <c r="B580" s="2484" t="s">
        <v>12</v>
      </c>
      <c r="C580" s="3709"/>
      <c r="D580" s="2051"/>
      <c r="E580" s="2051"/>
      <c r="F580" s="1536"/>
      <c r="G580" s="1536"/>
      <c r="H580" s="1536"/>
      <c r="I580" s="1536"/>
      <c r="J580" s="1536"/>
      <c r="K580" s="1536"/>
      <c r="L580" s="1536"/>
      <c r="M580" s="862">
        <f>SUM(E580:K580)</f>
        <v>0</v>
      </c>
      <c r="N580" s="862">
        <f>SUM(F580:L580)</f>
        <v>0</v>
      </c>
      <c r="O580" s="3621"/>
    </row>
    <row r="581" spans="1:16" s="813" customFormat="1" ht="12" hidden="1">
      <c r="A581" s="3618"/>
      <c r="B581" s="2440" t="s">
        <v>22</v>
      </c>
      <c r="C581" s="1475"/>
      <c r="D581" s="2036"/>
      <c r="E581" s="2037"/>
      <c r="F581" s="2037"/>
      <c r="G581" s="2037"/>
      <c r="H581" s="2037"/>
      <c r="I581" s="2037"/>
      <c r="J581" s="2037"/>
      <c r="K581" s="2037"/>
      <c r="L581" s="2037"/>
      <c r="M581" s="3643" t="s">
        <v>23</v>
      </c>
      <c r="N581" s="3643" t="s">
        <v>23</v>
      </c>
      <c r="O581" s="3829" t="s">
        <v>102</v>
      </c>
    </row>
    <row r="582" spans="1:16" s="813" customFormat="1" ht="12" hidden="1">
      <c r="A582" s="3618"/>
      <c r="B582" s="2478" t="s">
        <v>24</v>
      </c>
      <c r="C582" s="3639">
        <v>75802</v>
      </c>
      <c r="D582" s="2039"/>
      <c r="E582" s="2040"/>
      <c r="F582" s="2040"/>
      <c r="G582" s="2040"/>
      <c r="H582" s="2040"/>
      <c r="I582" s="2040"/>
      <c r="J582" s="2040"/>
      <c r="K582" s="2040"/>
      <c r="L582" s="2040"/>
      <c r="M582" s="3644"/>
      <c r="N582" s="3644"/>
      <c r="O582" s="3621"/>
    </row>
    <row r="583" spans="1:16" s="813" customFormat="1" hidden="1" thickBot="1">
      <c r="A583" s="3619"/>
      <c r="B583" s="418" t="s">
        <v>265</v>
      </c>
      <c r="C583" s="3624"/>
      <c r="D583" s="2051"/>
      <c r="E583" s="2051"/>
      <c r="F583" s="2481"/>
      <c r="G583" s="2481"/>
      <c r="H583" s="2481"/>
      <c r="I583" s="2481"/>
      <c r="J583" s="2481"/>
      <c r="K583" s="2481"/>
      <c r="L583" s="2481"/>
      <c r="M583" s="3645"/>
      <c r="N583" s="3645"/>
      <c r="O583" s="3622"/>
    </row>
    <row r="584" spans="1:16" s="813" customFormat="1" ht="15" customHeight="1">
      <c r="A584" s="3617" t="s">
        <v>67</v>
      </c>
      <c r="B584" s="273" t="s">
        <v>385</v>
      </c>
      <c r="C584" s="56" t="s">
        <v>109</v>
      </c>
      <c r="D584" s="3162"/>
      <c r="E584" s="3161"/>
      <c r="F584" s="3161"/>
      <c r="G584" s="3161"/>
      <c r="H584" s="3161"/>
      <c r="I584" s="3161"/>
      <c r="J584" s="3161"/>
      <c r="K584" s="3161"/>
      <c r="L584" s="41"/>
      <c r="M584" s="43"/>
      <c r="N584" s="43"/>
      <c r="O584" s="3620" t="s">
        <v>102</v>
      </c>
    </row>
    <row r="585" spans="1:16" s="813" customFormat="1" ht="12">
      <c r="A585" s="3618"/>
      <c r="B585" s="2440" t="s">
        <v>10</v>
      </c>
      <c r="C585" s="1475"/>
      <c r="D585" s="2036">
        <f>+D586</f>
        <v>23831912</v>
      </c>
      <c r="E585" s="2036">
        <f t="shared" ref="E585:J586" si="364">+E586</f>
        <v>6358217</v>
      </c>
      <c r="F585" s="2036">
        <f t="shared" si="364"/>
        <v>2573695</v>
      </c>
      <c r="G585" s="2036">
        <f t="shared" si="364"/>
        <v>3500000</v>
      </c>
      <c r="H585" s="2036">
        <f t="shared" si="364"/>
        <v>3800000</v>
      </c>
      <c r="I585" s="2036">
        <f t="shared" si="364"/>
        <v>3800000</v>
      </c>
      <c r="J585" s="2036">
        <f t="shared" si="364"/>
        <v>3800000</v>
      </c>
      <c r="K585" s="2037">
        <v>0</v>
      </c>
      <c r="L585" s="2037">
        <v>0</v>
      </c>
      <c r="M585" s="2483">
        <f>+M586</f>
        <v>17473695</v>
      </c>
      <c r="N585" s="2483">
        <f>+N586</f>
        <v>14900000</v>
      </c>
      <c r="O585" s="3621"/>
      <c r="P585" s="812"/>
    </row>
    <row r="586" spans="1:16" s="813" customFormat="1" ht="12">
      <c r="A586" s="3618"/>
      <c r="B586" s="2478" t="s">
        <v>24</v>
      </c>
      <c r="C586" s="3639" t="s">
        <v>98</v>
      </c>
      <c r="D586" s="2039">
        <f>+D587</f>
        <v>23831912</v>
      </c>
      <c r="E586" s="2039">
        <f t="shared" si="364"/>
        <v>6358217</v>
      </c>
      <c r="F586" s="2039">
        <f t="shared" si="364"/>
        <v>2573695</v>
      </c>
      <c r="G586" s="2039">
        <f t="shared" si="364"/>
        <v>3500000</v>
      </c>
      <c r="H586" s="2039">
        <f t="shared" si="364"/>
        <v>3800000</v>
      </c>
      <c r="I586" s="2039">
        <f t="shared" si="364"/>
        <v>3800000</v>
      </c>
      <c r="J586" s="2039">
        <f t="shared" si="364"/>
        <v>3800000</v>
      </c>
      <c r="K586" s="2040">
        <v>0</v>
      </c>
      <c r="L586" s="2040">
        <v>0</v>
      </c>
      <c r="M586" s="649">
        <f>+M587</f>
        <v>17473695</v>
      </c>
      <c r="N586" s="649">
        <f>+N587</f>
        <v>14900000</v>
      </c>
      <c r="O586" s="3621"/>
    </row>
    <row r="587" spans="1:16" s="813" customFormat="1" thickBot="1">
      <c r="A587" s="3619"/>
      <c r="B587" s="421" t="s">
        <v>12</v>
      </c>
      <c r="C587" s="3624"/>
      <c r="D587" s="2283">
        <f>E587+F587+G587+H587+I587+J587+K587+L587</f>
        <v>23831912</v>
      </c>
      <c r="E587" s="2283">
        <v>6358217</v>
      </c>
      <c r="F587" s="2485">
        <f>3000000+500000-913378-12927</f>
        <v>2573695</v>
      </c>
      <c r="G587" s="2485">
        <f>3000000+500000+100000-100000</f>
        <v>3500000</v>
      </c>
      <c r="H587" s="2485">
        <f>3000000+500000+300000</f>
        <v>3800000</v>
      </c>
      <c r="I587" s="2485">
        <f>3000000+500000+300000</f>
        <v>3800000</v>
      </c>
      <c r="J587" s="2485">
        <f>3000000+500000+300000</f>
        <v>3800000</v>
      </c>
      <c r="K587" s="2481">
        <v>0</v>
      </c>
      <c r="L587" s="2481">
        <v>0</v>
      </c>
      <c r="M587" s="2486">
        <f>SUM(F587:K587)</f>
        <v>17473695</v>
      </c>
      <c r="N587" s="2486">
        <f>SUM(G587:L587)</f>
        <v>14900000</v>
      </c>
      <c r="O587" s="3622"/>
    </row>
    <row r="588" spans="1:16" s="813" customFormat="1" ht="17.25" customHeight="1">
      <c r="A588" s="3617" t="s">
        <v>115</v>
      </c>
      <c r="B588" s="273" t="s">
        <v>183</v>
      </c>
      <c r="C588" s="56" t="s">
        <v>109</v>
      </c>
      <c r="D588" s="3162"/>
      <c r="E588" s="3161"/>
      <c r="F588" s="3161"/>
      <c r="G588" s="3161"/>
      <c r="H588" s="3161"/>
      <c r="I588" s="3161"/>
      <c r="J588" s="3160"/>
      <c r="K588" s="3160"/>
      <c r="L588" s="3168"/>
      <c r="M588" s="43"/>
      <c r="N588" s="43"/>
      <c r="O588" s="3620" t="s">
        <v>102</v>
      </c>
    </row>
    <row r="589" spans="1:16" s="813" customFormat="1" ht="12">
      <c r="A589" s="3618"/>
      <c r="B589" s="581" t="s">
        <v>10</v>
      </c>
      <c r="C589" s="1499"/>
      <c r="D589" s="1500">
        <f>+D590</f>
        <v>675767551</v>
      </c>
      <c r="E589" s="1500">
        <f t="shared" ref="E589:I589" si="365">+E590</f>
        <v>319820454</v>
      </c>
      <c r="F589" s="1500">
        <f t="shared" si="365"/>
        <v>83406189</v>
      </c>
      <c r="G589" s="1500">
        <f t="shared" si="365"/>
        <v>91040908</v>
      </c>
      <c r="H589" s="1500">
        <f t="shared" si="365"/>
        <v>91500000</v>
      </c>
      <c r="I589" s="1500">
        <f t="shared" si="365"/>
        <v>90000000</v>
      </c>
      <c r="J589" s="1505">
        <v>0</v>
      </c>
      <c r="K589" s="1505">
        <v>0</v>
      </c>
      <c r="L589" s="1505">
        <v>0</v>
      </c>
      <c r="M589" s="1539">
        <f>+M590</f>
        <v>355947097</v>
      </c>
      <c r="N589" s="1539">
        <f>+N590</f>
        <v>272540908</v>
      </c>
      <c r="O589" s="3621"/>
      <c r="P589" s="812"/>
    </row>
    <row r="590" spans="1:16" s="813" customFormat="1" ht="12">
      <c r="A590" s="3618"/>
      <c r="B590" s="555" t="s">
        <v>24</v>
      </c>
      <c r="C590" s="3639" t="s">
        <v>98</v>
      </c>
      <c r="D590" s="1501">
        <f>+D591+D592</f>
        <v>675767551</v>
      </c>
      <c r="E590" s="1501">
        <f t="shared" ref="E590" si="366">+E591+E592</f>
        <v>319820454</v>
      </c>
      <c r="F590" s="1501">
        <f t="shared" ref="F590:G590" si="367">+F591+F592</f>
        <v>83406189</v>
      </c>
      <c r="G590" s="1501">
        <f t="shared" si="367"/>
        <v>91040908</v>
      </c>
      <c r="H590" s="1501">
        <f>+H591+H592</f>
        <v>91500000</v>
      </c>
      <c r="I590" s="1501">
        <f>+I591+I592</f>
        <v>90000000</v>
      </c>
      <c r="J590" s="1503">
        <v>0</v>
      </c>
      <c r="K590" s="1503">
        <v>0</v>
      </c>
      <c r="L590" s="1503">
        <v>0</v>
      </c>
      <c r="M590" s="1480">
        <f>+M591+M592</f>
        <v>355947097</v>
      </c>
      <c r="N590" s="1480">
        <f>+N591+N592</f>
        <v>272540908</v>
      </c>
      <c r="O590" s="3621"/>
    </row>
    <row r="591" spans="1:16" s="813" customFormat="1" ht="12">
      <c r="A591" s="3618"/>
      <c r="B591" s="1294" t="s">
        <v>12</v>
      </c>
      <c r="C591" s="3710"/>
      <c r="D591" s="839">
        <f>E591+F591+G591+H591+I591+J591+K591+L591</f>
        <v>666614712</v>
      </c>
      <c r="E591" s="1453">
        <v>315126690</v>
      </c>
      <c r="F591" s="1491">
        <f>79000000+2000000+1000000-411978</f>
        <v>81588022</v>
      </c>
      <c r="G591" s="1491">
        <f>79000000+2000000+7000000+400000</f>
        <v>88400000</v>
      </c>
      <c r="H591" s="1491">
        <f>79000000+2000000+10500000</f>
        <v>91500000</v>
      </c>
      <c r="I591" s="1491">
        <f>79000000+2000000+9000000</f>
        <v>90000000</v>
      </c>
      <c r="J591" s="1436">
        <v>0</v>
      </c>
      <c r="K591" s="1436">
        <v>0</v>
      </c>
      <c r="L591" s="1436">
        <v>0</v>
      </c>
      <c r="M591" s="1493">
        <f>SUM(F591:K591)</f>
        <v>351488022</v>
      </c>
      <c r="N591" s="1493">
        <f>SUM(G591:L591)</f>
        <v>269900000</v>
      </c>
      <c r="O591" s="3621"/>
    </row>
    <row r="592" spans="1:16" s="813" customFormat="1" ht="12">
      <c r="A592" s="3618"/>
      <c r="B592" s="1293" t="s">
        <v>15</v>
      </c>
      <c r="C592" s="3046"/>
      <c r="D592" s="839">
        <f>E592+F592+G592+H592+I592+J592+K592+L592</f>
        <v>9152839</v>
      </c>
      <c r="E592" s="1453">
        <v>4693764</v>
      </c>
      <c r="F592" s="1295">
        <f>1397794+422214-1841</f>
        <v>1818167</v>
      </c>
      <c r="G592" s="1295">
        <f>1360602+1280306</f>
        <v>2640908</v>
      </c>
      <c r="H592" s="1296">
        <v>0</v>
      </c>
      <c r="I592" s="1296">
        <v>0</v>
      </c>
      <c r="J592" s="447">
        <v>0</v>
      </c>
      <c r="K592" s="447">
        <v>0</v>
      </c>
      <c r="L592" s="447">
        <v>0</v>
      </c>
      <c r="M592" s="1493">
        <f>SUM(F592:K592)</f>
        <v>4459075</v>
      </c>
      <c r="N592" s="1493">
        <f>SUM(G592:L592)</f>
        <v>2640908</v>
      </c>
      <c r="O592" s="3621"/>
    </row>
    <row r="593" spans="1:16" s="813" customFormat="1" ht="12">
      <c r="A593" s="3618"/>
      <c r="B593" s="581" t="s">
        <v>22</v>
      </c>
      <c r="C593" s="1499"/>
      <c r="D593" s="1500">
        <f>+D594</f>
        <v>109194230</v>
      </c>
      <c r="E593" s="1500">
        <f t="shared" ref="E593:I593" si="368">+E594</f>
        <v>27872715</v>
      </c>
      <c r="F593" s="1540">
        <f t="shared" si="368"/>
        <v>15393007</v>
      </c>
      <c r="G593" s="1540">
        <f t="shared" si="368"/>
        <v>22655908</v>
      </c>
      <c r="H593" s="1540">
        <f t="shared" si="368"/>
        <v>21636300</v>
      </c>
      <c r="I593" s="1540">
        <f t="shared" si="368"/>
        <v>21636300</v>
      </c>
      <c r="J593" s="1541">
        <v>0</v>
      </c>
      <c r="K593" s="1541">
        <v>0</v>
      </c>
      <c r="L593" s="1541">
        <v>0</v>
      </c>
      <c r="M593" s="3830" t="s">
        <v>23</v>
      </c>
      <c r="N593" s="3830" t="s">
        <v>23</v>
      </c>
      <c r="O593" s="3621"/>
    </row>
    <row r="594" spans="1:16" s="813" customFormat="1" ht="12">
      <c r="A594" s="3618"/>
      <c r="B594" s="555" t="s">
        <v>24</v>
      </c>
      <c r="C594" s="3639" t="s">
        <v>98</v>
      </c>
      <c r="D594" s="1501">
        <f>+D595+D596</f>
        <v>109194230</v>
      </c>
      <c r="E594" s="1501">
        <f t="shared" ref="E594" si="369">+E595+E596</f>
        <v>27872715</v>
      </c>
      <c r="F594" s="1501">
        <f t="shared" ref="F594:G594" si="370">+F595+F596</f>
        <v>15393007</v>
      </c>
      <c r="G594" s="1501">
        <f t="shared" si="370"/>
        <v>22655908</v>
      </c>
      <c r="H594" s="1501">
        <f>+H595+H596</f>
        <v>21636300</v>
      </c>
      <c r="I594" s="1501">
        <f>+I595+I596</f>
        <v>21636300</v>
      </c>
      <c r="J594" s="1503">
        <v>0</v>
      </c>
      <c r="K594" s="1503">
        <v>0</v>
      </c>
      <c r="L594" s="1503">
        <v>0</v>
      </c>
      <c r="M594" s="3641"/>
      <c r="N594" s="3641"/>
      <c r="O594" s="3621"/>
    </row>
    <row r="595" spans="1:16" s="813" customFormat="1" ht="12">
      <c r="A595" s="3618"/>
      <c r="B595" s="2532" t="s">
        <v>187</v>
      </c>
      <c r="C595" s="3709"/>
      <c r="D595" s="839">
        <f>E595+F595+G595+H595+I595+J595+K595+L595</f>
        <v>100041391</v>
      </c>
      <c r="E595" s="1453">
        <v>23178951</v>
      </c>
      <c r="F595" s="1542">
        <f>10500000+1500000+1574800+40</f>
        <v>13574840</v>
      </c>
      <c r="G595" s="1542">
        <f>19858300+156700</f>
        <v>20015000</v>
      </c>
      <c r="H595" s="1542">
        <f>10500000+1500000+9636300</f>
        <v>21636300</v>
      </c>
      <c r="I595" s="1542">
        <f>10500000+1500000+9636300</f>
        <v>21636300</v>
      </c>
      <c r="J595" s="1543">
        <v>0</v>
      </c>
      <c r="K595" s="1543">
        <v>0</v>
      </c>
      <c r="L595" s="1543">
        <v>0</v>
      </c>
      <c r="M595" s="3641"/>
      <c r="N595" s="3641"/>
      <c r="O595" s="3621"/>
    </row>
    <row r="596" spans="1:16" s="813" customFormat="1" ht="12" customHeight="1" thickBot="1">
      <c r="A596" s="3619"/>
      <c r="B596" s="421" t="s">
        <v>15</v>
      </c>
      <c r="C596" s="3624"/>
      <c r="D596" s="833">
        <f>E596+F596+G596+H596+I596+J596+K596+L596</f>
        <v>9152839</v>
      </c>
      <c r="E596" s="833">
        <v>4693764</v>
      </c>
      <c r="F596" s="449">
        <f>1397794+422214-1841</f>
        <v>1818167</v>
      </c>
      <c r="G596" s="449">
        <f>1360602+1280306</f>
        <v>2640908</v>
      </c>
      <c r="H596" s="1544">
        <v>0</v>
      </c>
      <c r="I596" s="1544">
        <v>0</v>
      </c>
      <c r="J596" s="1544">
        <v>0</v>
      </c>
      <c r="K596" s="1544">
        <v>0</v>
      </c>
      <c r="L596" s="1544">
        <v>0</v>
      </c>
      <c r="M596" s="3642"/>
      <c r="N596" s="3642"/>
      <c r="O596" s="3622"/>
    </row>
    <row r="597" spans="1:16" s="813" customFormat="1" hidden="1" thickBot="1">
      <c r="A597" s="3617"/>
      <c r="B597" s="273"/>
      <c r="C597" s="56" t="s">
        <v>109</v>
      </c>
      <c r="D597" s="124"/>
      <c r="E597" s="42"/>
      <c r="F597" s="42"/>
      <c r="G597" s="42"/>
      <c r="H597" s="42"/>
      <c r="I597" s="42"/>
      <c r="J597" s="42"/>
      <c r="K597" s="42"/>
      <c r="L597" s="42"/>
      <c r="M597" s="43"/>
      <c r="N597" s="43"/>
      <c r="O597" s="3620" t="s">
        <v>102</v>
      </c>
    </row>
    <row r="598" spans="1:16" s="813" customFormat="1" hidden="1" thickBot="1">
      <c r="A598" s="3618"/>
      <c r="B598" s="21" t="s">
        <v>10</v>
      </c>
      <c r="C598" s="22"/>
      <c r="D598" s="122">
        <f>+D599</f>
        <v>0</v>
      </c>
      <c r="E598" s="122">
        <v>0</v>
      </c>
      <c r="F598" s="122"/>
      <c r="G598" s="122"/>
      <c r="H598" s="122"/>
      <c r="I598" s="122"/>
      <c r="J598" s="291"/>
      <c r="K598" s="291"/>
      <c r="L598" s="291"/>
      <c r="M598" s="89"/>
      <c r="N598" s="89"/>
      <c r="O598" s="3621"/>
      <c r="P598" s="812"/>
    </row>
    <row r="599" spans="1:16" s="813" customFormat="1" hidden="1" thickBot="1">
      <c r="A599" s="3618"/>
      <c r="B599" s="167" t="s">
        <v>24</v>
      </c>
      <c r="C599" s="423" t="s">
        <v>98</v>
      </c>
      <c r="D599" s="123">
        <f>+D600</f>
        <v>0</v>
      </c>
      <c r="E599" s="123">
        <v>0</v>
      </c>
      <c r="F599" s="123"/>
      <c r="G599" s="123"/>
      <c r="H599" s="123"/>
      <c r="I599" s="123"/>
      <c r="J599" s="290"/>
      <c r="K599" s="290"/>
      <c r="L599" s="290"/>
      <c r="M599" s="66"/>
      <c r="N599" s="66"/>
      <c r="O599" s="3621"/>
    </row>
    <row r="600" spans="1:16" s="813" customFormat="1" hidden="1" thickBot="1">
      <c r="A600" s="3618"/>
      <c r="B600" s="419" t="s">
        <v>12</v>
      </c>
      <c r="C600" s="424"/>
      <c r="D600" s="51">
        <f>SUM(E600:I600)</f>
        <v>0</v>
      </c>
      <c r="E600" s="198">
        <v>0</v>
      </c>
      <c r="F600" s="84"/>
      <c r="G600" s="84"/>
      <c r="H600" s="84"/>
      <c r="I600" s="84"/>
      <c r="J600" s="236"/>
      <c r="K600" s="236"/>
      <c r="L600" s="236"/>
      <c r="M600" s="67"/>
      <c r="N600" s="67"/>
      <c r="O600" s="3621"/>
    </row>
    <row r="601" spans="1:16" s="813" customFormat="1" ht="14.25" hidden="1" customHeight="1">
      <c r="A601" s="3617" t="s">
        <v>88</v>
      </c>
      <c r="B601" s="273"/>
      <c r="C601" s="56" t="s">
        <v>109</v>
      </c>
      <c r="D601" s="40"/>
      <c r="E601" s="42"/>
      <c r="F601" s="42"/>
      <c r="G601" s="42"/>
      <c r="H601" s="42"/>
      <c r="I601" s="42"/>
      <c r="J601" s="42"/>
      <c r="K601" s="42"/>
      <c r="L601" s="42"/>
      <c r="M601" s="43"/>
      <c r="N601" s="43"/>
      <c r="O601" s="3620" t="s">
        <v>86</v>
      </c>
    </row>
    <row r="602" spans="1:16" s="813" customFormat="1" hidden="1" thickBot="1">
      <c r="A602" s="3618"/>
      <c r="B602" s="21" t="s">
        <v>10</v>
      </c>
      <c r="C602" s="22"/>
      <c r="D602" s="122"/>
      <c r="E602" s="122"/>
      <c r="F602" s="122"/>
      <c r="G602" s="122"/>
      <c r="H602" s="122"/>
      <c r="I602" s="281"/>
      <c r="J602" s="281"/>
      <c r="K602" s="281"/>
      <c r="L602" s="281"/>
      <c r="M602" s="63">
        <f>+M603</f>
        <v>0</v>
      </c>
      <c r="N602" s="63">
        <f>+N603</f>
        <v>0</v>
      </c>
      <c r="O602" s="3621"/>
      <c r="P602" s="812"/>
    </row>
    <row r="603" spans="1:16" s="813" customFormat="1" hidden="1" thickBot="1">
      <c r="A603" s="3618"/>
      <c r="B603" s="167" t="s">
        <v>24</v>
      </c>
      <c r="C603" s="3623" t="s">
        <v>84</v>
      </c>
      <c r="D603" s="123"/>
      <c r="E603" s="123"/>
      <c r="F603" s="123"/>
      <c r="G603" s="123"/>
      <c r="H603" s="123"/>
      <c r="I603" s="282"/>
      <c r="J603" s="282"/>
      <c r="K603" s="282"/>
      <c r="L603" s="282"/>
      <c r="M603" s="77">
        <f>+M604+M605</f>
        <v>0</v>
      </c>
      <c r="N603" s="77">
        <f>+N604+N605</f>
        <v>0</v>
      </c>
      <c r="O603" s="3621"/>
    </row>
    <row r="604" spans="1:16" s="813" customFormat="1" hidden="1" thickBot="1">
      <c r="A604" s="3618"/>
      <c r="B604" s="422" t="s">
        <v>12</v>
      </c>
      <c r="C604" s="3709"/>
      <c r="D604" s="830"/>
      <c r="E604" s="830"/>
      <c r="F604" s="68"/>
      <c r="G604" s="68"/>
      <c r="H604" s="68"/>
      <c r="I604" s="283"/>
      <c r="J604" s="283"/>
      <c r="K604" s="283"/>
      <c r="L604" s="283"/>
      <c r="M604" s="34">
        <f>SUM(E604:K604)</f>
        <v>0</v>
      </c>
      <c r="N604" s="34">
        <f>SUM(F604:L604)</f>
        <v>0</v>
      </c>
      <c r="O604" s="3621"/>
    </row>
    <row r="605" spans="1:16" s="813" customFormat="1" hidden="1" thickBot="1">
      <c r="A605" s="3618"/>
      <c r="B605" s="130" t="s">
        <v>107</v>
      </c>
      <c r="C605" s="3710"/>
      <c r="D605" s="830"/>
      <c r="E605" s="830"/>
      <c r="F605" s="284"/>
      <c r="G605" s="284"/>
      <c r="H605" s="284"/>
      <c r="I605" s="284"/>
      <c r="J605" s="274"/>
      <c r="K605" s="274"/>
      <c r="L605" s="274"/>
      <c r="M605" s="34">
        <f>SUM(E605:K605)</f>
        <v>0</v>
      </c>
      <c r="N605" s="34">
        <f>SUM(F605:L605)</f>
        <v>0</v>
      </c>
      <c r="O605" s="3621"/>
    </row>
    <row r="606" spans="1:16" s="813" customFormat="1" hidden="1" thickBot="1">
      <c r="A606" s="3618"/>
      <c r="B606" s="78" t="s">
        <v>22</v>
      </c>
      <c r="C606" s="22"/>
      <c r="D606" s="122"/>
      <c r="E606" s="122"/>
      <c r="F606" s="281"/>
      <c r="G606" s="281"/>
      <c r="H606" s="281"/>
      <c r="I606" s="281"/>
      <c r="J606" s="281"/>
      <c r="K606" s="281"/>
      <c r="L606" s="281"/>
      <c r="M606" s="3831" t="s">
        <v>23</v>
      </c>
      <c r="N606" s="3831" t="s">
        <v>23</v>
      </c>
      <c r="O606" s="3621"/>
    </row>
    <row r="607" spans="1:16" s="813" customFormat="1" hidden="1" thickBot="1">
      <c r="A607" s="3618"/>
      <c r="B607" s="167" t="s">
        <v>24</v>
      </c>
      <c r="C607" s="3623" t="s">
        <v>84</v>
      </c>
      <c r="D607" s="48"/>
      <c r="E607" s="48"/>
      <c r="F607" s="277"/>
      <c r="G607" s="277"/>
      <c r="H607" s="285"/>
      <c r="I607" s="277"/>
      <c r="J607" s="277"/>
      <c r="K607" s="277"/>
      <c r="L607" s="277"/>
      <c r="M607" s="3672"/>
      <c r="N607" s="3672"/>
      <c r="O607" s="3621"/>
    </row>
    <row r="608" spans="1:16" s="813" customFormat="1" hidden="1" thickBot="1">
      <c r="A608" s="3619"/>
      <c r="B608" s="288" t="s">
        <v>13</v>
      </c>
      <c r="C608" s="3624"/>
      <c r="D608" s="830"/>
      <c r="E608" s="830"/>
      <c r="F608" s="286"/>
      <c r="G608" s="286"/>
      <c r="H608" s="287"/>
      <c r="I608" s="286"/>
      <c r="J608" s="286"/>
      <c r="K608" s="286"/>
      <c r="L608" s="286"/>
      <c r="M608" s="3673"/>
      <c r="N608" s="3673"/>
      <c r="O608" s="3622"/>
    </row>
    <row r="609" spans="1:16" s="813" customFormat="1" ht="24.75" hidden="1" customHeight="1">
      <c r="A609" s="3617" t="s">
        <v>91</v>
      </c>
      <c r="B609" s="273"/>
      <c r="C609" s="56"/>
      <c r="D609" s="40"/>
      <c r="E609" s="40"/>
      <c r="F609" s="40"/>
      <c r="G609" s="40"/>
      <c r="H609" s="42"/>
      <c r="I609" s="42"/>
      <c r="J609" s="42"/>
      <c r="K609" s="42"/>
      <c r="L609" s="42"/>
      <c r="M609" s="43"/>
      <c r="N609" s="43"/>
      <c r="O609" s="3620" t="s">
        <v>86</v>
      </c>
    </row>
    <row r="610" spans="1:16" s="813" customFormat="1" hidden="1" thickBot="1">
      <c r="A610" s="3618"/>
      <c r="B610" s="21" t="s">
        <v>10</v>
      </c>
      <c r="C610" s="22"/>
      <c r="D610" s="122"/>
      <c r="E610" s="122"/>
      <c r="F610" s="122"/>
      <c r="G610" s="122"/>
      <c r="H610" s="122"/>
      <c r="I610" s="281"/>
      <c r="J610" s="281"/>
      <c r="K610" s="281"/>
      <c r="L610" s="281"/>
      <c r="M610" s="63">
        <f>+M611</f>
        <v>0</v>
      </c>
      <c r="N610" s="63">
        <f>+N611</f>
        <v>0</v>
      </c>
      <c r="O610" s="3621"/>
      <c r="P610" s="812"/>
    </row>
    <row r="611" spans="1:16" s="813" customFormat="1" hidden="1" thickBot="1">
      <c r="A611" s="3618"/>
      <c r="B611" s="167" t="s">
        <v>24</v>
      </c>
      <c r="C611" s="3623" t="s">
        <v>84</v>
      </c>
      <c r="D611" s="123"/>
      <c r="E611" s="123"/>
      <c r="F611" s="123"/>
      <c r="G611" s="123"/>
      <c r="H611" s="123"/>
      <c r="I611" s="284"/>
      <c r="J611" s="274"/>
      <c r="K611" s="274"/>
      <c r="L611" s="274"/>
      <c r="M611" s="77">
        <f>+M612+M613</f>
        <v>0</v>
      </c>
      <c r="N611" s="77">
        <f>+N612+N613</f>
        <v>0</v>
      </c>
      <c r="O611" s="3621"/>
    </row>
    <row r="612" spans="1:16" s="813" customFormat="1" hidden="1" thickBot="1">
      <c r="A612" s="3618"/>
      <c r="B612" s="422" t="s">
        <v>12</v>
      </c>
      <c r="C612" s="3709"/>
      <c r="D612" s="830"/>
      <c r="E612" s="830"/>
      <c r="F612" s="73"/>
      <c r="G612" s="73"/>
      <c r="H612" s="73"/>
      <c r="I612" s="284"/>
      <c r="J612" s="274"/>
      <c r="K612" s="274"/>
      <c r="L612" s="274"/>
      <c r="M612" s="34">
        <f>SUM(E612:K612)</f>
        <v>0</v>
      </c>
      <c r="N612" s="34">
        <f>SUM(F612:L612)</f>
        <v>0</v>
      </c>
      <c r="O612" s="3621"/>
    </row>
    <row r="613" spans="1:16" s="813" customFormat="1" hidden="1" thickBot="1">
      <c r="A613" s="3618"/>
      <c r="B613" s="130" t="s">
        <v>78</v>
      </c>
      <c r="C613" s="3710"/>
      <c r="D613" s="830"/>
      <c r="E613" s="830"/>
      <c r="F613" s="73"/>
      <c r="G613" s="73"/>
      <c r="H613" s="284"/>
      <c r="I613" s="284"/>
      <c r="J613" s="274"/>
      <c r="K613" s="274"/>
      <c r="L613" s="274"/>
      <c r="M613" s="34">
        <f>SUM(E613:K613)</f>
        <v>0</v>
      </c>
      <c r="N613" s="34">
        <f>SUM(F613:L613)</f>
        <v>0</v>
      </c>
      <c r="O613" s="3621"/>
    </row>
    <row r="614" spans="1:16" s="813" customFormat="1" hidden="1" thickBot="1">
      <c r="A614" s="3618"/>
      <c r="B614" s="78" t="s">
        <v>22</v>
      </c>
      <c r="C614" s="22"/>
      <c r="D614" s="122"/>
      <c r="E614" s="122"/>
      <c r="F614" s="281"/>
      <c r="G614" s="281"/>
      <c r="H614" s="281"/>
      <c r="I614" s="281"/>
      <c r="J614" s="281"/>
      <c r="K614" s="281"/>
      <c r="L614" s="281"/>
      <c r="M614" s="3831" t="s">
        <v>23</v>
      </c>
      <c r="N614" s="3831" t="s">
        <v>23</v>
      </c>
      <c r="O614" s="3621"/>
    </row>
    <row r="615" spans="1:16" s="813" customFormat="1" hidden="1" thickBot="1">
      <c r="A615" s="3618"/>
      <c r="B615" s="167" t="s">
        <v>24</v>
      </c>
      <c r="C615" s="3623" t="s">
        <v>84</v>
      </c>
      <c r="D615" s="404"/>
      <c r="E615" s="404"/>
      <c r="F615" s="285"/>
      <c r="G615" s="285"/>
      <c r="H615" s="285"/>
      <c r="I615" s="277"/>
      <c r="J615" s="277"/>
      <c r="K615" s="277"/>
      <c r="L615" s="277"/>
      <c r="M615" s="3672"/>
      <c r="N615" s="3672"/>
      <c r="O615" s="3621"/>
    </row>
    <row r="616" spans="1:16" s="813" customFormat="1" hidden="1" thickBot="1">
      <c r="A616" s="3619"/>
      <c r="B616" s="130" t="s">
        <v>13</v>
      </c>
      <c r="C616" s="3624"/>
      <c r="D616" s="830"/>
      <c r="E616" s="830"/>
      <c r="F616" s="287"/>
      <c r="G616" s="287"/>
      <c r="H616" s="287"/>
      <c r="I616" s="286"/>
      <c r="J616" s="286"/>
      <c r="K616" s="286"/>
      <c r="L616" s="286"/>
      <c r="M616" s="3673"/>
      <c r="N616" s="3673"/>
      <c r="O616" s="3622"/>
    </row>
    <row r="617" spans="1:16" s="813" customFormat="1" ht="14.25" hidden="1" customHeight="1">
      <c r="A617" s="3617" t="s">
        <v>92</v>
      </c>
      <c r="B617" s="273"/>
      <c r="C617" s="56"/>
      <c r="D617" s="124"/>
      <c r="E617" s="42"/>
      <c r="F617" s="42"/>
      <c r="G617" s="42"/>
      <c r="H617" s="42"/>
      <c r="I617" s="42"/>
      <c r="J617" s="42"/>
      <c r="K617" s="42"/>
      <c r="L617" s="42"/>
      <c r="M617" s="43"/>
      <c r="N617" s="43"/>
      <c r="O617" s="3620" t="s">
        <v>86</v>
      </c>
    </row>
    <row r="618" spans="1:16" s="813" customFormat="1" hidden="1" thickBot="1">
      <c r="A618" s="3618"/>
      <c r="B618" s="21" t="s">
        <v>10</v>
      </c>
      <c r="C618" s="22"/>
      <c r="D618" s="122"/>
      <c r="E618" s="122"/>
      <c r="F618" s="122"/>
      <c r="G618" s="122"/>
      <c r="H618" s="281"/>
      <c r="I618" s="281"/>
      <c r="J618" s="281"/>
      <c r="K618" s="281"/>
      <c r="L618" s="281"/>
      <c r="M618" s="63">
        <f>+M619</f>
        <v>0</v>
      </c>
      <c r="N618" s="63">
        <f>+N619</f>
        <v>0</v>
      </c>
      <c r="O618" s="3621"/>
      <c r="P618" s="812"/>
    </row>
    <row r="619" spans="1:16" s="813" customFormat="1" hidden="1" thickBot="1">
      <c r="A619" s="3618"/>
      <c r="B619" s="167" t="s">
        <v>24</v>
      </c>
      <c r="C619" s="3623" t="s">
        <v>84</v>
      </c>
      <c r="D619" s="123"/>
      <c r="E619" s="123"/>
      <c r="F619" s="123"/>
      <c r="G619" s="123"/>
      <c r="H619" s="282"/>
      <c r="I619" s="282"/>
      <c r="J619" s="282"/>
      <c r="K619" s="282"/>
      <c r="L619" s="282"/>
      <c r="M619" s="77">
        <f>+M620</f>
        <v>0</v>
      </c>
      <c r="N619" s="77">
        <f>+N620</f>
        <v>0</v>
      </c>
      <c r="O619" s="3621"/>
    </row>
    <row r="620" spans="1:16" s="813" customFormat="1" hidden="1" thickBot="1">
      <c r="A620" s="3619"/>
      <c r="B620" s="421" t="s">
        <v>12</v>
      </c>
      <c r="C620" s="3624"/>
      <c r="D620" s="830"/>
      <c r="E620" s="830"/>
      <c r="F620" s="231"/>
      <c r="G620" s="231"/>
      <c r="H620" s="295"/>
      <c r="I620" s="295"/>
      <c r="J620" s="283"/>
      <c r="K620" s="283"/>
      <c r="L620" s="283"/>
      <c r="M620" s="34">
        <f>SUM(E620:K620)</f>
        <v>0</v>
      </c>
      <c r="N620" s="34">
        <f>SUM(F620:L620)</f>
        <v>0</v>
      </c>
      <c r="O620" s="3622"/>
    </row>
    <row r="621" spans="1:16" s="813" customFormat="1" ht="14.25" hidden="1" customHeight="1">
      <c r="A621" s="3617" t="s">
        <v>93</v>
      </c>
      <c r="B621" s="273"/>
      <c r="C621" s="56"/>
      <c r="D621" s="124"/>
      <c r="E621" s="42"/>
      <c r="F621" s="42"/>
      <c r="G621" s="42"/>
      <c r="H621" s="42"/>
      <c r="I621" s="42"/>
      <c r="J621" s="42"/>
      <c r="K621" s="42"/>
      <c r="L621" s="42"/>
      <c r="M621" s="43"/>
      <c r="N621" s="43"/>
      <c r="O621" s="3620" t="s">
        <v>86</v>
      </c>
    </row>
    <row r="622" spans="1:16" s="813" customFormat="1" hidden="1" thickBot="1">
      <c r="A622" s="3618"/>
      <c r="B622" s="21" t="s">
        <v>10</v>
      </c>
      <c r="C622" s="22"/>
      <c r="D622" s="122"/>
      <c r="E622" s="281"/>
      <c r="F622" s="122"/>
      <c r="G622" s="122"/>
      <c r="H622" s="122"/>
      <c r="I622" s="281"/>
      <c r="J622" s="281"/>
      <c r="K622" s="281"/>
      <c r="L622" s="281"/>
      <c r="M622" s="63">
        <f>+M623</f>
        <v>0</v>
      </c>
      <c r="N622" s="63">
        <f>+N623</f>
        <v>0</v>
      </c>
      <c r="O622" s="3621"/>
      <c r="P622" s="812"/>
    </row>
    <row r="623" spans="1:16" s="813" customFormat="1" hidden="1" thickBot="1">
      <c r="A623" s="3618"/>
      <c r="B623" s="167" t="s">
        <v>24</v>
      </c>
      <c r="C623" s="3623" t="s">
        <v>84</v>
      </c>
      <c r="D623" s="123"/>
      <c r="E623" s="282"/>
      <c r="F623" s="123"/>
      <c r="G623" s="123"/>
      <c r="H623" s="123"/>
      <c r="I623" s="282"/>
      <c r="J623" s="282"/>
      <c r="K623" s="282"/>
      <c r="L623" s="282"/>
      <c r="M623" s="77">
        <f>+M624</f>
        <v>0</v>
      </c>
      <c r="N623" s="77">
        <f>+N624</f>
        <v>0</v>
      </c>
      <c r="O623" s="3621"/>
    </row>
    <row r="624" spans="1:16" s="813" customFormat="1" hidden="1" thickBot="1">
      <c r="A624" s="3619"/>
      <c r="B624" s="421" t="s">
        <v>12</v>
      </c>
      <c r="C624" s="3624"/>
      <c r="D624" s="830"/>
      <c r="E624" s="592"/>
      <c r="F624" s="231"/>
      <c r="G624" s="231"/>
      <c r="H624" s="231"/>
      <c r="I624" s="295"/>
      <c r="J624" s="283"/>
      <c r="K624" s="283"/>
      <c r="L624" s="283"/>
      <c r="M624" s="34">
        <f>SUM(E624:K624)</f>
        <v>0</v>
      </c>
      <c r="N624" s="34">
        <f>SUM(F624:L624)</f>
        <v>0</v>
      </c>
      <c r="O624" s="3622"/>
    </row>
    <row r="625" spans="1:16" s="813" customFormat="1" ht="24.75" customHeight="1">
      <c r="A625" s="3617" t="s">
        <v>87</v>
      </c>
      <c r="B625" s="273" t="s">
        <v>386</v>
      </c>
      <c r="C625" s="1531" t="s">
        <v>109</v>
      </c>
      <c r="D625" s="3162"/>
      <c r="E625" s="3161"/>
      <c r="F625" s="3161"/>
      <c r="G625" s="3161"/>
      <c r="H625" s="3161"/>
      <c r="I625" s="3161"/>
      <c r="J625" s="3161"/>
      <c r="K625" s="3161"/>
      <c r="L625" s="41"/>
      <c r="M625" s="43"/>
      <c r="N625" s="43"/>
      <c r="O625" s="3620" t="s">
        <v>102</v>
      </c>
    </row>
    <row r="626" spans="1:16" s="813" customFormat="1" ht="12">
      <c r="A626" s="3618"/>
      <c r="B626" s="21" t="s">
        <v>10</v>
      </c>
      <c r="C626" s="22"/>
      <c r="D626" s="122">
        <f>+D627</f>
        <v>767432</v>
      </c>
      <c r="E626" s="122">
        <f t="shared" ref="E626:J627" si="371">+E627</f>
        <v>116055</v>
      </c>
      <c r="F626" s="122">
        <f t="shared" si="371"/>
        <v>81377</v>
      </c>
      <c r="G626" s="122">
        <f t="shared" si="371"/>
        <v>135000</v>
      </c>
      <c r="H626" s="122">
        <f t="shared" si="371"/>
        <v>145000</v>
      </c>
      <c r="I626" s="122">
        <f t="shared" si="371"/>
        <v>145000</v>
      </c>
      <c r="J626" s="122">
        <f t="shared" si="371"/>
        <v>145000</v>
      </c>
      <c r="K626" s="281">
        <v>0</v>
      </c>
      <c r="L626" s="281">
        <v>0</v>
      </c>
      <c r="M626" s="63">
        <f>+M627</f>
        <v>651377</v>
      </c>
      <c r="N626" s="63">
        <f>+N627</f>
        <v>570000</v>
      </c>
      <c r="O626" s="3621"/>
      <c r="P626" s="812"/>
    </row>
    <row r="627" spans="1:16" s="813" customFormat="1" ht="12">
      <c r="A627" s="3618"/>
      <c r="B627" s="167" t="s">
        <v>24</v>
      </c>
      <c r="C627" s="3623" t="s">
        <v>98</v>
      </c>
      <c r="D627" s="123">
        <f>+D628</f>
        <v>767432</v>
      </c>
      <c r="E627" s="123">
        <f t="shared" si="371"/>
        <v>116055</v>
      </c>
      <c r="F627" s="123">
        <f t="shared" si="371"/>
        <v>81377</v>
      </c>
      <c r="G627" s="123">
        <f t="shared" si="371"/>
        <v>135000</v>
      </c>
      <c r="H627" s="123">
        <f t="shared" si="371"/>
        <v>145000</v>
      </c>
      <c r="I627" s="123">
        <f t="shared" si="371"/>
        <v>145000</v>
      </c>
      <c r="J627" s="123">
        <f>145000</f>
        <v>145000</v>
      </c>
      <c r="K627" s="282">
        <v>0</v>
      </c>
      <c r="L627" s="282">
        <v>0</v>
      </c>
      <c r="M627" s="77">
        <f>+M628</f>
        <v>651377</v>
      </c>
      <c r="N627" s="77">
        <f>+N628</f>
        <v>570000</v>
      </c>
      <c r="O627" s="3621"/>
    </row>
    <row r="628" spans="1:16" s="813" customFormat="1" thickBot="1">
      <c r="A628" s="3619"/>
      <c r="B628" s="418" t="s">
        <v>12</v>
      </c>
      <c r="C628" s="3624"/>
      <c r="D628" s="239">
        <f>E628+F628+G628+H628+I628+J628+K628+L628</f>
        <v>767432</v>
      </c>
      <c r="E628" s="275">
        <v>116055</v>
      </c>
      <c r="F628" s="231">
        <f>135000-44000-9623</f>
        <v>81377</v>
      </c>
      <c r="G628" s="231">
        <f>135000</f>
        <v>135000</v>
      </c>
      <c r="H628" s="231">
        <f>135000+10000</f>
        <v>145000</v>
      </c>
      <c r="I628" s="231">
        <f>135000+10000</f>
        <v>145000</v>
      </c>
      <c r="J628" s="231">
        <f>145000</f>
        <v>145000</v>
      </c>
      <c r="K628" s="295">
        <v>0</v>
      </c>
      <c r="L628" s="295">
        <v>0</v>
      </c>
      <c r="M628" s="862">
        <f>SUM(F628:K628)</f>
        <v>651377</v>
      </c>
      <c r="N628" s="862">
        <f>SUM(G628:L628)</f>
        <v>570000</v>
      </c>
      <c r="O628" s="3622"/>
    </row>
    <row r="629" spans="1:16" s="813" customFormat="1" ht="27" customHeight="1">
      <c r="A629" s="3617" t="s">
        <v>88</v>
      </c>
      <c r="B629" s="273" t="s">
        <v>387</v>
      </c>
      <c r="C629" s="56" t="s">
        <v>81</v>
      </c>
      <c r="D629" s="3162"/>
      <c r="E629" s="3161"/>
      <c r="F629" s="3161"/>
      <c r="G629" s="3161"/>
      <c r="H629" s="3161"/>
      <c r="I629" s="3161"/>
      <c r="J629" s="3161"/>
      <c r="K629" s="3161"/>
      <c r="L629" s="41"/>
      <c r="M629" s="43"/>
      <c r="N629" s="43"/>
      <c r="O629" s="3620" t="s">
        <v>86</v>
      </c>
    </row>
    <row r="630" spans="1:16" s="813" customFormat="1" ht="12">
      <c r="A630" s="3618"/>
      <c r="B630" s="581" t="s">
        <v>10</v>
      </c>
      <c r="C630" s="1475"/>
      <c r="D630" s="1500">
        <f>+D631</f>
        <v>6415000</v>
      </c>
      <c r="E630" s="1500">
        <v>3810194</v>
      </c>
      <c r="F630" s="1500">
        <f t="shared" ref="F630:G631" si="372">+F631</f>
        <v>2021758</v>
      </c>
      <c r="G630" s="1500">
        <f t="shared" si="372"/>
        <v>583048</v>
      </c>
      <c r="H630" s="1505">
        <v>0</v>
      </c>
      <c r="I630" s="1505">
        <v>0</v>
      </c>
      <c r="J630" s="1505">
        <v>0</v>
      </c>
      <c r="K630" s="1505">
        <v>0</v>
      </c>
      <c r="L630" s="1505">
        <v>0</v>
      </c>
      <c r="M630" s="1477">
        <f>+M631</f>
        <v>2604806</v>
      </c>
      <c r="N630" s="1477">
        <f>+N631</f>
        <v>583048</v>
      </c>
      <c r="O630" s="3621"/>
      <c r="P630" s="812"/>
    </row>
    <row r="631" spans="1:16" s="813" customFormat="1" ht="12">
      <c r="A631" s="3618"/>
      <c r="B631" s="555" t="s">
        <v>24</v>
      </c>
      <c r="C631" s="3708" t="s">
        <v>84</v>
      </c>
      <c r="D631" s="1501">
        <f>+D632</f>
        <v>6415000</v>
      </c>
      <c r="E631" s="1501">
        <v>3810194</v>
      </c>
      <c r="F631" s="1501">
        <f t="shared" si="372"/>
        <v>2021758</v>
      </c>
      <c r="G631" s="1501">
        <f t="shared" si="372"/>
        <v>583048</v>
      </c>
      <c r="H631" s="1503">
        <v>0</v>
      </c>
      <c r="I631" s="1503">
        <v>0</v>
      </c>
      <c r="J631" s="1503">
        <v>0</v>
      </c>
      <c r="K631" s="1503">
        <v>0</v>
      </c>
      <c r="L631" s="1503">
        <v>0</v>
      </c>
      <c r="M631" s="1480">
        <f>+M632</f>
        <v>2604806</v>
      </c>
      <c r="N631" s="1480">
        <f>+N632</f>
        <v>583048</v>
      </c>
      <c r="O631" s="3621"/>
    </row>
    <row r="632" spans="1:16" s="813" customFormat="1" thickBot="1">
      <c r="A632" s="3619"/>
      <c r="B632" s="421" t="s">
        <v>12</v>
      </c>
      <c r="C632" s="3624"/>
      <c r="D632" s="1578">
        <f>E632+F632+G632+H632+I632+J632+K632+L632</f>
        <v>6415000</v>
      </c>
      <c r="E632" s="1578">
        <v>3810194</v>
      </c>
      <c r="F632" s="1793">
        <f>1965000+93736+486070-523048</f>
        <v>2021758</v>
      </c>
      <c r="G632" s="1793">
        <f>523048+60000</f>
        <v>583048</v>
      </c>
      <c r="H632" s="1794">
        <v>0</v>
      </c>
      <c r="I632" s="1794">
        <v>0</v>
      </c>
      <c r="J632" s="1794">
        <v>0</v>
      </c>
      <c r="K632" s="1794">
        <v>0</v>
      </c>
      <c r="L632" s="1794">
        <v>0</v>
      </c>
      <c r="M632" s="1795">
        <f>SUM(F632:K632)</f>
        <v>2604806</v>
      </c>
      <c r="N632" s="1795">
        <f>SUM(G632:L632)</f>
        <v>583048</v>
      </c>
      <c r="O632" s="3622"/>
    </row>
    <row r="633" spans="1:16" s="813" customFormat="1" ht="16.5" customHeight="1">
      <c r="A633" s="3617" t="s">
        <v>89</v>
      </c>
      <c r="B633" s="273" t="s">
        <v>289</v>
      </c>
      <c r="C633" s="56" t="s">
        <v>109</v>
      </c>
      <c r="D633" s="3162"/>
      <c r="E633" s="3160"/>
      <c r="F633" s="3161"/>
      <c r="G633" s="3161"/>
      <c r="H633" s="3161"/>
      <c r="I633" s="3161"/>
      <c r="J633" s="3161"/>
      <c r="K633" s="3161"/>
      <c r="L633" s="41"/>
      <c r="M633" s="43"/>
      <c r="N633" s="43"/>
      <c r="O633" s="3620" t="s">
        <v>86</v>
      </c>
    </row>
    <row r="634" spans="1:16" s="813" customFormat="1" ht="12.75" customHeight="1">
      <c r="A634" s="3618"/>
      <c r="B634" s="21" t="s">
        <v>10</v>
      </c>
      <c r="C634" s="22"/>
      <c r="D634" s="3527">
        <f>+D635</f>
        <v>107257369</v>
      </c>
      <c r="E634" s="3527">
        <f t="shared" ref="E634:I634" si="373">+E635</f>
        <v>0</v>
      </c>
      <c r="F634" s="3527">
        <f t="shared" si="373"/>
        <v>27220670</v>
      </c>
      <c r="G634" s="3527">
        <f t="shared" si="373"/>
        <v>26856601</v>
      </c>
      <c r="H634" s="3527">
        <f t="shared" si="373"/>
        <v>26265000</v>
      </c>
      <c r="I634" s="3527">
        <f t="shared" si="373"/>
        <v>26915098</v>
      </c>
      <c r="J634" s="3528">
        <v>0</v>
      </c>
      <c r="K634" s="3528">
        <v>0</v>
      </c>
      <c r="L634" s="3528">
        <v>0</v>
      </c>
      <c r="M634" s="3529">
        <f>+M635</f>
        <v>107257369</v>
      </c>
      <c r="N634" s="3529">
        <f>+N635</f>
        <v>80036699</v>
      </c>
      <c r="O634" s="3621"/>
      <c r="P634" s="812"/>
    </row>
    <row r="635" spans="1:16" s="813" customFormat="1" ht="12.75" customHeight="1">
      <c r="A635" s="3618"/>
      <c r="B635" s="555" t="s">
        <v>24</v>
      </c>
      <c r="C635" s="3827" t="s">
        <v>369</v>
      </c>
      <c r="D635" s="2039">
        <f>+D636+D637</f>
        <v>107257369</v>
      </c>
      <c r="E635" s="2039">
        <f t="shared" ref="E635" si="374">+E636+E637</f>
        <v>0</v>
      </c>
      <c r="F635" s="2039">
        <f t="shared" ref="F635:L635" si="375">+F636+F637</f>
        <v>27220670</v>
      </c>
      <c r="G635" s="2039">
        <f t="shared" si="375"/>
        <v>26856601</v>
      </c>
      <c r="H635" s="2039">
        <f t="shared" si="375"/>
        <v>26265000</v>
      </c>
      <c r="I635" s="2039">
        <f t="shared" si="375"/>
        <v>26915098</v>
      </c>
      <c r="J635" s="2040">
        <f t="shared" si="375"/>
        <v>0</v>
      </c>
      <c r="K635" s="2040">
        <f t="shared" si="375"/>
        <v>0</v>
      </c>
      <c r="L635" s="2040">
        <f t="shared" si="375"/>
        <v>0</v>
      </c>
      <c r="M635" s="563">
        <f>+M636+M637</f>
        <v>107257369</v>
      </c>
      <c r="N635" s="563">
        <f>+N636+N637</f>
        <v>80036699</v>
      </c>
      <c r="O635" s="3621"/>
    </row>
    <row r="636" spans="1:16" s="813" customFormat="1" ht="14.25" customHeight="1">
      <c r="A636" s="3618"/>
      <c r="B636" s="1294" t="s">
        <v>12</v>
      </c>
      <c r="C636" s="3709"/>
      <c r="D636" s="239">
        <f>E636+F636+G636+H636+I636+J636+K636+L636</f>
        <v>58213641</v>
      </c>
      <c r="E636" s="275">
        <v>0</v>
      </c>
      <c r="F636" s="2054">
        <f>24142831+86188+3000000-23425991-8349</f>
        <v>3794679</v>
      </c>
      <c r="G636" s="2054">
        <f>26856601-25617737</f>
        <v>1238864</v>
      </c>
      <c r="H636" s="2054">
        <v>26265000</v>
      </c>
      <c r="I636" s="2054">
        <v>26915098</v>
      </c>
      <c r="J636" s="2041">
        <v>0</v>
      </c>
      <c r="K636" s="2041">
        <v>0</v>
      </c>
      <c r="L636" s="2041">
        <v>0</v>
      </c>
      <c r="M636" s="862">
        <f>SUM(F636:K636)</f>
        <v>58213641</v>
      </c>
      <c r="N636" s="862">
        <f>SUM(G636:L636)</f>
        <v>54418962</v>
      </c>
      <c r="O636" s="3621"/>
    </row>
    <row r="637" spans="1:16" s="813" customFormat="1" ht="14.25" customHeight="1">
      <c r="A637" s="3618"/>
      <c r="B637" s="1294" t="s">
        <v>78</v>
      </c>
      <c r="C637" s="3710"/>
      <c r="D637" s="1458">
        <f>E637+F637+G637+H637+I637+J637+K637+L637</f>
        <v>49043728</v>
      </c>
      <c r="E637" s="275">
        <v>0</v>
      </c>
      <c r="F637" s="2054">
        <f>23425991</f>
        <v>23425991</v>
      </c>
      <c r="G637" s="2054">
        <v>25617737</v>
      </c>
      <c r="H637" s="2041">
        <v>0</v>
      </c>
      <c r="I637" s="2041">
        <v>0</v>
      </c>
      <c r="J637" s="2041">
        <v>0</v>
      </c>
      <c r="K637" s="2041">
        <v>0</v>
      </c>
      <c r="L637" s="2041"/>
      <c r="M637" s="862">
        <f>SUM(F637:K637)</f>
        <v>49043728</v>
      </c>
      <c r="N637" s="862">
        <f>SUM(G637:L637)</f>
        <v>25617737</v>
      </c>
      <c r="O637" s="3638"/>
    </row>
    <row r="638" spans="1:16" s="813" customFormat="1" ht="14.25" customHeight="1">
      <c r="A638" s="3618"/>
      <c r="B638" s="80" t="s">
        <v>22</v>
      </c>
      <c r="C638" s="88"/>
      <c r="D638" s="3530">
        <f>+D639</f>
        <v>49043728</v>
      </c>
      <c r="E638" s="3530">
        <f t="shared" ref="E638:E639" si="376">+E639</f>
        <v>0</v>
      </c>
      <c r="F638" s="3530">
        <f t="shared" ref="F638:F639" si="377">+F639</f>
        <v>23425991</v>
      </c>
      <c r="G638" s="3530">
        <f t="shared" ref="G638:G639" si="378">+G639</f>
        <v>25617737</v>
      </c>
      <c r="H638" s="3169">
        <f t="shared" ref="H638:H639" si="379">+H639</f>
        <v>0</v>
      </c>
      <c r="I638" s="3169">
        <f t="shared" ref="I638:I639" si="380">+I639</f>
        <v>0</v>
      </c>
      <c r="J638" s="3169">
        <f t="shared" ref="J638:J639" si="381">+J639</f>
        <v>0</v>
      </c>
      <c r="K638" s="3169">
        <f t="shared" ref="K638:K639" si="382">+K639</f>
        <v>0</v>
      </c>
      <c r="L638" s="3169">
        <f t="shared" ref="L638:L639" si="383">+L639</f>
        <v>0</v>
      </c>
      <c r="M638" s="3828" t="s">
        <v>23</v>
      </c>
      <c r="N638" s="3828" t="s">
        <v>23</v>
      </c>
      <c r="O638" s="3829" t="s">
        <v>102</v>
      </c>
    </row>
    <row r="639" spans="1:16" s="813" customFormat="1" ht="14.25" customHeight="1">
      <c r="A639" s="3618"/>
      <c r="B639" s="167" t="s">
        <v>24</v>
      </c>
      <c r="C639" s="3648" t="s">
        <v>84</v>
      </c>
      <c r="D639" s="123">
        <f>+D640</f>
        <v>49043728</v>
      </c>
      <c r="E639" s="123">
        <f t="shared" si="376"/>
        <v>0</v>
      </c>
      <c r="F639" s="123">
        <f t="shared" si="377"/>
        <v>23425991</v>
      </c>
      <c r="G639" s="123">
        <f t="shared" si="378"/>
        <v>25617737</v>
      </c>
      <c r="H639" s="282">
        <f t="shared" si="379"/>
        <v>0</v>
      </c>
      <c r="I639" s="282">
        <f t="shared" si="380"/>
        <v>0</v>
      </c>
      <c r="J639" s="282">
        <f t="shared" si="381"/>
        <v>0</v>
      </c>
      <c r="K639" s="282">
        <f t="shared" si="382"/>
        <v>0</v>
      </c>
      <c r="L639" s="282">
        <f t="shared" si="383"/>
        <v>0</v>
      </c>
      <c r="M639" s="3672"/>
      <c r="N639" s="3672"/>
      <c r="O639" s="3621"/>
    </row>
    <row r="640" spans="1:16" s="813" customFormat="1" ht="14.25" customHeight="1" thickBot="1">
      <c r="A640" s="3619"/>
      <c r="B640" s="421" t="s">
        <v>78</v>
      </c>
      <c r="C640" s="3702"/>
      <c r="D640" s="239">
        <f>E640+F640+G640+H640+I640+J640+K640+L640</f>
        <v>49043728</v>
      </c>
      <c r="E640" s="275">
        <v>0</v>
      </c>
      <c r="F640" s="1179">
        <f>23425991</f>
        <v>23425991</v>
      </c>
      <c r="G640" s="1179">
        <v>25617737</v>
      </c>
      <c r="H640" s="295">
        <v>0</v>
      </c>
      <c r="I640" s="295">
        <v>0</v>
      </c>
      <c r="J640" s="295">
        <v>0</v>
      </c>
      <c r="K640" s="295">
        <v>0</v>
      </c>
      <c r="L640" s="295">
        <v>0</v>
      </c>
      <c r="M640" s="3673"/>
      <c r="N640" s="3673"/>
      <c r="O640" s="3622"/>
    </row>
    <row r="641" spans="1:16" s="813" customFormat="1" ht="15.75" customHeight="1">
      <c r="A641" s="3617" t="s">
        <v>90</v>
      </c>
      <c r="B641" s="273" t="s">
        <v>290</v>
      </c>
      <c r="C641" s="56" t="s">
        <v>81</v>
      </c>
      <c r="D641" s="3162"/>
      <c r="E641" s="3160"/>
      <c r="F641" s="3161"/>
      <c r="G641" s="3161"/>
      <c r="H641" s="3161"/>
      <c r="I641" s="3161"/>
      <c r="J641" s="3161"/>
      <c r="K641" s="3161"/>
      <c r="L641" s="41"/>
      <c r="M641" s="43"/>
      <c r="N641" s="43"/>
      <c r="O641" s="3620" t="s">
        <v>86</v>
      </c>
    </row>
    <row r="642" spans="1:16" s="813" customFormat="1" ht="12.75" customHeight="1">
      <c r="A642" s="3618"/>
      <c r="B642" s="581" t="s">
        <v>10</v>
      </c>
      <c r="C642" s="1499"/>
      <c r="D642" s="1500">
        <f>+D643</f>
        <v>120226025</v>
      </c>
      <c r="E642" s="1500">
        <f t="shared" ref="E642:I642" si="384">+E643</f>
        <v>0</v>
      </c>
      <c r="F642" s="1500">
        <f t="shared" si="384"/>
        <v>24291326</v>
      </c>
      <c r="G642" s="1500">
        <f t="shared" si="384"/>
        <v>34104699</v>
      </c>
      <c r="H642" s="1500">
        <f t="shared" si="384"/>
        <v>30550000</v>
      </c>
      <c r="I642" s="1500">
        <f t="shared" si="384"/>
        <v>31280000</v>
      </c>
      <c r="J642" s="1505">
        <v>0</v>
      </c>
      <c r="K642" s="1505">
        <v>0</v>
      </c>
      <c r="L642" s="1505">
        <v>0</v>
      </c>
      <c r="M642" s="1413">
        <f>+M643</f>
        <v>120226025</v>
      </c>
      <c r="N642" s="1413">
        <f>+N643</f>
        <v>95934699</v>
      </c>
      <c r="O642" s="3621"/>
      <c r="P642" s="812"/>
    </row>
    <row r="643" spans="1:16" s="813" customFormat="1" ht="12.75" customHeight="1">
      <c r="A643" s="3618"/>
      <c r="B643" s="555" t="s">
        <v>24</v>
      </c>
      <c r="C643" s="3708" t="s">
        <v>84</v>
      </c>
      <c r="D643" s="1501">
        <f>+D644+D645</f>
        <v>120226025</v>
      </c>
      <c r="E643" s="1501">
        <f t="shared" ref="E643" si="385">+E644+E645</f>
        <v>0</v>
      </c>
      <c r="F643" s="1501">
        <f t="shared" ref="F643:L643" si="386">+F644+F645</f>
        <v>24291326</v>
      </c>
      <c r="G643" s="1501">
        <f t="shared" si="386"/>
        <v>34104699</v>
      </c>
      <c r="H643" s="1501">
        <f t="shared" si="386"/>
        <v>30550000</v>
      </c>
      <c r="I643" s="1501">
        <f t="shared" si="386"/>
        <v>31280000</v>
      </c>
      <c r="J643" s="1503">
        <f t="shared" si="386"/>
        <v>0</v>
      </c>
      <c r="K643" s="1503">
        <f t="shared" si="386"/>
        <v>0</v>
      </c>
      <c r="L643" s="1503">
        <f t="shared" si="386"/>
        <v>0</v>
      </c>
      <c r="M643" s="1480">
        <f>+M644+M645</f>
        <v>120226025</v>
      </c>
      <c r="N643" s="1480">
        <f>+N644+N645</f>
        <v>95934699</v>
      </c>
      <c r="O643" s="3621"/>
    </row>
    <row r="644" spans="1:16" s="813" customFormat="1" ht="12">
      <c r="A644" s="3618"/>
      <c r="B644" s="1294" t="s">
        <v>12</v>
      </c>
      <c r="C644" s="3709"/>
      <c r="D644" s="1406">
        <f>E644+F644+G644+H644+I644+J644+K644+L644</f>
        <v>116262674</v>
      </c>
      <c r="E644" s="1453">
        <v>0</v>
      </c>
      <c r="F644" s="1491">
        <f>22110000-674</f>
        <v>22109326</v>
      </c>
      <c r="G644" s="1491">
        <f>29200000+3123348</f>
        <v>32323348</v>
      </c>
      <c r="H644" s="1491">
        <v>30550000</v>
      </c>
      <c r="I644" s="1491">
        <v>31280000</v>
      </c>
      <c r="J644" s="1436">
        <v>0</v>
      </c>
      <c r="K644" s="1436">
        <v>0</v>
      </c>
      <c r="L644" s="1436">
        <v>0</v>
      </c>
      <c r="M644" s="862">
        <f>SUM(F644:K644)</f>
        <v>116262674</v>
      </c>
      <c r="N644" s="862">
        <f>SUM(G644:L644)</f>
        <v>94153348</v>
      </c>
      <c r="O644" s="3621"/>
    </row>
    <row r="645" spans="1:16" s="813" customFormat="1" ht="13.5" customHeight="1">
      <c r="A645" s="3618"/>
      <c r="B645" s="2087" t="s">
        <v>114</v>
      </c>
      <c r="C645" s="3710"/>
      <c r="D645" s="1406">
        <f>E645+F645+G645+H645+I645+J645+K645+L645</f>
        <v>3963351</v>
      </c>
      <c r="E645" s="1453">
        <v>0</v>
      </c>
      <c r="F645" s="1491">
        <f>5000+1565000+235000+335000+53000+30000+200000-241000</f>
        <v>2182000</v>
      </c>
      <c r="G645" s="1491">
        <f>550000+325000+906351</f>
        <v>1781351</v>
      </c>
      <c r="H645" s="447">
        <v>0</v>
      </c>
      <c r="I645" s="447">
        <v>0</v>
      </c>
      <c r="J645" s="447">
        <v>0</v>
      </c>
      <c r="K645" s="447">
        <v>0</v>
      </c>
      <c r="L645" s="447">
        <v>0</v>
      </c>
      <c r="M645" s="862">
        <f>SUM(F645:K645)</f>
        <v>3963351</v>
      </c>
      <c r="N645" s="862">
        <f>SUM(G645:L645)</f>
        <v>1781351</v>
      </c>
      <c r="O645" s="3621"/>
    </row>
    <row r="646" spans="1:16" s="813" customFormat="1" ht="12.75" customHeight="1">
      <c r="A646" s="3618"/>
      <c r="B646" s="581" t="s">
        <v>22</v>
      </c>
      <c r="C646" s="1499"/>
      <c r="D646" s="1412">
        <f>+D647</f>
        <v>3963351</v>
      </c>
      <c r="E646" s="3531">
        <f t="shared" ref="E646" si="387">+E647</f>
        <v>0</v>
      </c>
      <c r="F646" s="1500">
        <f>+F647</f>
        <v>2182000</v>
      </c>
      <c r="G646" s="1500">
        <f>+G647</f>
        <v>1781351</v>
      </c>
      <c r="H646" s="1505">
        <v>0</v>
      </c>
      <c r="I646" s="1505">
        <v>0</v>
      </c>
      <c r="J646" s="1505">
        <v>0</v>
      </c>
      <c r="K646" s="1505">
        <v>0</v>
      </c>
      <c r="L646" s="1505">
        <v>0</v>
      </c>
      <c r="M646" s="3671" t="s">
        <v>23</v>
      </c>
      <c r="N646" s="3671" t="s">
        <v>23</v>
      </c>
      <c r="O646" s="3621"/>
    </row>
    <row r="647" spans="1:16" s="813" customFormat="1" ht="13.5" customHeight="1">
      <c r="A647" s="3618"/>
      <c r="B647" s="555" t="s">
        <v>24</v>
      </c>
      <c r="C647" s="3655" t="s">
        <v>84</v>
      </c>
      <c r="D647" s="1490">
        <f>+D648</f>
        <v>3963351</v>
      </c>
      <c r="E647" s="1501">
        <f>+E648</f>
        <v>0</v>
      </c>
      <c r="F647" s="1501">
        <f>+F648</f>
        <v>2182000</v>
      </c>
      <c r="G647" s="1501">
        <f>+G648</f>
        <v>1781351</v>
      </c>
      <c r="H647" s="1503">
        <v>0</v>
      </c>
      <c r="I647" s="1503">
        <v>0</v>
      </c>
      <c r="J647" s="1503">
        <v>0</v>
      </c>
      <c r="K647" s="1503">
        <v>0</v>
      </c>
      <c r="L647" s="1503">
        <v>0</v>
      </c>
      <c r="M647" s="3672"/>
      <c r="N647" s="3672"/>
      <c r="O647" s="3621"/>
    </row>
    <row r="648" spans="1:16" s="813" customFormat="1" ht="13.5" customHeight="1" thickBot="1">
      <c r="A648" s="3619"/>
      <c r="B648" s="344" t="s">
        <v>114</v>
      </c>
      <c r="C648" s="3657"/>
      <c r="D648" s="833">
        <f>E648+F648+G648+H648+I648+J648+K648+L648</f>
        <v>3963351</v>
      </c>
      <c r="E648" s="833">
        <v>0</v>
      </c>
      <c r="F648" s="3532">
        <f>5000+1565000+235000+335000+53000+30000+200000-241000</f>
        <v>2182000</v>
      </c>
      <c r="G648" s="1491">
        <f>550000+325000+906351</f>
        <v>1781351</v>
      </c>
      <c r="H648" s="873">
        <v>0</v>
      </c>
      <c r="I648" s="873">
        <v>0</v>
      </c>
      <c r="J648" s="873">
        <v>0</v>
      </c>
      <c r="K648" s="873">
        <v>0</v>
      </c>
      <c r="L648" s="873">
        <v>0</v>
      </c>
      <c r="M648" s="3673"/>
      <c r="N648" s="3673"/>
      <c r="O648" s="3622"/>
    </row>
    <row r="649" spans="1:16" s="813" customFormat="1" ht="12.75" customHeight="1">
      <c r="A649" s="3617" t="s">
        <v>91</v>
      </c>
      <c r="B649" s="273" t="s">
        <v>336</v>
      </c>
      <c r="C649" s="1531" t="s">
        <v>81</v>
      </c>
      <c r="D649" s="3162"/>
      <c r="E649" s="3160"/>
      <c r="F649" s="3161"/>
      <c r="G649" s="3161"/>
      <c r="H649" s="3161"/>
      <c r="I649" s="3161"/>
      <c r="J649" s="3161"/>
      <c r="K649" s="3161"/>
      <c r="L649" s="41"/>
      <c r="M649" s="3533"/>
      <c r="N649" s="3533"/>
      <c r="O649" s="3620" t="s">
        <v>86</v>
      </c>
    </row>
    <row r="650" spans="1:16" s="813" customFormat="1" ht="12.75" customHeight="1">
      <c r="A650" s="3618"/>
      <c r="B650" s="2440" t="s">
        <v>10</v>
      </c>
      <c r="C650" s="654"/>
      <c r="D650" s="122">
        <f>+D651</f>
        <v>3000000</v>
      </c>
      <c r="E650" s="122">
        <f t="shared" ref="E650:I651" si="388">+E651</f>
        <v>0</v>
      </c>
      <c r="F650" s="122">
        <f t="shared" si="388"/>
        <v>0</v>
      </c>
      <c r="G650" s="122">
        <f t="shared" si="388"/>
        <v>3000000</v>
      </c>
      <c r="H650" s="122">
        <f t="shared" si="388"/>
        <v>0</v>
      </c>
      <c r="I650" s="122">
        <f t="shared" si="388"/>
        <v>0</v>
      </c>
      <c r="J650" s="281">
        <v>0</v>
      </c>
      <c r="K650" s="281">
        <v>0</v>
      </c>
      <c r="L650" s="281">
        <v>0</v>
      </c>
      <c r="M650" s="2109">
        <f>+M651</f>
        <v>3000000</v>
      </c>
      <c r="N650" s="2109">
        <f>+N651</f>
        <v>3000000</v>
      </c>
      <c r="O650" s="3621"/>
      <c r="P650" s="812"/>
    </row>
    <row r="651" spans="1:16" s="813" customFormat="1" ht="12.75" customHeight="1">
      <c r="A651" s="3618"/>
      <c r="B651" s="2478" t="s">
        <v>24</v>
      </c>
      <c r="C651" s="3688" t="s">
        <v>84</v>
      </c>
      <c r="D651" s="123">
        <f>+D652</f>
        <v>3000000</v>
      </c>
      <c r="E651" s="123">
        <f t="shared" si="388"/>
        <v>0</v>
      </c>
      <c r="F651" s="123">
        <f t="shared" si="388"/>
        <v>0</v>
      </c>
      <c r="G651" s="123">
        <f t="shared" si="388"/>
        <v>3000000</v>
      </c>
      <c r="H651" s="123">
        <f t="shared" si="388"/>
        <v>0</v>
      </c>
      <c r="I651" s="123">
        <f t="shared" si="388"/>
        <v>0</v>
      </c>
      <c r="J651" s="282">
        <v>0</v>
      </c>
      <c r="K651" s="282">
        <v>0</v>
      </c>
      <c r="L651" s="282">
        <v>0</v>
      </c>
      <c r="M651" s="77">
        <f>+M652</f>
        <v>3000000</v>
      </c>
      <c r="N651" s="77">
        <f>+N652</f>
        <v>3000000</v>
      </c>
      <c r="O651" s="3621"/>
    </row>
    <row r="652" spans="1:16" s="813" customFormat="1" ht="13.5" customHeight="1">
      <c r="A652" s="3618"/>
      <c r="B652" s="3524" t="s">
        <v>12</v>
      </c>
      <c r="C652" s="3688"/>
      <c r="D652" s="275">
        <f>E652+F652+G652+H652+I652+J652+K652+L652</f>
        <v>3000000</v>
      </c>
      <c r="E652" s="275">
        <v>0</v>
      </c>
      <c r="F652" s="84">
        <v>0</v>
      </c>
      <c r="G652" s="84">
        <v>3000000</v>
      </c>
      <c r="H652" s="84"/>
      <c r="I652" s="84"/>
      <c r="J652" s="274">
        <v>0</v>
      </c>
      <c r="K652" s="274">
        <v>0</v>
      </c>
      <c r="L652" s="274">
        <v>0</v>
      </c>
      <c r="M652" s="34">
        <f>SUM(F652:K652)</f>
        <v>3000000</v>
      </c>
      <c r="N652" s="34">
        <f>SUM(G652:L652)</f>
        <v>3000000</v>
      </c>
      <c r="O652" s="3621"/>
    </row>
    <row r="653" spans="1:16" s="813" customFormat="1" ht="12.75" customHeight="1">
      <c r="A653" s="3618"/>
      <c r="B653" s="2440" t="s">
        <v>22</v>
      </c>
      <c r="C653" s="654"/>
      <c r="D653" s="2108">
        <f>+E653+F653+G653</f>
        <v>1747300</v>
      </c>
      <c r="E653" s="1237"/>
      <c r="F653" s="122"/>
      <c r="G653" s="122">
        <f>+G654</f>
        <v>1747300</v>
      </c>
      <c r="H653" s="281"/>
      <c r="I653" s="281"/>
      <c r="J653" s="281"/>
      <c r="K653" s="281"/>
      <c r="L653" s="281"/>
      <c r="M653" s="3832"/>
      <c r="N653" s="3832"/>
      <c r="O653" s="3621"/>
    </row>
    <row r="654" spans="1:16" s="813" customFormat="1" ht="12.75" customHeight="1">
      <c r="A654" s="3618"/>
      <c r="B654" s="2478" t="s">
        <v>24</v>
      </c>
      <c r="C654" s="3834"/>
      <c r="D654" s="64">
        <f>+E654+F654+G654</f>
        <v>1747300</v>
      </c>
      <c r="E654" s="123"/>
      <c r="F654" s="123"/>
      <c r="G654" s="123">
        <f>+G655</f>
        <v>1747300</v>
      </c>
      <c r="H654" s="282"/>
      <c r="I654" s="282"/>
      <c r="J654" s="282"/>
      <c r="K654" s="282"/>
      <c r="L654" s="282"/>
      <c r="M654" s="3832"/>
      <c r="N654" s="3832"/>
      <c r="O654" s="3621"/>
    </row>
    <row r="655" spans="1:16" s="813" customFormat="1" ht="13.5" customHeight="1" thickBot="1">
      <c r="A655" s="3618"/>
      <c r="B655" s="418" t="s">
        <v>265</v>
      </c>
      <c r="C655" s="3835"/>
      <c r="D655" s="2283">
        <f>+E655+F655+G655</f>
        <v>1747300</v>
      </c>
      <c r="E655" s="2283"/>
      <c r="F655" s="2485"/>
      <c r="G655" s="2485">
        <v>1747300</v>
      </c>
      <c r="H655" s="2481"/>
      <c r="I655" s="2481"/>
      <c r="J655" s="2481"/>
      <c r="K655" s="2481"/>
      <c r="L655" s="2481"/>
      <c r="M655" s="3833"/>
      <c r="N655" s="3833"/>
      <c r="O655" s="3622"/>
    </row>
    <row r="656" spans="1:16" s="813" customFormat="1" ht="17.25" customHeight="1">
      <c r="A656" s="3617" t="s">
        <v>92</v>
      </c>
      <c r="B656" s="273" t="s">
        <v>363</v>
      </c>
      <c r="C656" s="56" t="s">
        <v>81</v>
      </c>
      <c r="D656" s="3162"/>
      <c r="E656" s="3161"/>
      <c r="F656" s="3161"/>
      <c r="G656" s="3161"/>
      <c r="H656" s="3161"/>
      <c r="I656" s="3161"/>
      <c r="J656" s="3161"/>
      <c r="K656" s="3161"/>
      <c r="L656" s="41"/>
      <c r="M656" s="43"/>
      <c r="N656" s="43"/>
      <c r="O656" s="3620" t="s">
        <v>86</v>
      </c>
    </row>
    <row r="657" spans="1:15" s="813" customFormat="1" ht="12">
      <c r="A657" s="3618"/>
      <c r="B657" s="581" t="s">
        <v>10</v>
      </c>
      <c r="C657" s="1475"/>
      <c r="D657" s="1500">
        <f>+D658</f>
        <v>29999995</v>
      </c>
      <c r="E657" s="1500">
        <f t="shared" ref="E657:L658" si="389">+E658</f>
        <v>0</v>
      </c>
      <c r="F657" s="1500">
        <f t="shared" si="389"/>
        <v>9999995</v>
      </c>
      <c r="G657" s="1500">
        <f t="shared" si="389"/>
        <v>10000000</v>
      </c>
      <c r="H657" s="1500">
        <f t="shared" si="389"/>
        <v>10000000</v>
      </c>
      <c r="I657" s="1500">
        <f t="shared" si="389"/>
        <v>0</v>
      </c>
      <c r="J657" s="1500">
        <f t="shared" si="389"/>
        <v>0</v>
      </c>
      <c r="K657" s="1500">
        <f t="shared" si="389"/>
        <v>0</v>
      </c>
      <c r="L657" s="1500">
        <f t="shared" si="389"/>
        <v>0</v>
      </c>
      <c r="M657" s="1477">
        <f>+M658</f>
        <v>29999995</v>
      </c>
      <c r="N657" s="1477">
        <f>+N658</f>
        <v>20000000</v>
      </c>
      <c r="O657" s="3621"/>
    </row>
    <row r="658" spans="1:15" s="813" customFormat="1" ht="12">
      <c r="A658" s="3618"/>
      <c r="B658" s="555" t="s">
        <v>24</v>
      </c>
      <c r="C658" s="3655" t="s">
        <v>84</v>
      </c>
      <c r="D658" s="1501">
        <f>+D659</f>
        <v>29999995</v>
      </c>
      <c r="E658" s="1501">
        <f t="shared" si="389"/>
        <v>0</v>
      </c>
      <c r="F658" s="1501">
        <f t="shared" si="389"/>
        <v>9999995</v>
      </c>
      <c r="G658" s="1501">
        <f t="shared" si="389"/>
        <v>10000000</v>
      </c>
      <c r="H658" s="1501">
        <f t="shared" si="389"/>
        <v>10000000</v>
      </c>
      <c r="I658" s="1501">
        <f t="shared" si="389"/>
        <v>0</v>
      </c>
      <c r="J658" s="1501">
        <f t="shared" si="389"/>
        <v>0</v>
      </c>
      <c r="K658" s="1501">
        <f t="shared" si="389"/>
        <v>0</v>
      </c>
      <c r="L658" s="1501">
        <f t="shared" si="389"/>
        <v>0</v>
      </c>
      <c r="M658" s="1480">
        <f>+M659</f>
        <v>29999995</v>
      </c>
      <c r="N658" s="1480">
        <f>+N659</f>
        <v>20000000</v>
      </c>
      <c r="O658" s="3621"/>
    </row>
    <row r="659" spans="1:15" s="813" customFormat="1" thickBot="1">
      <c r="A659" s="3619"/>
      <c r="B659" s="418" t="s">
        <v>12</v>
      </c>
      <c r="C659" s="3647"/>
      <c r="D659" s="1766">
        <f>E659+F659+G659+H659+I659+J659+K659+L659</f>
        <v>29999995</v>
      </c>
      <c r="E659" s="1766">
        <v>0</v>
      </c>
      <c r="F659" s="1793">
        <f>10000000-5</f>
        <v>9999995</v>
      </c>
      <c r="G659" s="1793">
        <v>10000000</v>
      </c>
      <c r="H659" s="1793">
        <v>10000000</v>
      </c>
      <c r="I659" s="1793"/>
      <c r="J659" s="2088"/>
      <c r="K659" s="1830"/>
      <c r="L659" s="1793"/>
      <c r="M659" s="1795">
        <f>SUM(F659:K659)</f>
        <v>29999995</v>
      </c>
      <c r="N659" s="1795">
        <f>SUM(G659:L659)</f>
        <v>20000000</v>
      </c>
      <c r="O659" s="3622"/>
    </row>
    <row r="661" spans="1:15" hidden="1">
      <c r="B661" s="226" t="s">
        <v>350</v>
      </c>
    </row>
    <row r="662" spans="1:15" hidden="1">
      <c r="B662" s="226" t="s">
        <v>351</v>
      </c>
      <c r="D662" s="426">
        <f>D431+D446</f>
        <v>799122</v>
      </c>
      <c r="E662" s="426">
        <f t="shared" ref="E662:M662" si="390">E431+E446</f>
        <v>0</v>
      </c>
      <c r="F662" s="426">
        <f t="shared" si="390"/>
        <v>45734</v>
      </c>
      <c r="G662" s="426">
        <f t="shared" si="390"/>
        <v>259104</v>
      </c>
      <c r="H662" s="426">
        <f t="shared" si="390"/>
        <v>341780</v>
      </c>
      <c r="I662" s="426">
        <f t="shared" si="390"/>
        <v>152504</v>
      </c>
      <c r="J662" s="426">
        <f t="shared" si="390"/>
        <v>0</v>
      </c>
      <c r="K662" s="426">
        <f t="shared" si="390"/>
        <v>0</v>
      </c>
      <c r="L662" s="426">
        <f t="shared" si="390"/>
        <v>0</v>
      </c>
      <c r="M662" s="426" t="e">
        <f t="shared" si="390"/>
        <v>#VALUE!</v>
      </c>
    </row>
    <row r="663" spans="1:15" hidden="1">
      <c r="B663" s="226" t="s">
        <v>352</v>
      </c>
      <c r="D663" s="426">
        <f t="shared" ref="D663:M663" si="391">D22-D431-D446</f>
        <v>765023813</v>
      </c>
      <c r="E663" s="426">
        <f t="shared" si="391"/>
        <v>34852146</v>
      </c>
      <c r="F663" s="426">
        <f t="shared" si="391"/>
        <v>178866458</v>
      </c>
      <c r="G663" s="426">
        <f t="shared" si="391"/>
        <v>273369975</v>
      </c>
      <c r="H663" s="426">
        <f t="shared" si="391"/>
        <v>153548454</v>
      </c>
      <c r="I663" s="426">
        <f t="shared" si="391"/>
        <v>96969412</v>
      </c>
      <c r="J663" s="426">
        <f t="shared" si="391"/>
        <v>27417368</v>
      </c>
      <c r="K663" s="426">
        <f t="shared" si="391"/>
        <v>0</v>
      </c>
      <c r="L663" s="426">
        <f t="shared" si="391"/>
        <v>0</v>
      </c>
      <c r="M663" s="426" t="e">
        <f t="shared" si="391"/>
        <v>#VALUE!</v>
      </c>
    </row>
    <row r="664" spans="1:15" hidden="1">
      <c r="B664" s="226" t="s">
        <v>353</v>
      </c>
      <c r="D664" s="877">
        <f>D662+D663</f>
        <v>765822935</v>
      </c>
      <c r="E664" s="877">
        <f t="shared" ref="E664:L664" si="392">E662+E663</f>
        <v>34852146</v>
      </c>
      <c r="F664" s="877">
        <f t="shared" si="392"/>
        <v>178912192</v>
      </c>
      <c r="G664" s="877">
        <f t="shared" si="392"/>
        <v>273629079</v>
      </c>
      <c r="H664" s="877">
        <f t="shared" si="392"/>
        <v>153890234</v>
      </c>
      <c r="I664" s="877">
        <f t="shared" si="392"/>
        <v>97121916</v>
      </c>
      <c r="J664" s="877">
        <f t="shared" si="392"/>
        <v>27417368</v>
      </c>
      <c r="K664" s="877">
        <f t="shared" si="392"/>
        <v>0</v>
      </c>
      <c r="L664" s="877">
        <f t="shared" si="392"/>
        <v>0</v>
      </c>
    </row>
    <row r="665" spans="1:15" s="738" customFormat="1" hidden="1">
      <c r="B665" s="738" t="s">
        <v>42</v>
      </c>
      <c r="D665" s="735">
        <f t="shared" ref="D665:L665" si="393">D22-D664</f>
        <v>0</v>
      </c>
      <c r="E665" s="735">
        <f t="shared" si="393"/>
        <v>0</v>
      </c>
      <c r="F665" s="735">
        <f t="shared" si="393"/>
        <v>0</v>
      </c>
      <c r="G665" s="735">
        <f t="shared" si="393"/>
        <v>0</v>
      </c>
      <c r="H665" s="735">
        <f t="shared" si="393"/>
        <v>0</v>
      </c>
      <c r="I665" s="735">
        <f t="shared" si="393"/>
        <v>0</v>
      </c>
      <c r="J665" s="735">
        <f t="shared" si="393"/>
        <v>0</v>
      </c>
      <c r="K665" s="735">
        <f t="shared" si="393"/>
        <v>0</v>
      </c>
      <c r="L665" s="735">
        <f t="shared" si="393"/>
        <v>0</v>
      </c>
    </row>
    <row r="666" spans="1:15" hidden="1"/>
    <row r="667" spans="1:15" hidden="1"/>
    <row r="668" spans="1:15" hidden="1">
      <c r="B668" s="226" t="s">
        <v>419</v>
      </c>
    </row>
    <row r="669" spans="1:15" hidden="1">
      <c r="B669" s="226" t="s">
        <v>351</v>
      </c>
      <c r="D669" s="426">
        <f>D531+D593+D566+D638</f>
        <v>220768652</v>
      </c>
      <c r="E669" s="426">
        <f t="shared" ref="E669:L669" si="394">E531+E593+E566+E638</f>
        <v>56644776</v>
      </c>
      <c r="F669" s="426">
        <f t="shared" si="394"/>
        <v>47273283</v>
      </c>
      <c r="G669" s="426">
        <f t="shared" si="394"/>
        <v>56739423</v>
      </c>
      <c r="H669" s="426">
        <f t="shared" si="394"/>
        <v>30055585</v>
      </c>
      <c r="I669" s="426">
        <f t="shared" si="394"/>
        <v>30055585</v>
      </c>
      <c r="J669" s="426">
        <f t="shared" si="394"/>
        <v>0</v>
      </c>
      <c r="K669" s="426">
        <f t="shared" si="394"/>
        <v>0</v>
      </c>
      <c r="L669" s="426">
        <f t="shared" si="394"/>
        <v>0</v>
      </c>
    </row>
    <row r="670" spans="1:15" hidden="1">
      <c r="B670" s="226" t="s">
        <v>352</v>
      </c>
      <c r="D670" s="426">
        <f>D543+D646+D653</f>
        <v>5710651</v>
      </c>
      <c r="E670" s="426">
        <f t="shared" ref="E670:L670" si="395">E543+E646+E653</f>
        <v>0</v>
      </c>
      <c r="F670" s="426">
        <f t="shared" si="395"/>
        <v>2182000</v>
      </c>
      <c r="G670" s="426">
        <f t="shared" si="395"/>
        <v>3528651</v>
      </c>
      <c r="H670" s="426">
        <f t="shared" si="395"/>
        <v>0</v>
      </c>
      <c r="I670" s="426">
        <f t="shared" si="395"/>
        <v>0</v>
      </c>
      <c r="J670" s="426">
        <f t="shared" si="395"/>
        <v>0</v>
      </c>
      <c r="K670" s="426">
        <f t="shared" si="395"/>
        <v>0</v>
      </c>
      <c r="L670" s="426">
        <f t="shared" si="395"/>
        <v>0</v>
      </c>
    </row>
    <row r="671" spans="1:15" hidden="1">
      <c r="B671" s="226" t="s">
        <v>353</v>
      </c>
      <c r="D671" s="877">
        <f>D669+D670</f>
        <v>226479303</v>
      </c>
      <c r="E671" s="877">
        <f t="shared" ref="E671:L671" si="396">E669+E670</f>
        <v>56644776</v>
      </c>
      <c r="F671" s="877">
        <f t="shared" si="396"/>
        <v>49455283</v>
      </c>
      <c r="G671" s="877">
        <f t="shared" si="396"/>
        <v>60268074</v>
      </c>
      <c r="H671" s="877">
        <f t="shared" si="396"/>
        <v>30055585</v>
      </c>
      <c r="I671" s="877">
        <f t="shared" si="396"/>
        <v>30055585</v>
      </c>
      <c r="J671" s="877">
        <f t="shared" si="396"/>
        <v>0</v>
      </c>
      <c r="K671" s="877">
        <f t="shared" si="396"/>
        <v>0</v>
      </c>
      <c r="L671" s="877">
        <f t="shared" si="396"/>
        <v>0</v>
      </c>
    </row>
    <row r="672" spans="1:15" s="738" customFormat="1" hidden="1">
      <c r="B672" s="738" t="s">
        <v>42</v>
      </c>
      <c r="D672" s="735">
        <f t="shared" ref="D672:L672" si="397">D520-D671</f>
        <v>0</v>
      </c>
      <c r="E672" s="735">
        <f t="shared" si="397"/>
        <v>0</v>
      </c>
      <c r="F672" s="735">
        <f t="shared" si="397"/>
        <v>0</v>
      </c>
      <c r="G672" s="735">
        <f t="shared" si="397"/>
        <v>0</v>
      </c>
      <c r="H672" s="735">
        <f t="shared" si="397"/>
        <v>0</v>
      </c>
      <c r="I672" s="735">
        <f t="shared" si="397"/>
        <v>0</v>
      </c>
      <c r="J672" s="735">
        <f t="shared" si="397"/>
        <v>0</v>
      </c>
      <c r="K672" s="735">
        <f t="shared" si="397"/>
        <v>0</v>
      </c>
      <c r="L672" s="735">
        <f t="shared" si="397"/>
        <v>0</v>
      </c>
    </row>
  </sheetData>
  <mergeCells count="369">
    <mergeCell ref="M653:M655"/>
    <mergeCell ref="N653:N655"/>
    <mergeCell ref="C654:C655"/>
    <mergeCell ref="A649:A655"/>
    <mergeCell ref="O649:O655"/>
    <mergeCell ref="A534:A537"/>
    <mergeCell ref="A501:A509"/>
    <mergeCell ref="C532:C533"/>
    <mergeCell ref="M498:M500"/>
    <mergeCell ref="M507:M509"/>
    <mergeCell ref="M520:M525"/>
    <mergeCell ref="M531:M533"/>
    <mergeCell ref="C508:C509"/>
    <mergeCell ref="A609:A616"/>
    <mergeCell ref="C615:C616"/>
    <mergeCell ref="A597:A600"/>
    <mergeCell ref="N614:N616"/>
    <mergeCell ref="O597:O600"/>
    <mergeCell ref="C603:C605"/>
    <mergeCell ref="A584:A587"/>
    <mergeCell ref="O581:O583"/>
    <mergeCell ref="C582:C583"/>
    <mergeCell ref="A538:A545"/>
    <mergeCell ref="O538:O545"/>
    <mergeCell ref="O271:O275"/>
    <mergeCell ref="C272:C275"/>
    <mergeCell ref="M368:M370"/>
    <mergeCell ref="M378:M382"/>
    <mergeCell ref="M389:M391"/>
    <mergeCell ref="N489:N491"/>
    <mergeCell ref="C417:C418"/>
    <mergeCell ref="O465:O481"/>
    <mergeCell ref="M431:M433"/>
    <mergeCell ref="O295:O299"/>
    <mergeCell ref="N333:N337"/>
    <mergeCell ref="C334:C337"/>
    <mergeCell ref="M307:M311"/>
    <mergeCell ref="M346:M350"/>
    <mergeCell ref="O419:O427"/>
    <mergeCell ref="O371:O377"/>
    <mergeCell ref="O638:O640"/>
    <mergeCell ref="N638:N640"/>
    <mergeCell ref="O588:O596"/>
    <mergeCell ref="N593:N596"/>
    <mergeCell ref="N606:N608"/>
    <mergeCell ref="M559:M561"/>
    <mergeCell ref="M566:M568"/>
    <mergeCell ref="O584:O587"/>
    <mergeCell ref="C586:C587"/>
    <mergeCell ref="M593:M596"/>
    <mergeCell ref="M606:M608"/>
    <mergeCell ref="M614:M616"/>
    <mergeCell ref="M574:M576"/>
    <mergeCell ref="O574:O576"/>
    <mergeCell ref="C607:C608"/>
    <mergeCell ref="M581:M583"/>
    <mergeCell ref="C564:C565"/>
    <mergeCell ref="N581:N583"/>
    <mergeCell ref="O577:O580"/>
    <mergeCell ref="C579:C580"/>
    <mergeCell ref="O609:O616"/>
    <mergeCell ref="O601:O608"/>
    <mergeCell ref="A656:A659"/>
    <mergeCell ref="O656:O659"/>
    <mergeCell ref="C658:C659"/>
    <mergeCell ref="C611:C613"/>
    <mergeCell ref="A601:A608"/>
    <mergeCell ref="C590:C591"/>
    <mergeCell ref="N646:N648"/>
    <mergeCell ref="A625:A628"/>
    <mergeCell ref="M646:M648"/>
    <mergeCell ref="C639:C640"/>
    <mergeCell ref="A633:A640"/>
    <mergeCell ref="C635:C637"/>
    <mergeCell ref="O633:O637"/>
    <mergeCell ref="M638:M640"/>
    <mergeCell ref="A629:A632"/>
    <mergeCell ref="O629:O632"/>
    <mergeCell ref="C631:C632"/>
    <mergeCell ref="O617:O620"/>
    <mergeCell ref="C619:C620"/>
    <mergeCell ref="A588:A596"/>
    <mergeCell ref="O625:O628"/>
    <mergeCell ref="C627:C628"/>
    <mergeCell ref="A617:A620"/>
    <mergeCell ref="C594:C596"/>
    <mergeCell ref="A240:A251"/>
    <mergeCell ref="C176:C179"/>
    <mergeCell ref="A228:A239"/>
    <mergeCell ref="O300:O311"/>
    <mergeCell ref="A288:A299"/>
    <mergeCell ref="A419:A433"/>
    <mergeCell ref="C421:C427"/>
    <mergeCell ref="N431:N433"/>
    <mergeCell ref="M407:M409"/>
    <mergeCell ref="M416:M418"/>
    <mergeCell ref="O407:O409"/>
    <mergeCell ref="C408:C409"/>
    <mergeCell ref="N416:N418"/>
    <mergeCell ref="C403:C406"/>
    <mergeCell ref="O252:O258"/>
    <mergeCell ref="O259:O263"/>
    <mergeCell ref="N398:N400"/>
    <mergeCell ref="C399:C400"/>
    <mergeCell ref="O338:O344"/>
    <mergeCell ref="O410:O415"/>
    <mergeCell ref="N295:N299"/>
    <mergeCell ref="N368:N370"/>
    <mergeCell ref="A252:A263"/>
    <mergeCell ref="C254:C258"/>
    <mergeCell ref="M259:M263"/>
    <mergeCell ref="N259:N263"/>
    <mergeCell ref="C260:C263"/>
    <mergeCell ref="C490:C491"/>
    <mergeCell ref="N378:N382"/>
    <mergeCell ref="M295:M299"/>
    <mergeCell ref="M333:M337"/>
    <mergeCell ref="M489:M491"/>
    <mergeCell ref="C467:C470"/>
    <mergeCell ref="C296:C299"/>
    <mergeCell ref="C302:C306"/>
    <mergeCell ref="N307:N311"/>
    <mergeCell ref="C412:C415"/>
    <mergeCell ref="N446:N448"/>
    <mergeCell ref="C385:C388"/>
    <mergeCell ref="M446:M448"/>
    <mergeCell ref="M458:M464"/>
    <mergeCell ref="M474:M482"/>
    <mergeCell ref="C436:C442"/>
    <mergeCell ref="C447:C448"/>
    <mergeCell ref="N271:N275"/>
    <mergeCell ref="C432:C433"/>
    <mergeCell ref="C475:C482"/>
    <mergeCell ref="A276:A287"/>
    <mergeCell ref="O276:O282"/>
    <mergeCell ref="C278:C282"/>
    <mergeCell ref="M283:M287"/>
    <mergeCell ref="N283:N287"/>
    <mergeCell ref="O283:O287"/>
    <mergeCell ref="A264:A275"/>
    <mergeCell ref="A156:A167"/>
    <mergeCell ref="A392:A400"/>
    <mergeCell ref="C394:C397"/>
    <mergeCell ref="N389:N391"/>
    <mergeCell ref="C390:C391"/>
    <mergeCell ref="A300:A311"/>
    <mergeCell ref="C373:C377"/>
    <mergeCell ref="A326:A337"/>
    <mergeCell ref="C328:C332"/>
    <mergeCell ref="A204:A215"/>
    <mergeCell ref="A192:A203"/>
    <mergeCell ref="A180:A191"/>
    <mergeCell ref="M398:M400"/>
    <mergeCell ref="M357:M359"/>
    <mergeCell ref="C314:C319"/>
    <mergeCell ref="C321:C325"/>
    <mergeCell ref="C379:C382"/>
    <mergeCell ref="M187:M191"/>
    <mergeCell ref="M163:M167"/>
    <mergeCell ref="A362:A370"/>
    <mergeCell ref="C369:C370"/>
    <mergeCell ref="A371:A382"/>
    <mergeCell ref="O228:O234"/>
    <mergeCell ref="C230:C234"/>
    <mergeCell ref="N175:N179"/>
    <mergeCell ref="C290:C294"/>
    <mergeCell ref="C236:C239"/>
    <mergeCell ref="C206:C210"/>
    <mergeCell ref="O193:O198"/>
    <mergeCell ref="C194:C198"/>
    <mergeCell ref="N199:N203"/>
    <mergeCell ref="O199:O203"/>
    <mergeCell ref="O187:O191"/>
    <mergeCell ref="M211:M215"/>
    <mergeCell ref="O181:O186"/>
    <mergeCell ref="C182:C186"/>
    <mergeCell ref="N187:N191"/>
    <mergeCell ref="N235:N239"/>
    <mergeCell ref="N211:N215"/>
    <mergeCell ref="C284:C287"/>
    <mergeCell ref="M175:M179"/>
    <mergeCell ref="M199:M203"/>
    <mergeCell ref="M223:M227"/>
    <mergeCell ref="O264:O270"/>
    <mergeCell ref="C266:C270"/>
    <mergeCell ref="M271:M275"/>
    <mergeCell ref="A3:O3"/>
    <mergeCell ref="C5:C6"/>
    <mergeCell ref="D5:D6"/>
    <mergeCell ref="O5:O6"/>
    <mergeCell ref="A8:A33"/>
    <mergeCell ref="N5:N6"/>
    <mergeCell ref="N22:N33"/>
    <mergeCell ref="N43:N51"/>
    <mergeCell ref="G5:L5"/>
    <mergeCell ref="F5:F6"/>
    <mergeCell ref="M5:M6"/>
    <mergeCell ref="M22:M33"/>
    <mergeCell ref="M43:M51"/>
    <mergeCell ref="A5:A6"/>
    <mergeCell ref="B5:B6"/>
    <mergeCell ref="C69:C72"/>
    <mergeCell ref="N86:N90"/>
    <mergeCell ref="M74:M78"/>
    <mergeCell ref="M86:M90"/>
    <mergeCell ref="M98:M102"/>
    <mergeCell ref="M109:M111"/>
    <mergeCell ref="M137:M143"/>
    <mergeCell ref="A113:A127"/>
    <mergeCell ref="O114:O120"/>
    <mergeCell ref="C115:C120"/>
    <mergeCell ref="A79:A90"/>
    <mergeCell ref="O80:O85"/>
    <mergeCell ref="C81:C85"/>
    <mergeCell ref="O86:O90"/>
    <mergeCell ref="C87:C90"/>
    <mergeCell ref="C93:C97"/>
    <mergeCell ref="O137:O143"/>
    <mergeCell ref="C138:C143"/>
    <mergeCell ref="A103:A111"/>
    <mergeCell ref="O104:O108"/>
    <mergeCell ref="C105:C108"/>
    <mergeCell ref="O109:O111"/>
    <mergeCell ref="C110:C111"/>
    <mergeCell ref="N121:N127"/>
    <mergeCell ref="A91:A102"/>
    <mergeCell ref="O92:O97"/>
    <mergeCell ref="O121:O127"/>
    <mergeCell ref="C122:C127"/>
    <mergeCell ref="M121:M127"/>
    <mergeCell ref="N109:N111"/>
    <mergeCell ref="A128:A143"/>
    <mergeCell ref="N151:N155"/>
    <mergeCell ref="N137:N143"/>
    <mergeCell ref="A144:A155"/>
    <mergeCell ref="C146:C150"/>
    <mergeCell ref="C152:C155"/>
    <mergeCell ref="O129:O136"/>
    <mergeCell ref="C130:C136"/>
    <mergeCell ref="O151:O155"/>
    <mergeCell ref="M151:M155"/>
    <mergeCell ref="O169:O174"/>
    <mergeCell ref="C170:C174"/>
    <mergeCell ref="O175:O179"/>
    <mergeCell ref="M235:M239"/>
    <mergeCell ref="M247:M251"/>
    <mergeCell ref="C358:C359"/>
    <mergeCell ref="C55:C60"/>
    <mergeCell ref="A67:A78"/>
    <mergeCell ref="O61:O66"/>
    <mergeCell ref="C62:C66"/>
    <mergeCell ref="O68:O73"/>
    <mergeCell ref="O74:O78"/>
    <mergeCell ref="N74:N78"/>
    <mergeCell ref="A53:A66"/>
    <mergeCell ref="N61:N66"/>
    <mergeCell ref="M61:M66"/>
    <mergeCell ref="O54:O60"/>
    <mergeCell ref="O157:O162"/>
    <mergeCell ref="C158:C162"/>
    <mergeCell ref="N163:N167"/>
    <mergeCell ref="O163:O167"/>
    <mergeCell ref="C164:C167"/>
    <mergeCell ref="A168:A179"/>
    <mergeCell ref="C75:C78"/>
    <mergeCell ref="O98:O102"/>
    <mergeCell ref="C99:C102"/>
    <mergeCell ref="N98:N102"/>
    <mergeCell ref="C200:C203"/>
    <mergeCell ref="N407:N409"/>
    <mergeCell ref="C188:C191"/>
    <mergeCell ref="O383:O388"/>
    <mergeCell ref="O416:O418"/>
    <mergeCell ref="O145:O150"/>
    <mergeCell ref="O211:O215"/>
    <mergeCell ref="C212:C215"/>
    <mergeCell ref="C242:C246"/>
    <mergeCell ref="O247:O251"/>
    <mergeCell ref="C248:C251"/>
    <mergeCell ref="O392:O397"/>
    <mergeCell ref="O398:O400"/>
    <mergeCell ref="N247:N251"/>
    <mergeCell ref="O288:O294"/>
    <mergeCell ref="O235:O239"/>
    <mergeCell ref="C308:C311"/>
    <mergeCell ref="O362:O367"/>
    <mergeCell ref="C364:C367"/>
    <mergeCell ref="O368:O370"/>
    <mergeCell ref="O240:O246"/>
    <mergeCell ref="A401:A409"/>
    <mergeCell ref="O401:O406"/>
    <mergeCell ref="O378:O382"/>
    <mergeCell ref="O312:O325"/>
    <mergeCell ref="A312:A325"/>
    <mergeCell ref="O389:O391"/>
    <mergeCell ref="O326:O332"/>
    <mergeCell ref="O333:O337"/>
    <mergeCell ref="A338:A360"/>
    <mergeCell ref="N346:N360"/>
    <mergeCell ref="A383:A391"/>
    <mergeCell ref="P114:P120"/>
    <mergeCell ref="P158:P162"/>
    <mergeCell ref="P170:P174"/>
    <mergeCell ref="C651:C652"/>
    <mergeCell ref="O526:O533"/>
    <mergeCell ref="O204:O210"/>
    <mergeCell ref="A216:A227"/>
    <mergeCell ref="O216:O222"/>
    <mergeCell ref="C218:C222"/>
    <mergeCell ref="N223:N227"/>
    <mergeCell ref="O223:O227"/>
    <mergeCell ref="C224:C227"/>
    <mergeCell ref="O483:O491"/>
    <mergeCell ref="C485:C488"/>
    <mergeCell ref="C353:C356"/>
    <mergeCell ref="A410:A418"/>
    <mergeCell ref="O569:O572"/>
    <mergeCell ref="C571:C573"/>
    <mergeCell ref="A483:A491"/>
    <mergeCell ref="A465:A482"/>
    <mergeCell ref="C647:C648"/>
    <mergeCell ref="A641:A648"/>
    <mergeCell ref="C643:C645"/>
    <mergeCell ref="O641:O648"/>
    <mergeCell ref="C503:C506"/>
    <mergeCell ref="C548:C549"/>
    <mergeCell ref="A550:A553"/>
    <mergeCell ref="O550:O553"/>
    <mergeCell ref="C552:C553"/>
    <mergeCell ref="O534:O537"/>
    <mergeCell ref="C536:C537"/>
    <mergeCell ref="O492:O500"/>
    <mergeCell ref="C540:C542"/>
    <mergeCell ref="C544:C545"/>
    <mergeCell ref="N543:N545"/>
    <mergeCell ref="A546:A549"/>
    <mergeCell ref="O546:O549"/>
    <mergeCell ref="M543:M545"/>
    <mergeCell ref="N498:N500"/>
    <mergeCell ref="N507:N509"/>
    <mergeCell ref="N520:N525"/>
    <mergeCell ref="A492:A500"/>
    <mergeCell ref="A526:A533"/>
    <mergeCell ref="N531:N533"/>
    <mergeCell ref="C528:C529"/>
    <mergeCell ref="A621:A624"/>
    <mergeCell ref="O621:O624"/>
    <mergeCell ref="C623:C624"/>
    <mergeCell ref="A511:A522"/>
    <mergeCell ref="O516:O525"/>
    <mergeCell ref="N458:N464"/>
    <mergeCell ref="N474:N482"/>
    <mergeCell ref="O449:O463"/>
    <mergeCell ref="A577:A583"/>
    <mergeCell ref="A449:A464"/>
    <mergeCell ref="A554:A561"/>
    <mergeCell ref="O559:O561"/>
    <mergeCell ref="C560:C561"/>
    <mergeCell ref="O562:O565"/>
    <mergeCell ref="A569:A576"/>
    <mergeCell ref="C575:C576"/>
    <mergeCell ref="N559:N561"/>
    <mergeCell ref="N566:N568"/>
    <mergeCell ref="N574:N576"/>
    <mergeCell ref="C567:C568"/>
    <mergeCell ref="A562:A568"/>
    <mergeCell ref="O554:O557"/>
    <mergeCell ref="C556:C558"/>
    <mergeCell ref="O501:O509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27" orientation="landscape" useFirstPageNumber="1" r:id="rId1"/>
  <headerFooter alignWithMargins="0">
    <oddHeader>&amp;C&amp;"Arial,Kursywa"Wieloletnia prognoza finansowa  Województwa Zachodniopomorskiego&amp;"Arial,Normalny"
_______________________________________________________________________________________________________________________________</oddHeader>
    <oddFooter>&amp;C&amp;8&amp;P</oddFooter>
  </headerFooter>
  <rowBreaks count="8" manualBreakCount="8">
    <brk id="51" max="14" man="1"/>
    <brk id="179" max="14" man="1"/>
    <brk id="227" max="14" man="1"/>
    <brk id="275" max="14" man="1"/>
    <brk id="337" max="14" man="1"/>
    <brk id="409" max="14" man="1"/>
    <brk id="525" max="14" man="1"/>
    <brk id="632" max="1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T533"/>
  <sheetViews>
    <sheetView showGridLines="0" view="pageBreakPreview" zoomScale="110" zoomScaleSheetLayoutView="110" workbookViewId="0">
      <selection activeCell="G283" sqref="A283:XFD287"/>
    </sheetView>
  </sheetViews>
  <sheetFormatPr defaultColWidth="9.140625" defaultRowHeight="12.75"/>
  <cols>
    <col min="1" max="1" width="4" style="384" customWidth="1"/>
    <col min="2" max="2" width="53.42578125" style="385" customWidth="1"/>
    <col min="3" max="3" width="10.42578125" style="385" customWidth="1"/>
    <col min="4" max="4" width="14.5703125" style="385" customWidth="1"/>
    <col min="5" max="5" width="12.85546875" style="385" customWidth="1"/>
    <col min="6" max="6" width="10.42578125" style="385" customWidth="1"/>
    <col min="7" max="7" width="10.7109375" style="385" customWidth="1"/>
    <col min="8" max="8" width="11.140625" style="385" customWidth="1"/>
    <col min="9" max="9" width="11.5703125" style="385" customWidth="1"/>
    <col min="10" max="10" width="10" style="385" customWidth="1"/>
    <col min="11" max="11" width="10.85546875" style="385" customWidth="1"/>
    <col min="12" max="12" width="9.42578125" style="385" bestFit="1" customWidth="1"/>
    <col min="13" max="13" width="12.7109375" style="385" hidden="1" customWidth="1"/>
    <col min="14" max="14" width="12.7109375" style="385" customWidth="1"/>
    <col min="15" max="15" width="14.5703125" style="385" customWidth="1"/>
    <col min="16" max="16" width="14" style="385" hidden="1" customWidth="1"/>
    <col min="17" max="17" width="12.140625" style="385" hidden="1" customWidth="1"/>
    <col min="18" max="18" width="9.5703125" style="385" hidden="1" customWidth="1"/>
    <col min="19" max="19" width="14.28515625" style="385" hidden="1" customWidth="1"/>
    <col min="20" max="20" width="12" style="385" hidden="1" customWidth="1"/>
    <col min="21" max="22" width="9.140625" style="385"/>
    <col min="23" max="23" width="12.5703125" style="385" customWidth="1"/>
    <col min="24" max="16384" width="9.140625" style="385"/>
  </cols>
  <sheetData>
    <row r="1" spans="1:17" s="383" customFormat="1" ht="15" customHeight="1">
      <c r="A1" s="1508"/>
      <c r="B1" s="1508"/>
      <c r="C1" s="1508"/>
      <c r="D1" s="1508"/>
      <c r="E1" s="1508"/>
      <c r="F1" s="1508"/>
      <c r="G1" s="1508"/>
      <c r="H1" s="1508"/>
      <c r="I1" s="307" t="s">
        <v>452</v>
      </c>
      <c r="J1" s="307"/>
      <c r="K1" s="307"/>
      <c r="L1" s="307"/>
      <c r="M1" s="6"/>
      <c r="N1" s="6"/>
      <c r="O1" s="7"/>
      <c r="P1" s="400"/>
    </row>
    <row r="2" spans="1:17" ht="18.75">
      <c r="A2" s="1508"/>
      <c r="B2" s="1508"/>
      <c r="C2" s="1508"/>
      <c r="D2" s="313"/>
      <c r="E2" s="313"/>
      <c r="F2" s="313"/>
      <c r="G2" s="313"/>
      <c r="H2" s="313"/>
      <c r="I2" s="313"/>
      <c r="J2" s="313"/>
      <c r="K2" s="313"/>
      <c r="L2" s="313"/>
      <c r="M2" s="313"/>
      <c r="N2" s="313"/>
      <c r="O2" s="313"/>
      <c r="P2" s="401"/>
    </row>
    <row r="3" spans="1:17" ht="34.5" customHeight="1" thickBot="1">
      <c r="A3" s="3912" t="s">
        <v>116</v>
      </c>
      <c r="B3" s="3913"/>
      <c r="C3" s="3913"/>
      <c r="D3" s="3913"/>
      <c r="E3" s="3913"/>
      <c r="F3" s="3913"/>
      <c r="G3" s="3913"/>
      <c r="H3" s="3913"/>
      <c r="I3" s="3913"/>
      <c r="J3" s="3913"/>
      <c r="K3" s="3913"/>
      <c r="L3" s="3913"/>
      <c r="M3" s="3913"/>
      <c r="N3" s="3913"/>
      <c r="O3" s="3914"/>
      <c r="P3" s="384"/>
    </row>
    <row r="4" spans="1:17" ht="52.5" customHeight="1">
      <c r="A4" s="3796" t="s">
        <v>74</v>
      </c>
      <c r="B4" s="3798" t="s">
        <v>75</v>
      </c>
      <c r="C4" s="3915" t="s">
        <v>71</v>
      </c>
      <c r="D4" s="3915" t="s">
        <v>117</v>
      </c>
      <c r="E4" s="3078" t="s">
        <v>229</v>
      </c>
      <c r="F4" s="3794" t="s">
        <v>436</v>
      </c>
      <c r="G4" s="3791" t="s">
        <v>392</v>
      </c>
      <c r="H4" s="3792"/>
      <c r="I4" s="3792"/>
      <c r="J4" s="3792"/>
      <c r="K4" s="3792"/>
      <c r="L4" s="3793"/>
      <c r="M4" s="3920" t="s">
        <v>406</v>
      </c>
      <c r="N4" s="3920" t="s">
        <v>393</v>
      </c>
      <c r="O4" s="3918" t="s">
        <v>73</v>
      </c>
      <c r="P4" s="457"/>
    </row>
    <row r="5" spans="1:17" ht="16.5" customHeight="1">
      <c r="A5" s="3797"/>
      <c r="B5" s="3799"/>
      <c r="C5" s="3916"/>
      <c r="D5" s="3917"/>
      <c r="E5" s="1387" t="s">
        <v>484</v>
      </c>
      <c r="F5" s="3931"/>
      <c r="G5" s="3074" t="s">
        <v>6</v>
      </c>
      <c r="H5" s="3074" t="s">
        <v>179</v>
      </c>
      <c r="I5" s="3074" t="s">
        <v>181</v>
      </c>
      <c r="J5" s="3074" t="s">
        <v>220</v>
      </c>
      <c r="K5" s="3074" t="s">
        <v>221</v>
      </c>
      <c r="L5" s="3074" t="s">
        <v>219</v>
      </c>
      <c r="M5" s="3921"/>
      <c r="N5" s="3921"/>
      <c r="O5" s="3919"/>
      <c r="P5" s="457"/>
    </row>
    <row r="6" spans="1:17" ht="13.5" customHeight="1">
      <c r="A6" s="911">
        <v>1</v>
      </c>
      <c r="B6" s="912">
        <v>2</v>
      </c>
      <c r="C6" s="913" t="s">
        <v>118</v>
      </c>
      <c r="D6" s="913" t="s">
        <v>119</v>
      </c>
      <c r="E6" s="1405">
        <v>5</v>
      </c>
      <c r="F6" s="1405">
        <v>6</v>
      </c>
      <c r="G6" s="1405">
        <v>7</v>
      </c>
      <c r="H6" s="1405">
        <v>8</v>
      </c>
      <c r="I6" s="1405">
        <v>9</v>
      </c>
      <c r="J6" s="1405">
        <v>10</v>
      </c>
      <c r="K6" s="1405">
        <v>11</v>
      </c>
      <c r="L6" s="1405">
        <v>12</v>
      </c>
      <c r="M6" s="914">
        <v>13</v>
      </c>
      <c r="N6" s="914">
        <v>13</v>
      </c>
      <c r="O6" s="915">
        <v>14</v>
      </c>
      <c r="P6" s="457"/>
    </row>
    <row r="7" spans="1:17" ht="14.25" customHeight="1">
      <c r="A7" s="2629"/>
      <c r="B7" s="2630" t="s">
        <v>76</v>
      </c>
      <c r="C7" s="2630"/>
      <c r="D7" s="2631">
        <f>+D8+D9</f>
        <v>138409193</v>
      </c>
      <c r="E7" s="2631">
        <f t="shared" ref="E7:L7" si="0">+E8+E9</f>
        <v>10494544</v>
      </c>
      <c r="F7" s="2631">
        <f t="shared" si="0"/>
        <v>11954711</v>
      </c>
      <c r="G7" s="2631">
        <f t="shared" si="0"/>
        <v>29648818</v>
      </c>
      <c r="H7" s="2631">
        <f t="shared" si="0"/>
        <v>30547301</v>
      </c>
      <c r="I7" s="2631">
        <f t="shared" si="0"/>
        <v>22656712</v>
      </c>
      <c r="J7" s="2631">
        <f t="shared" si="0"/>
        <v>13854760</v>
      </c>
      <c r="K7" s="2631">
        <f t="shared" si="0"/>
        <v>10200659</v>
      </c>
      <c r="L7" s="2631">
        <f t="shared" si="0"/>
        <v>9051688</v>
      </c>
      <c r="M7" s="2632" t="e">
        <f t="shared" ref="M7" si="1">+M8+M9</f>
        <v>#REF!</v>
      </c>
      <c r="N7" s="2632">
        <f t="shared" ref="N7" si="2">+N8+N9</f>
        <v>101490903</v>
      </c>
      <c r="O7" s="2633"/>
      <c r="P7" s="458">
        <f>+N7-N10</f>
        <v>-14469035</v>
      </c>
      <c r="Q7" s="386"/>
    </row>
    <row r="8" spans="1:17" ht="11.25" customHeight="1">
      <c r="A8" s="2634"/>
      <c r="B8" s="2630" t="s">
        <v>77</v>
      </c>
      <c r="C8" s="2630"/>
      <c r="D8" s="2631">
        <f t="shared" ref="D8:L8" si="3">+D25+D45+D86+D62+D123+D136+D158+D188+D206+D221+D239+D265+D110-D114</f>
        <v>137673156</v>
      </c>
      <c r="E8" s="2631">
        <f t="shared" si="3"/>
        <v>10468589</v>
      </c>
      <c r="F8" s="2631">
        <f t="shared" si="3"/>
        <v>11874952</v>
      </c>
      <c r="G8" s="2631">
        <f t="shared" si="3"/>
        <v>29018495</v>
      </c>
      <c r="H8" s="2631">
        <f t="shared" si="3"/>
        <v>30547301</v>
      </c>
      <c r="I8" s="2631">
        <f t="shared" si="3"/>
        <v>22656712</v>
      </c>
      <c r="J8" s="2631">
        <f t="shared" si="3"/>
        <v>13854760</v>
      </c>
      <c r="K8" s="2631">
        <f t="shared" si="3"/>
        <v>10200659</v>
      </c>
      <c r="L8" s="2631">
        <f t="shared" si="3"/>
        <v>9051688</v>
      </c>
      <c r="M8" s="2631" t="e">
        <f>+M25+M45+M86+M62+M123+M136+M158+M188+M206+M221+M239</f>
        <v>#REF!</v>
      </c>
      <c r="N8" s="2632">
        <f>+N25+N45+N86+N62+N123+N136+N158+N188+N206+N221+N239</f>
        <v>100860580</v>
      </c>
      <c r="O8" s="2633"/>
      <c r="P8" s="458"/>
      <c r="Q8" s="386"/>
    </row>
    <row r="9" spans="1:17" ht="11.25" customHeight="1">
      <c r="A9" s="2634"/>
      <c r="B9" s="2635" t="s">
        <v>9</v>
      </c>
      <c r="C9" s="2636"/>
      <c r="D9" s="2637">
        <f t="shared" ref="D9:N9" si="4">+D74+D98+D148+D176+D254</f>
        <v>736037</v>
      </c>
      <c r="E9" s="2637">
        <f t="shared" si="4"/>
        <v>25955</v>
      </c>
      <c r="F9" s="2637">
        <f t="shared" si="4"/>
        <v>79759</v>
      </c>
      <c r="G9" s="2637">
        <f t="shared" si="4"/>
        <v>630323</v>
      </c>
      <c r="H9" s="2637">
        <f t="shared" si="4"/>
        <v>0</v>
      </c>
      <c r="I9" s="2637">
        <f t="shared" si="4"/>
        <v>0</v>
      </c>
      <c r="J9" s="2637">
        <f t="shared" si="4"/>
        <v>0</v>
      </c>
      <c r="K9" s="2637">
        <f t="shared" si="4"/>
        <v>0</v>
      </c>
      <c r="L9" s="2637">
        <f t="shared" si="4"/>
        <v>0</v>
      </c>
      <c r="M9" s="2637" t="e">
        <f t="shared" si="4"/>
        <v>#REF!</v>
      </c>
      <c r="N9" s="2632">
        <f t="shared" si="4"/>
        <v>630323</v>
      </c>
      <c r="O9" s="2633"/>
      <c r="P9" s="457"/>
    </row>
    <row r="10" spans="1:17" ht="12.75" customHeight="1">
      <c r="A10" s="2634"/>
      <c r="B10" s="846" t="s">
        <v>10</v>
      </c>
      <c r="C10" s="846"/>
      <c r="D10" s="916">
        <f>+D11+D15</f>
        <v>139045193</v>
      </c>
      <c r="E10" s="916">
        <f t="shared" ref="E10:L10" si="5">+E11+E15</f>
        <v>10494544</v>
      </c>
      <c r="F10" s="916">
        <f t="shared" si="5"/>
        <v>11954711</v>
      </c>
      <c r="G10" s="916">
        <f t="shared" si="5"/>
        <v>29715804</v>
      </c>
      <c r="H10" s="916">
        <f t="shared" si="5"/>
        <v>30858306</v>
      </c>
      <c r="I10" s="916">
        <f t="shared" si="5"/>
        <v>22914721</v>
      </c>
      <c r="J10" s="916">
        <f t="shared" si="5"/>
        <v>13854760</v>
      </c>
      <c r="K10" s="916">
        <f t="shared" si="5"/>
        <v>10200659</v>
      </c>
      <c r="L10" s="916">
        <f t="shared" si="5"/>
        <v>9051688</v>
      </c>
      <c r="M10" s="844">
        <f>M11+M15</f>
        <v>126272109</v>
      </c>
      <c r="N10" s="844">
        <f>N11+N15</f>
        <v>115959938</v>
      </c>
      <c r="O10" s="2638"/>
      <c r="P10" s="458"/>
      <c r="Q10" s="386"/>
    </row>
    <row r="11" spans="1:17" s="387" customFormat="1" ht="12.75" customHeight="1">
      <c r="A11" s="2634"/>
      <c r="B11" s="2639" t="s">
        <v>24</v>
      </c>
      <c r="C11" s="2639"/>
      <c r="D11" s="2640">
        <f>D12+D13+D14</f>
        <v>18576596</v>
      </c>
      <c r="E11" s="2640">
        <f t="shared" ref="E11:L11" si="6">E12+E13+E14</f>
        <v>1587046</v>
      </c>
      <c r="F11" s="2640">
        <f t="shared" si="6"/>
        <v>1762210</v>
      </c>
      <c r="G11" s="2640">
        <f t="shared" si="6"/>
        <v>2968115</v>
      </c>
      <c r="H11" s="2640">
        <f t="shared" si="6"/>
        <v>3977345</v>
      </c>
      <c r="I11" s="2640">
        <f t="shared" si="6"/>
        <v>3269251</v>
      </c>
      <c r="J11" s="2640">
        <f t="shared" si="6"/>
        <v>2108867</v>
      </c>
      <c r="K11" s="2640">
        <f t="shared" si="6"/>
        <v>1539628</v>
      </c>
      <c r="L11" s="2640">
        <f t="shared" si="6"/>
        <v>1364134</v>
      </c>
      <c r="M11" s="2641">
        <f>M12+M13</f>
        <v>14711010</v>
      </c>
      <c r="N11" s="2641">
        <f>N12+N13</f>
        <v>14591340</v>
      </c>
      <c r="O11" s="2633"/>
      <c r="P11" s="459"/>
    </row>
    <row r="12" spans="1:17" ht="13.5" customHeight="1">
      <c r="A12" s="2634"/>
      <c r="B12" s="2642" t="s">
        <v>12</v>
      </c>
      <c r="C12" s="2642"/>
      <c r="D12" s="2643">
        <f t="shared" ref="D12:L12" si="7">D47+D88+D64+D76+D27+D100+D112+D125+D160+D178+D190+D223</f>
        <v>14105841</v>
      </c>
      <c r="E12" s="2643">
        <f t="shared" si="7"/>
        <v>1587046</v>
      </c>
      <c r="F12" s="2643">
        <f t="shared" si="7"/>
        <v>1762210</v>
      </c>
      <c r="G12" s="2643">
        <f t="shared" si="7"/>
        <v>2351334</v>
      </c>
      <c r="H12" s="2643">
        <f t="shared" si="7"/>
        <v>2023920</v>
      </c>
      <c r="I12" s="2643">
        <f t="shared" si="7"/>
        <v>1814995</v>
      </c>
      <c r="J12" s="2643">
        <f t="shared" si="7"/>
        <v>1731310</v>
      </c>
      <c r="K12" s="2643">
        <f t="shared" si="7"/>
        <v>1470892</v>
      </c>
      <c r="L12" s="2643">
        <f t="shared" si="7"/>
        <v>1364134</v>
      </c>
      <c r="M12" s="917">
        <f>SUM(F12:L12)</f>
        <v>12518795</v>
      </c>
      <c r="N12" s="917">
        <f>SUM(G12:L12)</f>
        <v>10756585</v>
      </c>
      <c r="O12" s="2633"/>
      <c r="P12" s="458"/>
    </row>
    <row r="13" spans="1:17" ht="13.5" customHeight="1">
      <c r="A13" s="2634"/>
      <c r="B13" s="2644" t="s">
        <v>13</v>
      </c>
      <c r="C13" s="2642"/>
      <c r="D13" s="638">
        <f t="shared" ref="D13:L13" si="8">D50+D31+D77+D113+D163+D179+D193+D208+D226+D241+D256+D270</f>
        <v>3834755</v>
      </c>
      <c r="E13" s="638">
        <f t="shared" si="8"/>
        <v>0</v>
      </c>
      <c r="F13" s="638">
        <f t="shared" si="8"/>
        <v>0</v>
      </c>
      <c r="G13" s="638">
        <f t="shared" si="8"/>
        <v>549795</v>
      </c>
      <c r="H13" s="638">
        <f t="shared" si="8"/>
        <v>1642420</v>
      </c>
      <c r="I13" s="638">
        <f t="shared" si="8"/>
        <v>1196247</v>
      </c>
      <c r="J13" s="638">
        <f t="shared" si="8"/>
        <v>377557</v>
      </c>
      <c r="K13" s="638">
        <f t="shared" si="8"/>
        <v>68736</v>
      </c>
      <c r="L13" s="638">
        <f t="shared" si="8"/>
        <v>0</v>
      </c>
      <c r="M13" s="2645">
        <f>SUM(F13:H13)</f>
        <v>2192215</v>
      </c>
      <c r="N13" s="2645">
        <f>SUM(G13:L13)</f>
        <v>3834755</v>
      </c>
      <c r="O13" s="2633"/>
      <c r="P13" s="458">
        <f>D13-D20</f>
        <v>0</v>
      </c>
    </row>
    <row r="14" spans="1:17" s="2369" customFormat="1" ht="13.5" customHeight="1">
      <c r="A14" s="2634"/>
      <c r="B14" s="2646" t="s">
        <v>482</v>
      </c>
      <c r="C14" s="2647"/>
      <c r="D14" s="1564">
        <f>D114</f>
        <v>636000</v>
      </c>
      <c r="E14" s="1564">
        <f t="shared" ref="E14:L14" si="9">E114</f>
        <v>0</v>
      </c>
      <c r="F14" s="1564">
        <f t="shared" si="9"/>
        <v>0</v>
      </c>
      <c r="G14" s="1564">
        <f t="shared" si="9"/>
        <v>66986</v>
      </c>
      <c r="H14" s="1564">
        <f t="shared" si="9"/>
        <v>311005</v>
      </c>
      <c r="I14" s="1564">
        <f t="shared" si="9"/>
        <v>258009</v>
      </c>
      <c r="J14" s="1564">
        <f t="shared" si="9"/>
        <v>0</v>
      </c>
      <c r="K14" s="1564">
        <f t="shared" si="9"/>
        <v>0</v>
      </c>
      <c r="L14" s="1564">
        <f t="shared" si="9"/>
        <v>0</v>
      </c>
      <c r="M14" s="2648"/>
      <c r="N14" s="2648"/>
      <c r="O14" s="2649"/>
      <c r="P14" s="2595"/>
    </row>
    <row r="15" spans="1:17" s="387" customFormat="1" ht="13.5" customHeight="1">
      <c r="A15" s="2634"/>
      <c r="B15" s="2650" t="s">
        <v>18</v>
      </c>
      <c r="C15" s="2650"/>
      <c r="D15" s="2640">
        <f>D17+D16</f>
        <v>120468597</v>
      </c>
      <c r="E15" s="2640">
        <f t="shared" ref="E15:L15" si="10">E17+E16</f>
        <v>8907498</v>
      </c>
      <c r="F15" s="2640">
        <f t="shared" si="10"/>
        <v>10192501</v>
      </c>
      <c r="G15" s="2640">
        <f t="shared" si="10"/>
        <v>26747689</v>
      </c>
      <c r="H15" s="2640">
        <f t="shared" si="10"/>
        <v>26880961</v>
      </c>
      <c r="I15" s="2640">
        <f t="shared" si="10"/>
        <v>19645470</v>
      </c>
      <c r="J15" s="2640">
        <f t="shared" si="10"/>
        <v>11745893</v>
      </c>
      <c r="K15" s="2640">
        <f t="shared" si="10"/>
        <v>8661031</v>
      </c>
      <c r="L15" s="2640">
        <f t="shared" si="10"/>
        <v>7687554</v>
      </c>
      <c r="M15" s="2641">
        <f t="shared" ref="M15" si="11">M17+M16</f>
        <v>111561099</v>
      </c>
      <c r="N15" s="2641">
        <f t="shared" ref="N15" si="12">N17+N16</f>
        <v>101368598</v>
      </c>
      <c r="O15" s="2633"/>
      <c r="P15" s="459"/>
    </row>
    <row r="16" spans="1:17" s="432" customFormat="1" ht="13.5" customHeight="1">
      <c r="A16" s="2634"/>
      <c r="B16" s="2651" t="s">
        <v>20</v>
      </c>
      <c r="C16" s="2650"/>
      <c r="D16" s="2652">
        <f>+D33</f>
        <v>410798</v>
      </c>
      <c r="E16" s="2652">
        <f t="shared" ref="E16:L16" si="13">+E33</f>
        <v>45222</v>
      </c>
      <c r="F16" s="2652">
        <f t="shared" si="13"/>
        <v>172687</v>
      </c>
      <c r="G16" s="2652">
        <f t="shared" si="13"/>
        <v>154321</v>
      </c>
      <c r="H16" s="2652">
        <f t="shared" si="13"/>
        <v>25351</v>
      </c>
      <c r="I16" s="2652">
        <f t="shared" si="13"/>
        <v>13217</v>
      </c>
      <c r="J16" s="2652">
        <f t="shared" si="13"/>
        <v>0</v>
      </c>
      <c r="K16" s="2652">
        <f t="shared" si="13"/>
        <v>0</v>
      </c>
      <c r="L16" s="2652">
        <f t="shared" si="13"/>
        <v>0</v>
      </c>
      <c r="M16" s="917">
        <f>SUM(F16:L16)</f>
        <v>365576</v>
      </c>
      <c r="N16" s="917">
        <f>SUM(G16:L16)</f>
        <v>192889</v>
      </c>
      <c r="O16" s="2633"/>
      <c r="P16" s="459"/>
    </row>
    <row r="17" spans="1:17" ht="13.5" customHeight="1">
      <c r="A17" s="2634"/>
      <c r="B17" s="2653" t="s">
        <v>21</v>
      </c>
      <c r="C17" s="2642"/>
      <c r="D17" s="2654">
        <f t="shared" ref="D17:L17" si="14">+D52+D37+D91+D67+D79+D103+D116+D129+D138+D150+D167+D181+D197+D212+D230+D245+D258+D274</f>
        <v>120057799</v>
      </c>
      <c r="E17" s="2654">
        <f t="shared" si="14"/>
        <v>8862276</v>
      </c>
      <c r="F17" s="2654">
        <f t="shared" si="14"/>
        <v>10019814</v>
      </c>
      <c r="G17" s="2654">
        <f t="shared" si="14"/>
        <v>26593368</v>
      </c>
      <c r="H17" s="2654">
        <f t="shared" si="14"/>
        <v>26855610</v>
      </c>
      <c r="I17" s="2654">
        <f t="shared" si="14"/>
        <v>19632253</v>
      </c>
      <c r="J17" s="2654">
        <f t="shared" si="14"/>
        <v>11745893</v>
      </c>
      <c r="K17" s="2654">
        <f t="shared" si="14"/>
        <v>8661031</v>
      </c>
      <c r="L17" s="2654">
        <f t="shared" si="14"/>
        <v>7687554</v>
      </c>
      <c r="M17" s="917">
        <f>SUM(F17:L17)</f>
        <v>111195523</v>
      </c>
      <c r="N17" s="917">
        <f>SUM(G17:L17)</f>
        <v>101175709</v>
      </c>
      <c r="O17" s="2638"/>
      <c r="P17" s="458"/>
    </row>
    <row r="18" spans="1:17" ht="13.5" customHeight="1">
      <c r="A18" s="2634"/>
      <c r="B18" s="2655" t="s">
        <v>22</v>
      </c>
      <c r="C18" s="846"/>
      <c r="D18" s="916">
        <f>D19+D21</f>
        <v>124303352</v>
      </c>
      <c r="E18" s="916">
        <f>E19+E21</f>
        <v>8862276</v>
      </c>
      <c r="F18" s="916">
        <f t="shared" ref="F18:L18" si="15">F19+F21</f>
        <v>9935062</v>
      </c>
      <c r="G18" s="916">
        <f t="shared" si="15"/>
        <v>29815513</v>
      </c>
      <c r="H18" s="916">
        <f t="shared" si="15"/>
        <v>26861011</v>
      </c>
      <c r="I18" s="916">
        <f t="shared" si="15"/>
        <v>20288719</v>
      </c>
      <c r="J18" s="916">
        <f t="shared" si="15"/>
        <v>12123450</v>
      </c>
      <c r="K18" s="916">
        <f t="shared" si="15"/>
        <v>8729767</v>
      </c>
      <c r="L18" s="916">
        <f t="shared" si="15"/>
        <v>7687554</v>
      </c>
      <c r="M18" s="3928" t="s">
        <v>61</v>
      </c>
      <c r="N18" s="3928" t="s">
        <v>61</v>
      </c>
      <c r="O18" s="2633"/>
      <c r="P18" s="460">
        <f>+D7-D10</f>
        <v>-636000</v>
      </c>
    </row>
    <row r="19" spans="1:17" ht="13.5" customHeight="1">
      <c r="A19" s="2634"/>
      <c r="B19" s="2656" t="s">
        <v>24</v>
      </c>
      <c r="C19" s="2657"/>
      <c r="D19" s="2658">
        <f>D20</f>
        <v>3834755</v>
      </c>
      <c r="E19" s="2658">
        <f t="shared" ref="E19:L19" si="16">E20</f>
        <v>0</v>
      </c>
      <c r="F19" s="2658">
        <f t="shared" si="16"/>
        <v>0</v>
      </c>
      <c r="G19" s="2658">
        <f t="shared" si="16"/>
        <v>549795</v>
      </c>
      <c r="H19" s="2658">
        <f t="shared" si="16"/>
        <v>1642420</v>
      </c>
      <c r="I19" s="2658">
        <f t="shared" si="16"/>
        <v>1196247</v>
      </c>
      <c r="J19" s="2658">
        <f t="shared" si="16"/>
        <v>377557</v>
      </c>
      <c r="K19" s="2658">
        <f t="shared" si="16"/>
        <v>68736</v>
      </c>
      <c r="L19" s="2658">
        <f t="shared" si="16"/>
        <v>0</v>
      </c>
      <c r="M19" s="3928"/>
      <c r="N19" s="3928"/>
      <c r="O19" s="2633"/>
      <c r="P19" s="457"/>
    </row>
    <row r="20" spans="1:17" ht="13.5" customHeight="1">
      <c r="A20" s="2634"/>
      <c r="B20" s="2659" t="s">
        <v>13</v>
      </c>
      <c r="C20" s="2660"/>
      <c r="D20" s="2654">
        <f t="shared" ref="D20:L20" si="17">+D57+D40+D82+D119+D172+D184+D202+D217+D235+D250+D261+D279</f>
        <v>3834755</v>
      </c>
      <c r="E20" s="2654">
        <f t="shared" si="17"/>
        <v>0</v>
      </c>
      <c r="F20" s="2654">
        <f t="shared" si="17"/>
        <v>0</v>
      </c>
      <c r="G20" s="2654">
        <f t="shared" si="17"/>
        <v>549795</v>
      </c>
      <c r="H20" s="2654">
        <f t="shared" si="17"/>
        <v>1642420</v>
      </c>
      <c r="I20" s="2654">
        <f t="shared" si="17"/>
        <v>1196247</v>
      </c>
      <c r="J20" s="2654">
        <f t="shared" si="17"/>
        <v>377557</v>
      </c>
      <c r="K20" s="2654">
        <f t="shared" si="17"/>
        <v>68736</v>
      </c>
      <c r="L20" s="2654">
        <f t="shared" si="17"/>
        <v>0</v>
      </c>
      <c r="M20" s="3928"/>
      <c r="N20" s="3928"/>
      <c r="O20" s="2633"/>
      <c r="P20" s="457"/>
    </row>
    <row r="21" spans="1:17" s="389" customFormat="1" ht="13.5" customHeight="1">
      <c r="A21" s="2661"/>
      <c r="B21" s="2662" t="s">
        <v>18</v>
      </c>
      <c r="C21" s="2663"/>
      <c r="D21" s="2658">
        <f>D23+D22</f>
        <v>120468597</v>
      </c>
      <c r="E21" s="2658">
        <f t="shared" ref="E21:L21" si="18">E23+E22</f>
        <v>8862276</v>
      </c>
      <c r="F21" s="2658">
        <f t="shared" si="18"/>
        <v>9935062</v>
      </c>
      <c r="G21" s="2658">
        <f t="shared" si="18"/>
        <v>29265718</v>
      </c>
      <c r="H21" s="2658">
        <f t="shared" si="18"/>
        <v>25218591</v>
      </c>
      <c r="I21" s="2658">
        <f t="shared" si="18"/>
        <v>19092472</v>
      </c>
      <c r="J21" s="2658">
        <f t="shared" si="18"/>
        <v>11745893</v>
      </c>
      <c r="K21" s="2658">
        <f t="shared" si="18"/>
        <v>8661031</v>
      </c>
      <c r="L21" s="2658">
        <f t="shared" si="18"/>
        <v>7687554</v>
      </c>
      <c r="M21" s="3928"/>
      <c r="N21" s="3928"/>
      <c r="O21" s="2664"/>
      <c r="P21" s="461"/>
    </row>
    <row r="22" spans="1:17" s="431" customFormat="1" ht="13.5" customHeight="1">
      <c r="A22" s="2661"/>
      <c r="B22" s="2651" t="s">
        <v>20</v>
      </c>
      <c r="C22" s="2663"/>
      <c r="D22" s="2665">
        <f>+D42</f>
        <v>410798</v>
      </c>
      <c r="E22" s="2665">
        <f t="shared" ref="E22:L22" si="19">+E42</f>
        <v>0</v>
      </c>
      <c r="F22" s="2665">
        <f t="shared" si="19"/>
        <v>84212</v>
      </c>
      <c r="G22" s="2665">
        <f t="shared" si="19"/>
        <v>176983</v>
      </c>
      <c r="H22" s="2665">
        <f t="shared" si="19"/>
        <v>114384</v>
      </c>
      <c r="I22" s="2665">
        <f t="shared" si="19"/>
        <v>35219</v>
      </c>
      <c r="J22" s="2665">
        <f t="shared" si="19"/>
        <v>0</v>
      </c>
      <c r="K22" s="2665">
        <f t="shared" si="19"/>
        <v>0</v>
      </c>
      <c r="L22" s="2665">
        <f t="shared" si="19"/>
        <v>0</v>
      </c>
      <c r="M22" s="3929"/>
      <c r="N22" s="3929"/>
      <c r="O22" s="2666"/>
      <c r="P22" s="461"/>
    </row>
    <row r="23" spans="1:17" ht="13.5" customHeight="1" thickBot="1">
      <c r="A23" s="2667"/>
      <c r="B23" s="2668" t="s">
        <v>21</v>
      </c>
      <c r="C23" s="2668"/>
      <c r="D23" s="2669">
        <f t="shared" ref="D23:L23" si="20">+D59+D43+D60+D96+D72+D84+D108+D121+D134+D146+D156+D174+D186+D204+D219+D237+D252+D263+D281</f>
        <v>120057799</v>
      </c>
      <c r="E23" s="2669">
        <f t="shared" si="20"/>
        <v>8862276</v>
      </c>
      <c r="F23" s="2669">
        <f t="shared" si="20"/>
        <v>9850850</v>
      </c>
      <c r="G23" s="2669">
        <f t="shared" si="20"/>
        <v>29088735</v>
      </c>
      <c r="H23" s="2669">
        <f t="shared" si="20"/>
        <v>25104207</v>
      </c>
      <c r="I23" s="2669">
        <f t="shared" si="20"/>
        <v>19057253</v>
      </c>
      <c r="J23" s="2669">
        <f t="shared" si="20"/>
        <v>11745893</v>
      </c>
      <c r="K23" s="2669">
        <f t="shared" si="20"/>
        <v>8661031</v>
      </c>
      <c r="L23" s="2669">
        <f t="shared" si="20"/>
        <v>7687554</v>
      </c>
      <c r="M23" s="3930"/>
      <c r="N23" s="3930"/>
      <c r="O23" s="2670"/>
      <c r="P23" s="458">
        <f>D23-D17</f>
        <v>0</v>
      </c>
    </row>
    <row r="24" spans="1:17" ht="38.25" customHeight="1">
      <c r="A24" s="3922" t="s">
        <v>63</v>
      </c>
      <c r="B24" s="3264" t="s">
        <v>270</v>
      </c>
      <c r="C24" s="3265" t="s">
        <v>109</v>
      </c>
      <c r="D24" s="1159"/>
      <c r="E24" s="3161"/>
      <c r="F24" s="3161"/>
      <c r="G24" s="3161"/>
      <c r="H24" s="3161"/>
      <c r="I24" s="3161"/>
      <c r="J24" s="3161"/>
      <c r="K24" s="3161"/>
      <c r="L24" s="41"/>
      <c r="M24" s="844"/>
      <c r="N24" s="844"/>
      <c r="O24" s="3865" t="s">
        <v>279</v>
      </c>
      <c r="P24" s="457"/>
    </row>
    <row r="25" spans="1:17" s="389" customFormat="1">
      <c r="A25" s="3898"/>
      <c r="B25" s="845" t="s">
        <v>10</v>
      </c>
      <c r="C25" s="846"/>
      <c r="D25" s="613">
        <f t="shared" ref="D25:J25" si="21">+D26+D32</f>
        <v>487290</v>
      </c>
      <c r="E25" s="613">
        <f t="shared" ref="E25" si="22">+E26+E32</f>
        <v>53431</v>
      </c>
      <c r="F25" s="613">
        <f t="shared" si="21"/>
        <v>203738</v>
      </c>
      <c r="G25" s="613">
        <f t="shared" si="21"/>
        <v>183147</v>
      </c>
      <c r="H25" s="613">
        <f t="shared" si="21"/>
        <v>30624</v>
      </c>
      <c r="I25" s="613">
        <f t="shared" si="21"/>
        <v>16350</v>
      </c>
      <c r="J25" s="1868">
        <f t="shared" si="21"/>
        <v>0</v>
      </c>
      <c r="K25" s="1868">
        <v>0</v>
      </c>
      <c r="L25" s="1868">
        <v>0</v>
      </c>
      <c r="M25" s="847">
        <f>+M26+M32</f>
        <v>433859</v>
      </c>
      <c r="N25" s="847">
        <f>+N26+N32</f>
        <v>230121</v>
      </c>
      <c r="O25" s="3844"/>
      <c r="P25" s="1871"/>
      <c r="Q25" s="1872"/>
    </row>
    <row r="26" spans="1:17" s="389" customFormat="1" ht="13.5" customHeight="1">
      <c r="A26" s="3898"/>
      <c r="B26" s="1866" t="s">
        <v>24</v>
      </c>
      <c r="C26" s="3846" t="s">
        <v>307</v>
      </c>
      <c r="D26" s="643">
        <f t="shared" ref="D26" si="23">+D27+D31</f>
        <v>76492</v>
      </c>
      <c r="E26" s="643">
        <f t="shared" ref="E26" si="24">+E27+E31</f>
        <v>8209</v>
      </c>
      <c r="F26" s="643">
        <f>+F27+F31</f>
        <v>31051</v>
      </c>
      <c r="G26" s="643">
        <f>+G27+G31</f>
        <v>28826</v>
      </c>
      <c r="H26" s="643">
        <f>+H27+H31</f>
        <v>5273</v>
      </c>
      <c r="I26" s="643">
        <f>+I27</f>
        <v>3133</v>
      </c>
      <c r="J26" s="1869">
        <f>+J27</f>
        <v>0</v>
      </c>
      <c r="K26" s="1869">
        <v>0</v>
      </c>
      <c r="L26" s="1869">
        <v>0</v>
      </c>
      <c r="M26" s="918">
        <f>+M27+M31</f>
        <v>68283</v>
      </c>
      <c r="N26" s="918">
        <f>+N27+N31</f>
        <v>37232</v>
      </c>
      <c r="O26" s="3844"/>
      <c r="P26" s="461"/>
    </row>
    <row r="27" spans="1:17" s="389" customFormat="1" ht="11.25" customHeight="1">
      <c r="A27" s="3898"/>
      <c r="B27" s="875" t="s">
        <v>12</v>
      </c>
      <c r="C27" s="3847"/>
      <c r="D27" s="239">
        <f>E27+F27+G27+H27+I27+J27+K27+L27</f>
        <v>76492</v>
      </c>
      <c r="E27" s="275">
        <f>+E29+E30</f>
        <v>8209</v>
      </c>
      <c r="F27" s="632">
        <f t="shared" ref="F27:I27" si="25">+F29+F30</f>
        <v>31051</v>
      </c>
      <c r="G27" s="632">
        <f t="shared" si="25"/>
        <v>28826</v>
      </c>
      <c r="H27" s="632">
        <f t="shared" si="25"/>
        <v>5273</v>
      </c>
      <c r="I27" s="632">
        <f t="shared" si="25"/>
        <v>3133</v>
      </c>
      <c r="J27" s="637">
        <v>0</v>
      </c>
      <c r="K27" s="637">
        <v>0</v>
      </c>
      <c r="L27" s="637">
        <v>0</v>
      </c>
      <c r="M27" s="917">
        <f>SUM(F27:K27)</f>
        <v>68283</v>
      </c>
      <c r="N27" s="917">
        <f>SUM(G27:L27)</f>
        <v>37232</v>
      </c>
      <c r="O27" s="3844"/>
      <c r="P27" s="461"/>
    </row>
    <row r="28" spans="1:17" s="1873" customFormat="1" ht="13.5" hidden="1" customHeight="1">
      <c r="A28" s="3923"/>
      <c r="B28" s="3266" t="s">
        <v>149</v>
      </c>
      <c r="C28" s="3924"/>
      <c r="D28" s="851"/>
      <c r="E28" s="3267"/>
      <c r="F28" s="3268"/>
      <c r="G28" s="3268"/>
      <c r="H28" s="3268"/>
      <c r="I28" s="3268"/>
      <c r="J28" s="3267"/>
      <c r="K28" s="3267"/>
      <c r="L28" s="637"/>
      <c r="M28" s="850"/>
      <c r="N28" s="850"/>
      <c r="O28" s="3844"/>
      <c r="P28" s="461"/>
    </row>
    <row r="29" spans="1:17" s="1873" customFormat="1" ht="13.5" hidden="1" customHeight="1">
      <c r="A29" s="3923"/>
      <c r="B29" s="3266" t="s">
        <v>110</v>
      </c>
      <c r="C29" s="3924"/>
      <c r="D29" s="851">
        <f>+E29+F29+G29+H29+I29</f>
        <v>52982</v>
      </c>
      <c r="E29" s="3268">
        <v>3119</v>
      </c>
      <c r="F29" s="3268">
        <f>31679-1297-6985</f>
        <v>23397</v>
      </c>
      <c r="G29" s="3268">
        <f>12591-1089+6985+605</f>
        <v>19092</v>
      </c>
      <c r="H29" s="3268">
        <f>10929-2878-103-3462</f>
        <v>4486</v>
      </c>
      <c r="I29" s="3268">
        <f>2920-32</f>
        <v>2888</v>
      </c>
      <c r="J29" s="3267"/>
      <c r="K29" s="3267"/>
      <c r="L29" s="637"/>
      <c r="M29" s="1867">
        <f t="shared" ref="M29:N31" si="26">SUM(E29:H29)</f>
        <v>50094</v>
      </c>
      <c r="N29" s="1867">
        <f>SUM(G29:I29)</f>
        <v>26466</v>
      </c>
      <c r="O29" s="3844"/>
      <c r="P29" s="461"/>
    </row>
    <row r="30" spans="1:17" s="1873" customFormat="1" ht="13.5" hidden="1" customHeight="1">
      <c r="A30" s="3923"/>
      <c r="B30" s="3266" t="s">
        <v>260</v>
      </c>
      <c r="C30" s="3924"/>
      <c r="D30" s="851">
        <f>+E30+F30+G30+H30+I30</f>
        <v>23510</v>
      </c>
      <c r="E30" s="3268">
        <f>4426+664</f>
        <v>5090</v>
      </c>
      <c r="F30" s="3268">
        <f>7322+633-301</f>
        <v>7654</v>
      </c>
      <c r="G30" s="3268">
        <f>6473+784+1089+301+1087</f>
        <v>9734</v>
      </c>
      <c r="H30" s="3268">
        <f>599+85+103</f>
        <v>787</v>
      </c>
      <c r="I30" s="3268">
        <f>186+27+32</f>
        <v>245</v>
      </c>
      <c r="J30" s="3267"/>
      <c r="K30" s="3267"/>
      <c r="L30" s="637"/>
      <c r="M30" s="1867">
        <f t="shared" si="26"/>
        <v>23265</v>
      </c>
      <c r="N30" s="1867">
        <f>SUM(G30:I30)</f>
        <v>10766</v>
      </c>
      <c r="O30" s="3844"/>
      <c r="P30" s="461"/>
    </row>
    <row r="31" spans="1:17" s="389" customFormat="1" ht="14.25" hidden="1" customHeight="1">
      <c r="A31" s="3898"/>
      <c r="B31" s="875" t="s">
        <v>13</v>
      </c>
      <c r="C31" s="3847"/>
      <c r="D31" s="239">
        <f>E31+F31+G31+H31+I31+J31+K31+L31</f>
        <v>0</v>
      </c>
      <c r="E31" s="637">
        <v>0</v>
      </c>
      <c r="F31" s="632"/>
      <c r="G31" s="632"/>
      <c r="H31" s="632"/>
      <c r="I31" s="632"/>
      <c r="J31" s="637"/>
      <c r="K31" s="637"/>
      <c r="L31" s="637"/>
      <c r="M31" s="850">
        <f t="shared" si="26"/>
        <v>0</v>
      </c>
      <c r="N31" s="850">
        <f t="shared" si="26"/>
        <v>0</v>
      </c>
      <c r="O31" s="3844"/>
      <c r="P31" s="461"/>
    </row>
    <row r="32" spans="1:17" s="389" customFormat="1">
      <c r="A32" s="3898"/>
      <c r="B32" s="3269" t="s">
        <v>18</v>
      </c>
      <c r="C32" s="3847"/>
      <c r="D32" s="852">
        <f>+D37+D33</f>
        <v>410798</v>
      </c>
      <c r="E32" s="852">
        <f t="shared" ref="E32" si="27">+E37+E33</f>
        <v>45222</v>
      </c>
      <c r="F32" s="852">
        <f>+F37+F33</f>
        <v>172687</v>
      </c>
      <c r="G32" s="852">
        <f>+G37+G33</f>
        <v>154321</v>
      </c>
      <c r="H32" s="852">
        <f>+H37+H33</f>
        <v>25351</v>
      </c>
      <c r="I32" s="852">
        <f>+I33</f>
        <v>13217</v>
      </c>
      <c r="J32" s="870">
        <v>0</v>
      </c>
      <c r="K32" s="870">
        <v>0</v>
      </c>
      <c r="L32" s="870">
        <v>0</v>
      </c>
      <c r="M32" s="919">
        <f>+M37+M33</f>
        <v>365576</v>
      </c>
      <c r="N32" s="919">
        <f>+N37+N33</f>
        <v>192889</v>
      </c>
      <c r="O32" s="3844"/>
      <c r="P32" s="461"/>
    </row>
    <row r="33" spans="1:16" s="431" customFormat="1" ht="12" customHeight="1">
      <c r="A33" s="3898"/>
      <c r="B33" s="875" t="s">
        <v>20</v>
      </c>
      <c r="C33" s="3847"/>
      <c r="D33" s="239">
        <f>E33+F33+G33+H33+I33+J33+K33+L33</f>
        <v>410798</v>
      </c>
      <c r="E33" s="275">
        <f>+E35+E36</f>
        <v>45222</v>
      </c>
      <c r="F33" s="632">
        <f t="shared" ref="F33:I33" si="28">+F35+F36</f>
        <v>172687</v>
      </c>
      <c r="G33" s="632">
        <f t="shared" si="28"/>
        <v>154321</v>
      </c>
      <c r="H33" s="632">
        <f t="shared" si="28"/>
        <v>25351</v>
      </c>
      <c r="I33" s="632">
        <f t="shared" si="28"/>
        <v>13217</v>
      </c>
      <c r="J33" s="637">
        <v>0</v>
      </c>
      <c r="K33" s="637">
        <v>0</v>
      </c>
      <c r="L33" s="637">
        <v>0</v>
      </c>
      <c r="M33" s="917">
        <f>SUM(F33:K33)</f>
        <v>365576</v>
      </c>
      <c r="N33" s="917">
        <f>SUM(G33:L33)</f>
        <v>192889</v>
      </c>
      <c r="O33" s="3844"/>
      <c r="P33" s="1871">
        <f>D33-D42</f>
        <v>0</v>
      </c>
    </row>
    <row r="34" spans="1:16" s="1873" customFormat="1" ht="13.5" hidden="1" customHeight="1">
      <c r="A34" s="3898"/>
      <c r="B34" s="3266" t="s">
        <v>149</v>
      </c>
      <c r="C34" s="3847"/>
      <c r="D34" s="851"/>
      <c r="E34" s="637"/>
      <c r="F34" s="3268"/>
      <c r="G34" s="3268"/>
      <c r="H34" s="3268"/>
      <c r="I34" s="3268"/>
      <c r="J34" s="3267"/>
      <c r="K34" s="3267"/>
      <c r="L34" s="3267"/>
      <c r="M34" s="1867"/>
      <c r="N34" s="1867"/>
      <c r="O34" s="3844"/>
      <c r="P34" s="461"/>
    </row>
    <row r="35" spans="1:16" s="1873" customFormat="1" ht="13.5" hidden="1" customHeight="1">
      <c r="A35" s="3898"/>
      <c r="B35" s="3266" t="s">
        <v>110</v>
      </c>
      <c r="C35" s="3847"/>
      <c r="D35" s="851">
        <f>+E35+F35+G35+H35+I35</f>
        <v>277590</v>
      </c>
      <c r="E35" s="3268">
        <v>16375</v>
      </c>
      <c r="F35" s="3268">
        <f>1482+28167+1112+84605+3706+47478+5188-7334-35092</f>
        <v>129312</v>
      </c>
      <c r="G35" s="3268">
        <f>1482+13343+1112+47172+3706-6169+35092+3440</f>
        <v>99178</v>
      </c>
      <c r="H35" s="3268">
        <f>1482+15195+1853+32381+6486-16307-582-19617</f>
        <v>20891</v>
      </c>
      <c r="I35" s="3268">
        <f>3706+371+6085+1853-181</f>
        <v>11834</v>
      </c>
      <c r="J35" s="3267"/>
      <c r="K35" s="3267"/>
      <c r="L35" s="3267"/>
      <c r="M35" s="1867">
        <f t="shared" ref="M35:N37" si="29">SUM(E35:H35)</f>
        <v>265756</v>
      </c>
      <c r="N35" s="1867">
        <f>SUM(G35:I35)</f>
        <v>131903</v>
      </c>
      <c r="O35" s="3844"/>
      <c r="P35" s="461"/>
    </row>
    <row r="36" spans="1:16" s="1873" customFormat="1" ht="13.5" hidden="1" customHeight="1">
      <c r="A36" s="3898"/>
      <c r="B36" s="3266" t="s">
        <v>260</v>
      </c>
      <c r="C36" s="3847"/>
      <c r="D36" s="851">
        <f>+E36+F36+G36+H36+I36</f>
        <v>133208</v>
      </c>
      <c r="E36" s="3268">
        <f>25085+3762</f>
        <v>28847</v>
      </c>
      <c r="F36" s="3268">
        <f>28369+1756+4789+710+1512+4359+3572-1692</f>
        <v>43375</v>
      </c>
      <c r="G36" s="3268">
        <f>28654+2364+4931+731+4444+6169+1692+6158</f>
        <v>55143</v>
      </c>
      <c r="H36" s="3268">
        <f>2663+220+445+67+483+582</f>
        <v>4460</v>
      </c>
      <c r="I36" s="3268">
        <f>672+222+138+21+149+181</f>
        <v>1383</v>
      </c>
      <c r="J36" s="3267"/>
      <c r="K36" s="3267"/>
      <c r="L36" s="3267"/>
      <c r="M36" s="1867">
        <f t="shared" si="29"/>
        <v>131825</v>
      </c>
      <c r="N36" s="1867">
        <f>SUM(G36:I36)</f>
        <v>60986</v>
      </c>
      <c r="O36" s="3844"/>
      <c r="P36" s="461"/>
    </row>
    <row r="37" spans="1:16" s="389" customFormat="1" ht="13.5" hidden="1" customHeight="1" collapsed="1">
      <c r="A37" s="3898"/>
      <c r="B37" s="875" t="s">
        <v>21</v>
      </c>
      <c r="C37" s="3847"/>
      <c r="D37" s="239">
        <f>E37+F37+G37+H37+I37+J37+K37+L37</f>
        <v>0</v>
      </c>
      <c r="E37" s="637">
        <v>0</v>
      </c>
      <c r="F37" s="632"/>
      <c r="G37" s="632"/>
      <c r="H37" s="632"/>
      <c r="I37" s="632"/>
      <c r="J37" s="637"/>
      <c r="K37" s="637"/>
      <c r="L37" s="637"/>
      <c r="M37" s="850">
        <f t="shared" si="29"/>
        <v>0</v>
      </c>
      <c r="N37" s="850">
        <f t="shared" si="29"/>
        <v>0</v>
      </c>
      <c r="O37" s="3845"/>
      <c r="P37" s="1871"/>
    </row>
    <row r="38" spans="1:16" s="389" customFormat="1">
      <c r="A38" s="3899"/>
      <c r="B38" s="845" t="s">
        <v>22</v>
      </c>
      <c r="C38" s="846"/>
      <c r="D38" s="627">
        <f>+D39+D41</f>
        <v>410798</v>
      </c>
      <c r="E38" s="636">
        <v>0</v>
      </c>
      <c r="F38" s="627">
        <f>+F39+F41</f>
        <v>84212</v>
      </c>
      <c r="G38" s="627">
        <f t="shared" ref="G38:J38" si="30">+G39+G41</f>
        <v>176983</v>
      </c>
      <c r="H38" s="627">
        <f t="shared" si="30"/>
        <v>114384</v>
      </c>
      <c r="I38" s="627">
        <f t="shared" si="30"/>
        <v>35219</v>
      </c>
      <c r="J38" s="636">
        <f t="shared" si="30"/>
        <v>0</v>
      </c>
      <c r="K38" s="636">
        <v>0</v>
      </c>
      <c r="L38" s="636">
        <v>0</v>
      </c>
      <c r="M38" s="3905" t="s">
        <v>61</v>
      </c>
      <c r="N38" s="3905" t="s">
        <v>61</v>
      </c>
      <c r="O38" s="3270"/>
      <c r="P38" s="1871">
        <f>G38-'[1]Tab. 6B Polit społ i rozwój prz'!$G$37</f>
        <v>-60809</v>
      </c>
    </row>
    <row r="39" spans="1:16" s="389" customFormat="1" ht="13.5" hidden="1" customHeight="1">
      <c r="A39" s="3899"/>
      <c r="B39" s="1866" t="s">
        <v>24</v>
      </c>
      <c r="C39" s="3925" t="s">
        <v>271</v>
      </c>
      <c r="D39" s="852">
        <f>+D40</f>
        <v>0</v>
      </c>
      <c r="E39" s="870">
        <v>0</v>
      </c>
      <c r="F39" s="852"/>
      <c r="G39" s="852"/>
      <c r="H39" s="852"/>
      <c r="I39" s="852"/>
      <c r="J39" s="870"/>
      <c r="K39" s="870"/>
      <c r="L39" s="870"/>
      <c r="M39" s="3905"/>
      <c r="N39" s="3905"/>
      <c r="O39" s="3270"/>
      <c r="P39" s="461"/>
    </row>
    <row r="40" spans="1:16" s="389" customFormat="1" ht="13.5" hidden="1" customHeight="1">
      <c r="A40" s="3899"/>
      <c r="B40" s="875" t="s">
        <v>13</v>
      </c>
      <c r="C40" s="3847"/>
      <c r="D40" s="239">
        <f>E40+F40+G40+H40+I40+J40+K40+L40</f>
        <v>0</v>
      </c>
      <c r="E40" s="1765"/>
      <c r="F40" s="851"/>
      <c r="G40" s="851"/>
      <c r="H40" s="851"/>
      <c r="I40" s="851"/>
      <c r="J40" s="1765"/>
      <c r="K40" s="1765"/>
      <c r="L40" s="1765"/>
      <c r="M40" s="3905"/>
      <c r="N40" s="3905"/>
      <c r="O40" s="3270"/>
      <c r="P40" s="461"/>
    </row>
    <row r="41" spans="1:16" s="389" customFormat="1">
      <c r="A41" s="3899"/>
      <c r="B41" s="3269" t="s">
        <v>18</v>
      </c>
      <c r="C41" s="3926"/>
      <c r="D41" s="852">
        <f>+D43+D42</f>
        <v>410798</v>
      </c>
      <c r="E41" s="870">
        <v>0</v>
      </c>
      <c r="F41" s="852">
        <f t="shared" ref="F41:J41" si="31">+F43+F42</f>
        <v>84212</v>
      </c>
      <c r="G41" s="852">
        <f t="shared" si="31"/>
        <v>176983</v>
      </c>
      <c r="H41" s="852">
        <f>+H43+H42</f>
        <v>114384</v>
      </c>
      <c r="I41" s="852">
        <f t="shared" si="31"/>
        <v>35219</v>
      </c>
      <c r="J41" s="870">
        <f t="shared" si="31"/>
        <v>0</v>
      </c>
      <c r="K41" s="870">
        <v>0</v>
      </c>
      <c r="L41" s="870">
        <v>0</v>
      </c>
      <c r="M41" s="3905"/>
      <c r="N41" s="3905"/>
      <c r="O41" s="3067" t="s">
        <v>110</v>
      </c>
      <c r="P41" s="461"/>
    </row>
    <row r="42" spans="1:16" s="431" customFormat="1" ht="15.75" customHeight="1" thickBot="1">
      <c r="A42" s="3899"/>
      <c r="B42" s="875" t="s">
        <v>20</v>
      </c>
      <c r="C42" s="3926"/>
      <c r="D42" s="239">
        <f>E42+F42+G42+H42+I42+J42+K42+L42</f>
        <v>410798</v>
      </c>
      <c r="E42" s="3271">
        <v>0</v>
      </c>
      <c r="F42" s="632">
        <f>88766-60286+55732</f>
        <v>84212</v>
      </c>
      <c r="G42" s="632">
        <f>154696+9365+11231+62500-69130+8321</f>
        <v>176983</v>
      </c>
      <c r="H42" s="632">
        <f>103495-26700+4444-33621+72166-5400</f>
        <v>114384</v>
      </c>
      <c r="I42" s="632">
        <f>60792+32027-15824-25800-3036-12940</f>
        <v>35219</v>
      </c>
      <c r="J42" s="637">
        <f>13068+45594+149-58811</f>
        <v>0</v>
      </c>
      <c r="K42" s="637">
        <v>0</v>
      </c>
      <c r="L42" s="637">
        <v>0</v>
      </c>
      <c r="M42" s="3905"/>
      <c r="N42" s="3905"/>
      <c r="O42" s="3270"/>
      <c r="P42" s="461"/>
    </row>
    <row r="43" spans="1:16" ht="13.5" hidden="1" customHeight="1" thickBot="1">
      <c r="A43" s="3864"/>
      <c r="B43" s="3272" t="s">
        <v>21</v>
      </c>
      <c r="C43" s="3927"/>
      <c r="D43" s="239">
        <f>E43+F43+G43+H43+I43+J43+K43+L43</f>
        <v>0</v>
      </c>
      <c r="E43" s="871">
        <v>0</v>
      </c>
      <c r="F43" s="448"/>
      <c r="G43" s="448"/>
      <c r="H43" s="448"/>
      <c r="I43" s="448"/>
      <c r="J43" s="448"/>
      <c r="K43" s="448"/>
      <c r="L43" s="448"/>
      <c r="M43" s="3870"/>
      <c r="N43" s="3870"/>
      <c r="O43" s="3273"/>
      <c r="P43" s="457"/>
    </row>
    <row r="44" spans="1:16" ht="24" customHeight="1">
      <c r="A44" s="3897" t="s">
        <v>274</v>
      </c>
      <c r="B44" s="1244" t="s">
        <v>426</v>
      </c>
      <c r="C44" s="1245" t="s">
        <v>109</v>
      </c>
      <c r="D44" s="1159"/>
      <c r="E44" s="3160"/>
      <c r="F44" s="3161"/>
      <c r="G44" s="3161"/>
      <c r="H44" s="3161"/>
      <c r="I44" s="3161"/>
      <c r="J44" s="3161"/>
      <c r="K44" s="3161"/>
      <c r="L44" s="41"/>
      <c r="M44" s="574"/>
      <c r="N44" s="574"/>
      <c r="O44" s="3865" t="s">
        <v>280</v>
      </c>
      <c r="P44" s="457"/>
    </row>
    <row r="45" spans="1:16">
      <c r="A45" s="3898"/>
      <c r="B45" s="845" t="s">
        <v>10</v>
      </c>
      <c r="C45" s="1246"/>
      <c r="D45" s="916">
        <f t="shared" ref="D45" si="32">+D46+D51</f>
        <v>1324368</v>
      </c>
      <c r="E45" s="1868">
        <f t="shared" ref="E45" si="33">+E46+E51</f>
        <v>0</v>
      </c>
      <c r="F45" s="1868">
        <f t="shared" ref="F45:H45" si="34">+F46+F51</f>
        <v>0</v>
      </c>
      <c r="G45" s="613">
        <f t="shared" si="34"/>
        <v>689604</v>
      </c>
      <c r="H45" s="613">
        <f t="shared" si="34"/>
        <v>634764</v>
      </c>
      <c r="I45" s="1868">
        <f t="shared" ref="I45:L45" si="35">+I46+I51</f>
        <v>0</v>
      </c>
      <c r="J45" s="1868">
        <f t="shared" si="35"/>
        <v>0</v>
      </c>
      <c r="K45" s="1868">
        <f t="shared" si="35"/>
        <v>0</v>
      </c>
      <c r="L45" s="1868">
        <f t="shared" si="35"/>
        <v>0</v>
      </c>
      <c r="M45" s="847">
        <f>+M46+M51</f>
        <v>1324368</v>
      </c>
      <c r="N45" s="847">
        <f>+N46+N51</f>
        <v>1324368</v>
      </c>
      <c r="O45" s="3844"/>
      <c r="P45" s="458"/>
    </row>
    <row r="46" spans="1:16" ht="12.75" customHeight="1">
      <c r="A46" s="3898"/>
      <c r="B46" s="848" t="s">
        <v>24</v>
      </c>
      <c r="C46" s="3900" t="s">
        <v>277</v>
      </c>
      <c r="D46" s="643">
        <f t="shared" ref="D46:N46" si="36">+D47+D50</f>
        <v>198655</v>
      </c>
      <c r="E46" s="1869">
        <f t="shared" ref="E46" si="37">+E47+E50</f>
        <v>0</v>
      </c>
      <c r="F46" s="1869">
        <f t="shared" si="36"/>
        <v>0</v>
      </c>
      <c r="G46" s="643">
        <f t="shared" si="36"/>
        <v>103441</v>
      </c>
      <c r="H46" s="643">
        <f t="shared" si="36"/>
        <v>95214</v>
      </c>
      <c r="I46" s="1869">
        <f t="shared" ref="I46:L46" si="38">+I47+I50</f>
        <v>0</v>
      </c>
      <c r="J46" s="1869">
        <f t="shared" si="38"/>
        <v>0</v>
      </c>
      <c r="K46" s="1869">
        <f t="shared" si="38"/>
        <v>0</v>
      </c>
      <c r="L46" s="1869">
        <f t="shared" si="38"/>
        <v>0</v>
      </c>
      <c r="M46" s="918">
        <f t="shared" ref="M46" si="39">+M47+M50</f>
        <v>198655</v>
      </c>
      <c r="N46" s="918">
        <f t="shared" si="36"/>
        <v>198655</v>
      </c>
      <c r="O46" s="3844"/>
      <c r="P46" s="457"/>
    </row>
    <row r="47" spans="1:16" ht="12" customHeight="1">
      <c r="A47" s="3898"/>
      <c r="B47" s="849" t="s">
        <v>12</v>
      </c>
      <c r="C47" s="3901"/>
      <c r="D47" s="239">
        <f>E47+F47+G47+H47+I47+J47+K47+L47</f>
        <v>198655</v>
      </c>
      <c r="E47" s="1874">
        <f t="shared" ref="E47:H47" si="40">+E48+E49</f>
        <v>0</v>
      </c>
      <c r="F47" s="1874">
        <f t="shared" si="40"/>
        <v>0</v>
      </c>
      <c r="G47" s="632">
        <f t="shared" si="40"/>
        <v>103441</v>
      </c>
      <c r="H47" s="632">
        <f t="shared" si="40"/>
        <v>95214</v>
      </c>
      <c r="I47" s="1874">
        <f t="shared" ref="I47:L47" si="41">+I48+I49</f>
        <v>0</v>
      </c>
      <c r="J47" s="1874">
        <f t="shared" si="41"/>
        <v>0</v>
      </c>
      <c r="K47" s="1874">
        <f t="shared" si="41"/>
        <v>0</v>
      </c>
      <c r="L47" s="1874">
        <f t="shared" si="41"/>
        <v>0</v>
      </c>
      <c r="M47" s="917">
        <f>SUM(F47:K47)</f>
        <v>198655</v>
      </c>
      <c r="N47" s="897">
        <f>SUM(G47:L47)</f>
        <v>198655</v>
      </c>
      <c r="O47" s="3844"/>
      <c r="P47" s="457"/>
    </row>
    <row r="48" spans="1:16" s="1880" customFormat="1" ht="13.5" hidden="1" customHeight="1">
      <c r="A48" s="3898"/>
      <c r="B48" s="1875" t="s">
        <v>260</v>
      </c>
      <c r="C48" s="3901"/>
      <c r="D48" s="1876">
        <f>SUM(E48:L48)</f>
        <v>101173</v>
      </c>
      <c r="E48" s="1877">
        <v>0</v>
      </c>
      <c r="F48" s="1878">
        <v>0</v>
      </c>
      <c r="G48" s="1879">
        <v>51272</v>
      </c>
      <c r="H48" s="1879">
        <v>49901</v>
      </c>
      <c r="I48" s="1878">
        <v>0</v>
      </c>
      <c r="J48" s="1878">
        <v>0</v>
      </c>
      <c r="K48" s="1878">
        <v>0</v>
      </c>
      <c r="L48" s="1878">
        <v>0</v>
      </c>
      <c r="M48" s="850"/>
      <c r="N48" s="917">
        <f t="shared" ref="N48:N49" si="42">SUM(G48:L48)</f>
        <v>101173</v>
      </c>
      <c r="O48" s="3844"/>
      <c r="P48" s="457"/>
    </row>
    <row r="49" spans="1:16" s="1880" customFormat="1" ht="13.5" hidden="1" customHeight="1">
      <c r="A49" s="3898"/>
      <c r="B49" s="1881" t="s">
        <v>275</v>
      </c>
      <c r="C49" s="3901"/>
      <c r="D49" s="1882">
        <f>SUM(E49:L49)</f>
        <v>97482</v>
      </c>
      <c r="E49" s="1883">
        <v>0</v>
      </c>
      <c r="F49" s="1884">
        <v>0</v>
      </c>
      <c r="G49" s="1885">
        <v>52169</v>
      </c>
      <c r="H49" s="1885">
        <v>45313</v>
      </c>
      <c r="I49" s="1884">
        <v>0</v>
      </c>
      <c r="J49" s="1884">
        <v>0</v>
      </c>
      <c r="K49" s="1884">
        <v>0</v>
      </c>
      <c r="L49" s="1884">
        <v>0</v>
      </c>
      <c r="M49" s="850"/>
      <c r="N49" s="917">
        <f t="shared" si="42"/>
        <v>97482</v>
      </c>
      <c r="O49" s="3844"/>
      <c r="P49" s="457"/>
    </row>
    <row r="50" spans="1:16" ht="12.75" hidden="1" customHeight="1">
      <c r="A50" s="3898"/>
      <c r="B50" s="849" t="s">
        <v>13</v>
      </c>
      <c r="C50" s="3901"/>
      <c r="D50" s="851">
        <f>SUM(E50:G50)</f>
        <v>0</v>
      </c>
      <c r="E50" s="637">
        <v>0</v>
      </c>
      <c r="F50" s="637"/>
      <c r="G50" s="632"/>
      <c r="H50" s="632"/>
      <c r="I50" s="637"/>
      <c r="J50" s="637"/>
      <c r="K50" s="637"/>
      <c r="L50" s="637"/>
      <c r="M50" s="850">
        <f>SUM(E50:K50)</f>
        <v>0</v>
      </c>
      <c r="N50" s="1867">
        <f>SUM(F50:L50)</f>
        <v>0</v>
      </c>
      <c r="O50" s="3844"/>
      <c r="P50" s="457"/>
    </row>
    <row r="51" spans="1:16" ht="12" customHeight="1">
      <c r="A51" s="3898"/>
      <c r="B51" s="848" t="s">
        <v>18</v>
      </c>
      <c r="C51" s="3901"/>
      <c r="D51" s="852">
        <f>+D52</f>
        <v>1125713</v>
      </c>
      <c r="E51" s="870">
        <f t="shared" ref="E51:L51" si="43">+E52</f>
        <v>0</v>
      </c>
      <c r="F51" s="870">
        <f t="shared" si="43"/>
        <v>0</v>
      </c>
      <c r="G51" s="852">
        <f t="shared" si="43"/>
        <v>586163</v>
      </c>
      <c r="H51" s="852">
        <f t="shared" si="43"/>
        <v>539550</v>
      </c>
      <c r="I51" s="870">
        <f t="shared" si="43"/>
        <v>0</v>
      </c>
      <c r="J51" s="870">
        <f t="shared" si="43"/>
        <v>0</v>
      </c>
      <c r="K51" s="870">
        <f t="shared" si="43"/>
        <v>0</v>
      </c>
      <c r="L51" s="870">
        <f t="shared" si="43"/>
        <v>0</v>
      </c>
      <c r="M51" s="919">
        <f>+M52</f>
        <v>1125713</v>
      </c>
      <c r="N51" s="919">
        <f>+N52</f>
        <v>1125713</v>
      </c>
      <c r="O51" s="3844"/>
      <c r="P51" s="457"/>
    </row>
    <row r="52" spans="1:16" ht="12" customHeight="1" collapsed="1">
      <c r="A52" s="3898"/>
      <c r="B52" s="849" t="s">
        <v>21</v>
      </c>
      <c r="C52" s="3901"/>
      <c r="D52" s="239">
        <f>E52+F52+G52+H52+I52+J52+K52+L52</f>
        <v>1125713</v>
      </c>
      <c r="E52" s="637">
        <f t="shared" ref="E52:H52" si="44">+E53+E54</f>
        <v>0</v>
      </c>
      <c r="F52" s="637">
        <f t="shared" si="44"/>
        <v>0</v>
      </c>
      <c r="G52" s="632">
        <f t="shared" si="44"/>
        <v>586163</v>
      </c>
      <c r="H52" s="632">
        <f t="shared" si="44"/>
        <v>539550</v>
      </c>
      <c r="I52" s="637">
        <f t="shared" ref="I52:L52" si="45">+I53+I54</f>
        <v>0</v>
      </c>
      <c r="J52" s="637">
        <f t="shared" si="45"/>
        <v>0</v>
      </c>
      <c r="K52" s="637">
        <f t="shared" si="45"/>
        <v>0</v>
      </c>
      <c r="L52" s="637">
        <f t="shared" si="45"/>
        <v>0</v>
      </c>
      <c r="M52" s="917">
        <f>SUM(F52:K52)</f>
        <v>1125713</v>
      </c>
      <c r="N52" s="917">
        <f>SUM(G52:L52)</f>
        <v>1125713</v>
      </c>
      <c r="O52" s="3845"/>
      <c r="P52" s="457"/>
    </row>
    <row r="53" spans="1:16" s="1880" customFormat="1" ht="13.5" hidden="1" customHeight="1">
      <c r="A53" s="3898"/>
      <c r="B53" s="1886" t="s">
        <v>260</v>
      </c>
      <c r="C53" s="876"/>
      <c r="D53" s="1887">
        <f>SUM(E53:L53)</f>
        <v>573315</v>
      </c>
      <c r="E53" s="1888">
        <v>0</v>
      </c>
      <c r="F53" s="1889">
        <v>0</v>
      </c>
      <c r="G53" s="1890">
        <v>290542</v>
      </c>
      <c r="H53" s="1890">
        <v>282773</v>
      </c>
      <c r="I53" s="1889">
        <v>0</v>
      </c>
      <c r="J53" s="1889">
        <v>0</v>
      </c>
      <c r="K53" s="1889">
        <v>0</v>
      </c>
      <c r="L53" s="1889">
        <v>0</v>
      </c>
      <c r="M53" s="850"/>
      <c r="N53" s="850"/>
      <c r="O53" s="2035"/>
      <c r="P53" s="457"/>
    </row>
    <row r="54" spans="1:16" s="1880" customFormat="1" ht="12.75" hidden="1" customHeight="1">
      <c r="A54" s="3898"/>
      <c r="B54" s="1891" t="s">
        <v>275</v>
      </c>
      <c r="C54" s="1892"/>
      <c r="D54" s="1893">
        <f>SUM(E54:L54)</f>
        <v>552398</v>
      </c>
      <c r="E54" s="1894">
        <v>0</v>
      </c>
      <c r="F54" s="1895">
        <v>0</v>
      </c>
      <c r="G54" s="1896">
        <v>295621</v>
      </c>
      <c r="H54" s="1896">
        <v>256777</v>
      </c>
      <c r="I54" s="1895">
        <v>0</v>
      </c>
      <c r="J54" s="1895">
        <v>0</v>
      </c>
      <c r="K54" s="1895">
        <v>0</v>
      </c>
      <c r="L54" s="1895">
        <v>0</v>
      </c>
      <c r="M54" s="850"/>
      <c r="N54" s="850"/>
      <c r="O54" s="2035"/>
      <c r="P54" s="457"/>
    </row>
    <row r="55" spans="1:16">
      <c r="A55" s="3899"/>
      <c r="B55" s="845" t="s">
        <v>22</v>
      </c>
      <c r="C55" s="846"/>
      <c r="D55" s="853">
        <f t="shared" ref="D55:H55" si="46">+D56+D58</f>
        <v>1125713</v>
      </c>
      <c r="E55" s="1897">
        <f t="shared" ref="E55" si="47">+E56+E58</f>
        <v>0</v>
      </c>
      <c r="F55" s="1897">
        <f t="shared" si="46"/>
        <v>0</v>
      </c>
      <c r="G55" s="853">
        <f t="shared" si="46"/>
        <v>586163</v>
      </c>
      <c r="H55" s="853">
        <f t="shared" si="46"/>
        <v>539550</v>
      </c>
      <c r="I55" s="1897">
        <f t="shared" ref="I55:L55" si="48">+I56+I58</f>
        <v>0</v>
      </c>
      <c r="J55" s="1897">
        <f t="shared" si="48"/>
        <v>0</v>
      </c>
      <c r="K55" s="1897">
        <f t="shared" si="48"/>
        <v>0</v>
      </c>
      <c r="L55" s="1897">
        <f t="shared" si="48"/>
        <v>0</v>
      </c>
      <c r="M55" s="3905" t="s">
        <v>61</v>
      </c>
      <c r="N55" s="3905" t="s">
        <v>61</v>
      </c>
      <c r="O55" s="3872" t="s">
        <v>275</v>
      </c>
      <c r="P55" s="458">
        <f>G55-'[1]Tab. 6B Polit społ i rozwój prz'!$G$54</f>
        <v>0</v>
      </c>
    </row>
    <row r="56" spans="1:16" ht="13.5" hidden="1" customHeight="1">
      <c r="A56" s="3899"/>
      <c r="B56" s="848" t="s">
        <v>24</v>
      </c>
      <c r="C56" s="3902" t="s">
        <v>276</v>
      </c>
      <c r="D56" s="852">
        <f>+D57</f>
        <v>0</v>
      </c>
      <c r="E56" s="870">
        <f t="shared" ref="E56:L56" si="49">+E57</f>
        <v>0</v>
      </c>
      <c r="F56" s="870">
        <f t="shared" si="49"/>
        <v>0</v>
      </c>
      <c r="G56" s="852">
        <f t="shared" si="49"/>
        <v>0</v>
      </c>
      <c r="H56" s="852">
        <f t="shared" si="49"/>
        <v>0</v>
      </c>
      <c r="I56" s="870">
        <f t="shared" si="49"/>
        <v>0</v>
      </c>
      <c r="J56" s="870">
        <f t="shared" si="49"/>
        <v>0</v>
      </c>
      <c r="K56" s="870">
        <f t="shared" si="49"/>
        <v>0</v>
      </c>
      <c r="L56" s="870">
        <f t="shared" si="49"/>
        <v>0</v>
      </c>
      <c r="M56" s="3905"/>
      <c r="N56" s="3905"/>
      <c r="O56" s="3872"/>
      <c r="P56" s="457"/>
    </row>
    <row r="57" spans="1:16" ht="13.5" hidden="1" customHeight="1">
      <c r="A57" s="3899"/>
      <c r="B57" s="849" t="s">
        <v>13</v>
      </c>
      <c r="C57" s="3903"/>
      <c r="D57" s="851">
        <f>SUM(E57:G57)</f>
        <v>0</v>
      </c>
      <c r="E57" s="1765"/>
      <c r="F57" s="1765"/>
      <c r="G57" s="851"/>
      <c r="H57" s="851"/>
      <c r="I57" s="1765"/>
      <c r="J57" s="1765"/>
      <c r="K57" s="1765"/>
      <c r="L57" s="1765"/>
      <c r="M57" s="3905"/>
      <c r="N57" s="3905"/>
      <c r="O57" s="3872"/>
      <c r="P57" s="457"/>
    </row>
    <row r="58" spans="1:16" ht="12.75" customHeight="1">
      <c r="A58" s="3899"/>
      <c r="B58" s="848" t="s">
        <v>18</v>
      </c>
      <c r="C58" s="3903"/>
      <c r="D58" s="852">
        <f t="shared" ref="D58:L58" si="50">+D59</f>
        <v>1125713</v>
      </c>
      <c r="E58" s="870">
        <f t="shared" si="50"/>
        <v>0</v>
      </c>
      <c r="F58" s="870">
        <f t="shared" si="50"/>
        <v>0</v>
      </c>
      <c r="G58" s="852">
        <f t="shared" si="50"/>
        <v>586163</v>
      </c>
      <c r="H58" s="852">
        <f t="shared" si="50"/>
        <v>539550</v>
      </c>
      <c r="I58" s="870">
        <f t="shared" si="50"/>
        <v>0</v>
      </c>
      <c r="J58" s="870">
        <f t="shared" si="50"/>
        <v>0</v>
      </c>
      <c r="K58" s="870">
        <f t="shared" si="50"/>
        <v>0</v>
      </c>
      <c r="L58" s="870">
        <f t="shared" si="50"/>
        <v>0</v>
      </c>
      <c r="M58" s="3905"/>
      <c r="N58" s="3905"/>
      <c r="O58" s="3872"/>
      <c r="P58" s="457"/>
    </row>
    <row r="59" spans="1:16" ht="11.25" customHeight="1" thickBot="1">
      <c r="A59" s="3864"/>
      <c r="B59" s="575" t="s">
        <v>21</v>
      </c>
      <c r="C59" s="3904"/>
      <c r="D59" s="832">
        <f>E59+F59+G59+H59+I59+J59+K59+L59</f>
        <v>1125713</v>
      </c>
      <c r="E59" s="557">
        <v>0</v>
      </c>
      <c r="F59" s="871">
        <v>0</v>
      </c>
      <c r="G59" s="448">
        <v>586163</v>
      </c>
      <c r="H59" s="448">
        <v>539550</v>
      </c>
      <c r="I59" s="871">
        <v>0</v>
      </c>
      <c r="J59" s="871">
        <v>0</v>
      </c>
      <c r="K59" s="871">
        <v>0</v>
      </c>
      <c r="L59" s="871">
        <v>0</v>
      </c>
      <c r="M59" s="3870"/>
      <c r="N59" s="3870"/>
      <c r="O59" s="3873"/>
      <c r="P59" s="457"/>
    </row>
    <row r="60" spans="1:16" ht="0.6" customHeight="1">
      <c r="A60" s="3071"/>
      <c r="B60" s="875" t="s">
        <v>21</v>
      </c>
      <c r="C60" s="3073"/>
      <c r="D60" s="3173">
        <f>SUM(E60:G60)</f>
        <v>0</v>
      </c>
      <c r="E60" s="1511">
        <v>0</v>
      </c>
      <c r="F60" s="1511"/>
      <c r="G60" s="1511"/>
      <c r="H60" s="1511"/>
      <c r="I60" s="1511"/>
      <c r="J60" s="1511"/>
      <c r="K60" s="1511"/>
      <c r="L60" s="1511"/>
      <c r="M60" s="3072"/>
      <c r="N60" s="3072"/>
      <c r="O60" s="2053"/>
      <c r="P60" s="457"/>
    </row>
    <row r="61" spans="1:16" ht="27" customHeight="1">
      <c r="A61" s="3891" t="s">
        <v>65</v>
      </c>
      <c r="B61" s="2089" t="s">
        <v>446</v>
      </c>
      <c r="C61" s="2090" t="s">
        <v>109</v>
      </c>
      <c r="D61" s="1159"/>
      <c r="E61" s="3161"/>
      <c r="F61" s="3161"/>
      <c r="G61" s="3161"/>
      <c r="H61" s="3161"/>
      <c r="I61" s="3161"/>
      <c r="J61" s="3161"/>
      <c r="K61" s="3161"/>
      <c r="L61" s="41"/>
      <c r="M61" s="1533"/>
      <c r="N61" s="1533"/>
      <c r="O61" s="3906" t="s">
        <v>399</v>
      </c>
      <c r="P61" s="457"/>
    </row>
    <row r="62" spans="1:16" ht="12" customHeight="1">
      <c r="A62" s="3891"/>
      <c r="B62" s="2091" t="s">
        <v>10</v>
      </c>
      <c r="C62" s="1572"/>
      <c r="D62" s="1532">
        <f t="shared" ref="D62:L62" si="51">+D63+D66</f>
        <v>12441351</v>
      </c>
      <c r="E62" s="1532">
        <f t="shared" ref="E62" si="52">+E63+E66</f>
        <v>1741141</v>
      </c>
      <c r="F62" s="1532">
        <f t="shared" si="51"/>
        <v>1271441</v>
      </c>
      <c r="G62" s="1532">
        <f t="shared" si="51"/>
        <v>2030017</v>
      </c>
      <c r="H62" s="1532">
        <f t="shared" si="51"/>
        <v>1885382</v>
      </c>
      <c r="I62" s="1532">
        <f t="shared" si="51"/>
        <v>1885382</v>
      </c>
      <c r="J62" s="1532">
        <f t="shared" si="51"/>
        <v>1855719</v>
      </c>
      <c r="K62" s="1532">
        <f t="shared" si="51"/>
        <v>886134</v>
      </c>
      <c r="L62" s="1532">
        <f t="shared" si="51"/>
        <v>886135</v>
      </c>
      <c r="M62" s="1477">
        <f>+M63+M66</f>
        <v>9814075</v>
      </c>
      <c r="N62" s="1477">
        <f>+N63+N66</f>
        <v>9428769</v>
      </c>
      <c r="O62" s="3844"/>
      <c r="P62" s="457"/>
    </row>
    <row r="63" spans="1:16" ht="12" customHeight="1">
      <c r="A63" s="3891"/>
      <c r="B63" s="2092" t="s">
        <v>24</v>
      </c>
      <c r="C63" s="3893" t="s">
        <v>120</v>
      </c>
      <c r="D63" s="1775">
        <f t="shared" ref="D63:L63" si="53">+D64+D65</f>
        <v>1955780</v>
      </c>
      <c r="E63" s="1775">
        <f t="shared" ref="E63" si="54">+E64+E65</f>
        <v>273708</v>
      </c>
      <c r="F63" s="1775">
        <f t="shared" si="53"/>
        <v>199870</v>
      </c>
      <c r="G63" s="1775">
        <f t="shared" si="53"/>
        <v>319119</v>
      </c>
      <c r="H63" s="1775">
        <f t="shared" si="53"/>
        <v>296382</v>
      </c>
      <c r="I63" s="1775">
        <f t="shared" si="53"/>
        <v>296382</v>
      </c>
      <c r="J63" s="1775">
        <f t="shared" si="53"/>
        <v>291719</v>
      </c>
      <c r="K63" s="1775">
        <f t="shared" si="53"/>
        <v>139300</v>
      </c>
      <c r="L63" s="1775">
        <f t="shared" si="53"/>
        <v>139300</v>
      </c>
      <c r="M63" s="1785">
        <f>+M64+M65</f>
        <v>1542772</v>
      </c>
      <c r="N63" s="1785">
        <f>+N64+N65</f>
        <v>1482202</v>
      </c>
      <c r="O63" s="3844"/>
      <c r="P63" s="457"/>
    </row>
    <row r="64" spans="1:16" ht="12" customHeight="1">
      <c r="A64" s="3891"/>
      <c r="B64" s="2093" t="s">
        <v>12</v>
      </c>
      <c r="C64" s="3848"/>
      <c r="D64" s="1406">
        <f>E64+F64+G64+H64+I64+J64+K64+L64</f>
        <v>1955780</v>
      </c>
      <c r="E64" s="1453">
        <v>273708</v>
      </c>
      <c r="F64" s="1488">
        <f>219137+39195+186-30030-28618</f>
        <v>199870</v>
      </c>
      <c r="G64" s="1488">
        <f>219137+40716-186+30030+29422</f>
        <v>319119</v>
      </c>
      <c r="H64" s="1488">
        <f>354390-58008</f>
        <v>296382</v>
      </c>
      <c r="I64" s="1488">
        <f>354390-58008</f>
        <v>296382</v>
      </c>
      <c r="J64" s="1488">
        <v>291719</v>
      </c>
      <c r="K64" s="1488">
        <v>139300</v>
      </c>
      <c r="L64" s="1488">
        <v>139300</v>
      </c>
      <c r="M64" s="1796">
        <f>SUM(F64:K64)</f>
        <v>1542772</v>
      </c>
      <c r="N64" s="1796">
        <f>SUM(G64:L64)</f>
        <v>1482202</v>
      </c>
      <c r="O64" s="3844"/>
      <c r="P64" s="457"/>
    </row>
    <row r="65" spans="1:16" ht="12" hidden="1" customHeight="1">
      <c r="A65" s="3891"/>
      <c r="B65" s="2093" t="s">
        <v>13</v>
      </c>
      <c r="C65" s="3848"/>
      <c r="D65" s="1496"/>
      <c r="E65" s="1488"/>
      <c r="F65" s="1488"/>
      <c r="G65" s="1488"/>
      <c r="H65" s="1488"/>
      <c r="I65" s="1488"/>
      <c r="J65" s="1488"/>
      <c r="K65" s="1488"/>
      <c r="L65" s="1488"/>
      <c r="M65" s="1796">
        <f>SUM(F65:K65)</f>
        <v>0</v>
      </c>
      <c r="N65" s="1796">
        <f>SUM(G65:L65)</f>
        <v>0</v>
      </c>
      <c r="O65" s="3844"/>
      <c r="P65" s="457"/>
    </row>
    <row r="66" spans="1:16" ht="12" customHeight="1">
      <c r="A66" s="3891"/>
      <c r="B66" s="2094" t="s">
        <v>18</v>
      </c>
      <c r="C66" s="3848"/>
      <c r="D66" s="1485">
        <f>+D67</f>
        <v>10485571</v>
      </c>
      <c r="E66" s="1485">
        <f t="shared" ref="E66:L66" si="55">+E67</f>
        <v>1467433</v>
      </c>
      <c r="F66" s="1485">
        <f t="shared" si="55"/>
        <v>1071571</v>
      </c>
      <c r="G66" s="1485">
        <f t="shared" si="55"/>
        <v>1710898</v>
      </c>
      <c r="H66" s="1485">
        <f t="shared" si="55"/>
        <v>1589000</v>
      </c>
      <c r="I66" s="1485">
        <f t="shared" si="55"/>
        <v>1589000</v>
      </c>
      <c r="J66" s="1485">
        <f t="shared" si="55"/>
        <v>1564000</v>
      </c>
      <c r="K66" s="1485">
        <f t="shared" si="55"/>
        <v>746834</v>
      </c>
      <c r="L66" s="1485">
        <f t="shared" si="55"/>
        <v>746835</v>
      </c>
      <c r="M66" s="1569">
        <f>+M67</f>
        <v>8271303</v>
      </c>
      <c r="N66" s="1569">
        <f>+N67</f>
        <v>7946567</v>
      </c>
      <c r="O66" s="3844"/>
      <c r="P66" s="457"/>
    </row>
    <row r="67" spans="1:16" ht="11.25" customHeight="1">
      <c r="A67" s="3891"/>
      <c r="B67" s="2093" t="s">
        <v>21</v>
      </c>
      <c r="C67" s="3848"/>
      <c r="D67" s="1406">
        <f>E67+F67+G67+H67+I67+J67+K67+L67</f>
        <v>10485571</v>
      </c>
      <c r="E67" s="1453">
        <v>1467433</v>
      </c>
      <c r="F67" s="1488">
        <f>1174863+210137+1000-161000-153429</f>
        <v>1071571</v>
      </c>
      <c r="G67" s="1488">
        <f>1174863+218294-1000+161000+157741</f>
        <v>1710898</v>
      </c>
      <c r="H67" s="1488">
        <f>1900000-311000</f>
        <v>1589000</v>
      </c>
      <c r="I67" s="1488">
        <f>1900000-311000</f>
        <v>1589000</v>
      </c>
      <c r="J67" s="1488">
        <v>1564000</v>
      </c>
      <c r="K67" s="1488">
        <v>746834</v>
      </c>
      <c r="L67" s="1488">
        <v>746835</v>
      </c>
      <c r="M67" s="1796">
        <f>SUM(F67:K67)</f>
        <v>8271303</v>
      </c>
      <c r="N67" s="1796">
        <f>SUM(G67:L67)</f>
        <v>7946567</v>
      </c>
      <c r="O67" s="3845"/>
      <c r="P67" s="457"/>
    </row>
    <row r="68" spans="1:16">
      <c r="A68" s="3891"/>
      <c r="B68" s="2091" t="s">
        <v>22</v>
      </c>
      <c r="C68" s="1572"/>
      <c r="D68" s="1797">
        <f t="shared" ref="D68" si="56">+D69+D71</f>
        <v>10485571</v>
      </c>
      <c r="E68" s="1797">
        <f t="shared" ref="E68" si="57">+E69+E71</f>
        <v>1467433</v>
      </c>
      <c r="F68" s="1797">
        <f>+F69+F71</f>
        <v>1071571</v>
      </c>
      <c r="G68" s="1797">
        <f>+G69+G71</f>
        <v>1710898</v>
      </c>
      <c r="H68" s="1797">
        <f t="shared" ref="H68:L68" si="58">+H69+H71</f>
        <v>1589000</v>
      </c>
      <c r="I68" s="1797">
        <f t="shared" si="58"/>
        <v>1589000</v>
      </c>
      <c r="J68" s="1797">
        <f t="shared" si="58"/>
        <v>1564000</v>
      </c>
      <c r="K68" s="1797">
        <f t="shared" si="58"/>
        <v>746834</v>
      </c>
      <c r="L68" s="1797">
        <f t="shared" si="58"/>
        <v>746835</v>
      </c>
      <c r="M68" s="3849" t="s">
        <v>61</v>
      </c>
      <c r="N68" s="3849" t="s">
        <v>61</v>
      </c>
      <c r="O68" s="2519"/>
      <c r="P68" s="1389">
        <f>'[2]Tab. 6B Polit społ i rozwój prz'!$M$162+'[2]Tab. 6B Polit społ i rozwój prz'!$P$162-E68</f>
        <v>0</v>
      </c>
    </row>
    <row r="69" spans="1:16" ht="12" hidden="1" customHeight="1">
      <c r="A69" s="3891"/>
      <c r="B69" s="2092" t="s">
        <v>24</v>
      </c>
      <c r="C69" s="3894" t="s">
        <v>120</v>
      </c>
      <c r="D69" s="1485">
        <f t="shared" ref="D69:L69" si="59">+D70</f>
        <v>0</v>
      </c>
      <c r="E69" s="1485">
        <f t="shared" si="59"/>
        <v>0</v>
      </c>
      <c r="F69" s="1485">
        <f t="shared" si="59"/>
        <v>0</v>
      </c>
      <c r="G69" s="1485">
        <f t="shared" si="59"/>
        <v>0</v>
      </c>
      <c r="H69" s="1485">
        <f t="shared" si="59"/>
        <v>0</v>
      </c>
      <c r="I69" s="1485">
        <f t="shared" si="59"/>
        <v>0</v>
      </c>
      <c r="J69" s="1485">
        <f t="shared" si="59"/>
        <v>0</v>
      </c>
      <c r="K69" s="1485">
        <f t="shared" si="59"/>
        <v>0</v>
      </c>
      <c r="L69" s="1485">
        <f t="shared" si="59"/>
        <v>0</v>
      </c>
      <c r="M69" s="3849"/>
      <c r="N69" s="3849"/>
      <c r="O69" s="2519"/>
      <c r="P69" s="457"/>
    </row>
    <row r="70" spans="1:16" ht="12" hidden="1" customHeight="1">
      <c r="A70" s="3891"/>
      <c r="B70" s="2093" t="s">
        <v>13</v>
      </c>
      <c r="C70" s="3848"/>
      <c r="D70" s="1496"/>
      <c r="E70" s="1496">
        <v>0</v>
      </c>
      <c r="F70" s="1496"/>
      <c r="G70" s="1496"/>
      <c r="H70" s="1496"/>
      <c r="I70" s="1496"/>
      <c r="J70" s="1496"/>
      <c r="K70" s="1496"/>
      <c r="L70" s="1496"/>
      <c r="M70" s="3849"/>
      <c r="N70" s="3849"/>
      <c r="O70" s="2519"/>
      <c r="P70" s="457"/>
    </row>
    <row r="71" spans="1:16" ht="12" customHeight="1">
      <c r="A71" s="3891"/>
      <c r="B71" s="2094" t="s">
        <v>18</v>
      </c>
      <c r="C71" s="3895"/>
      <c r="D71" s="1485">
        <f t="shared" ref="D71:L71" si="60">+D72</f>
        <v>10485571</v>
      </c>
      <c r="E71" s="1485">
        <f t="shared" si="60"/>
        <v>1467433</v>
      </c>
      <c r="F71" s="1485">
        <f t="shared" si="60"/>
        <v>1071571</v>
      </c>
      <c r="G71" s="1485">
        <f t="shared" si="60"/>
        <v>1710898</v>
      </c>
      <c r="H71" s="1485">
        <f t="shared" si="60"/>
        <v>1589000</v>
      </c>
      <c r="I71" s="1485">
        <f t="shared" si="60"/>
        <v>1589000</v>
      </c>
      <c r="J71" s="1485">
        <f t="shared" si="60"/>
        <v>1564000</v>
      </c>
      <c r="K71" s="1485">
        <f t="shared" si="60"/>
        <v>746834</v>
      </c>
      <c r="L71" s="1485">
        <f t="shared" si="60"/>
        <v>746835</v>
      </c>
      <c r="M71" s="3849"/>
      <c r="N71" s="3849"/>
      <c r="O71" s="2521" t="s">
        <v>473</v>
      </c>
      <c r="P71" s="458">
        <f>G68-'[1]Tab. 6B Polit społ i rozwój prz'!$G$67</f>
        <v>157741</v>
      </c>
    </row>
    <row r="72" spans="1:16" ht="12" customHeight="1" thickBot="1">
      <c r="A72" s="3892"/>
      <c r="B72" s="2095" t="s">
        <v>21</v>
      </c>
      <c r="C72" s="3896"/>
      <c r="D72" s="1578">
        <f>E72+F72+G72+H72+I72+J72+K72+L72</f>
        <v>10485571</v>
      </c>
      <c r="E72" s="1578">
        <v>1467433</v>
      </c>
      <c r="F72" s="1786">
        <f>1174863+210137+1000-161000-153429</f>
        <v>1071571</v>
      </c>
      <c r="G72" s="1786">
        <f>1174863+218294-1000+161000+157741</f>
        <v>1710898</v>
      </c>
      <c r="H72" s="1786">
        <f>1900000-311000</f>
        <v>1589000</v>
      </c>
      <c r="I72" s="1786">
        <f>1900000-311000</f>
        <v>1589000</v>
      </c>
      <c r="J72" s="1786">
        <v>1564000</v>
      </c>
      <c r="K72" s="1786">
        <v>746834</v>
      </c>
      <c r="L72" s="1786">
        <v>746835</v>
      </c>
      <c r="M72" s="3678"/>
      <c r="N72" s="3678"/>
      <c r="O72" s="2520"/>
      <c r="P72" s="457"/>
    </row>
    <row r="73" spans="1:16" ht="25.5" customHeight="1">
      <c r="A73" s="3942" t="s">
        <v>66</v>
      </c>
      <c r="B73" s="2096" t="s">
        <v>468</v>
      </c>
      <c r="C73" s="2097" t="s">
        <v>81</v>
      </c>
      <c r="D73" s="1159"/>
      <c r="E73" s="3161"/>
      <c r="F73" s="3161"/>
      <c r="G73" s="3161"/>
      <c r="H73" s="3161"/>
      <c r="I73" s="3161"/>
      <c r="J73" s="3161"/>
      <c r="K73" s="3161"/>
      <c r="L73" s="41"/>
      <c r="M73" s="2099"/>
      <c r="N73" s="2099"/>
      <c r="O73" s="3865" t="s">
        <v>400</v>
      </c>
      <c r="P73" s="457"/>
    </row>
    <row r="74" spans="1:16" ht="14.25" customHeight="1">
      <c r="A74" s="3943"/>
      <c r="B74" s="845" t="s">
        <v>10</v>
      </c>
      <c r="C74" s="846"/>
      <c r="D74" s="613">
        <f t="shared" ref="D74:F74" si="61">+D75+D78</f>
        <v>31387</v>
      </c>
      <c r="E74" s="613">
        <f t="shared" ref="E74" si="62">+E75+E78</f>
        <v>18705</v>
      </c>
      <c r="F74" s="613">
        <f t="shared" si="61"/>
        <v>12682</v>
      </c>
      <c r="G74" s="613"/>
      <c r="H74" s="613"/>
      <c r="I74" s="613"/>
      <c r="J74" s="613"/>
      <c r="K74" s="613"/>
      <c r="L74" s="613"/>
      <c r="M74" s="847">
        <f>+M75+M78</f>
        <v>12682</v>
      </c>
      <c r="N74" s="847">
        <f>+N75+N78</f>
        <v>0</v>
      </c>
      <c r="O74" s="3844"/>
      <c r="P74" s="457"/>
    </row>
    <row r="75" spans="1:16" ht="12" customHeight="1">
      <c r="A75" s="3943"/>
      <c r="B75" s="848" t="s">
        <v>24</v>
      </c>
      <c r="C75" s="3846" t="s">
        <v>120</v>
      </c>
      <c r="D75" s="643">
        <f t="shared" ref="D75:F75" si="63">+D76+D77</f>
        <v>4934</v>
      </c>
      <c r="E75" s="643">
        <f t="shared" ref="E75" si="64">+E76+E77</f>
        <v>2940</v>
      </c>
      <c r="F75" s="643">
        <f t="shared" si="63"/>
        <v>1994</v>
      </c>
      <c r="G75" s="643"/>
      <c r="H75" s="643"/>
      <c r="I75" s="643"/>
      <c r="J75" s="643"/>
      <c r="K75" s="643"/>
      <c r="L75" s="643"/>
      <c r="M75" s="641">
        <f>+M76+M77</f>
        <v>1994</v>
      </c>
      <c r="N75" s="641">
        <f>+N76+N77</f>
        <v>0</v>
      </c>
      <c r="O75" s="3844"/>
      <c r="P75" s="457"/>
    </row>
    <row r="76" spans="1:16" ht="12" customHeight="1">
      <c r="A76" s="3943"/>
      <c r="B76" s="849" t="s">
        <v>12</v>
      </c>
      <c r="C76" s="3847"/>
      <c r="D76" s="239">
        <f>E76+F76+G76+H76+I76+J76+K76+L76</f>
        <v>4934</v>
      </c>
      <c r="E76" s="275">
        <v>2940</v>
      </c>
      <c r="F76" s="632">
        <f>2798-804</f>
        <v>1994</v>
      </c>
      <c r="G76" s="632"/>
      <c r="H76" s="632"/>
      <c r="I76" s="632"/>
      <c r="J76" s="632"/>
      <c r="K76" s="632"/>
      <c r="L76" s="632"/>
      <c r="M76" s="917">
        <f>SUM(F76:K76)</f>
        <v>1994</v>
      </c>
      <c r="N76" s="917">
        <f>SUM(G76:L76)</f>
        <v>0</v>
      </c>
      <c r="O76" s="3844"/>
      <c r="P76" s="457"/>
    </row>
    <row r="77" spans="1:16" ht="12" hidden="1" customHeight="1">
      <c r="A77" s="3943"/>
      <c r="B77" s="849" t="s">
        <v>13</v>
      </c>
      <c r="C77" s="3847"/>
      <c r="D77" s="851"/>
      <c r="E77" s="632"/>
      <c r="F77" s="632"/>
      <c r="G77" s="632"/>
      <c r="H77" s="632"/>
      <c r="I77" s="632"/>
      <c r="J77" s="632"/>
      <c r="K77" s="632"/>
      <c r="L77" s="632"/>
      <c r="M77" s="917">
        <f>SUM(F77:K77)</f>
        <v>0</v>
      </c>
      <c r="N77" s="917">
        <f>SUM(G77:L77)</f>
        <v>0</v>
      </c>
      <c r="O77" s="3844"/>
      <c r="P77" s="457"/>
    </row>
    <row r="78" spans="1:16" ht="12" customHeight="1">
      <c r="A78" s="3943"/>
      <c r="B78" s="2100" t="s">
        <v>18</v>
      </c>
      <c r="C78" s="3847"/>
      <c r="D78" s="852">
        <f>+D79</f>
        <v>26453</v>
      </c>
      <c r="E78" s="852">
        <f t="shared" ref="E78:F78" si="65">+E79</f>
        <v>15765</v>
      </c>
      <c r="F78" s="852">
        <f t="shared" si="65"/>
        <v>10688</v>
      </c>
      <c r="G78" s="852"/>
      <c r="H78" s="852"/>
      <c r="I78" s="852"/>
      <c r="J78" s="852"/>
      <c r="K78" s="852"/>
      <c r="L78" s="852"/>
      <c r="M78" s="2101">
        <f>+M79</f>
        <v>10688</v>
      </c>
      <c r="N78" s="2101">
        <f>+N79</f>
        <v>0</v>
      </c>
      <c r="O78" s="3844"/>
      <c r="P78" s="457"/>
    </row>
    <row r="79" spans="1:16" ht="12" customHeight="1">
      <c r="A79" s="3943"/>
      <c r="B79" s="849" t="s">
        <v>21</v>
      </c>
      <c r="C79" s="3847"/>
      <c r="D79" s="239">
        <f>E79+F79+G79+H79+I79+J79+K79+L79</f>
        <v>26453</v>
      </c>
      <c r="E79" s="275">
        <v>15765</v>
      </c>
      <c r="F79" s="632">
        <f>15000-4312</f>
        <v>10688</v>
      </c>
      <c r="G79" s="632"/>
      <c r="H79" s="632"/>
      <c r="I79" s="632"/>
      <c r="J79" s="632"/>
      <c r="K79" s="632"/>
      <c r="L79" s="632"/>
      <c r="M79" s="917">
        <f>SUM(F79:K79)</f>
        <v>10688</v>
      </c>
      <c r="N79" s="917">
        <f>SUM(G79:L79)</f>
        <v>0</v>
      </c>
      <c r="O79" s="3845"/>
      <c r="P79" s="457"/>
    </row>
    <row r="80" spans="1:16">
      <c r="A80" s="3943"/>
      <c r="B80" s="845" t="s">
        <v>22</v>
      </c>
      <c r="C80" s="846"/>
      <c r="D80" s="853">
        <f t="shared" ref="D80" si="66">+D81+D83</f>
        <v>26453</v>
      </c>
      <c r="E80" s="853">
        <f t="shared" ref="E80" si="67">+E81+E83</f>
        <v>15765</v>
      </c>
      <c r="F80" s="853">
        <f>+F81+F83</f>
        <v>10688</v>
      </c>
      <c r="G80" s="853"/>
      <c r="H80" s="853"/>
      <c r="I80" s="853"/>
      <c r="J80" s="853"/>
      <c r="K80" s="853"/>
      <c r="L80" s="853"/>
      <c r="M80" s="3905" t="s">
        <v>61</v>
      </c>
      <c r="N80" s="3905" t="s">
        <v>61</v>
      </c>
      <c r="O80" s="2519"/>
      <c r="P80" s="457"/>
    </row>
    <row r="81" spans="1:19" ht="12" hidden="1" customHeight="1">
      <c r="A81" s="3943"/>
      <c r="B81" s="848" t="s">
        <v>24</v>
      </c>
      <c r="C81" s="3925" t="s">
        <v>120</v>
      </c>
      <c r="D81" s="852">
        <f t="shared" ref="D81:E81" si="68">+D82</f>
        <v>0</v>
      </c>
      <c r="E81" s="852">
        <f t="shared" si="68"/>
        <v>0</v>
      </c>
      <c r="F81" s="852"/>
      <c r="G81" s="852"/>
      <c r="H81" s="852"/>
      <c r="I81" s="852"/>
      <c r="J81" s="852"/>
      <c r="K81" s="852"/>
      <c r="L81" s="852"/>
      <c r="M81" s="3905"/>
      <c r="N81" s="3905"/>
      <c r="O81" s="2519"/>
      <c r="P81" s="457"/>
    </row>
    <row r="82" spans="1:19" ht="12" hidden="1" customHeight="1">
      <c r="A82" s="3943"/>
      <c r="B82" s="849" t="s">
        <v>13</v>
      </c>
      <c r="C82" s="3847"/>
      <c r="D82" s="851"/>
      <c r="E82" s="851">
        <v>0</v>
      </c>
      <c r="F82" s="851"/>
      <c r="G82" s="851"/>
      <c r="H82" s="851"/>
      <c r="I82" s="851"/>
      <c r="J82" s="851"/>
      <c r="K82" s="851"/>
      <c r="L82" s="851"/>
      <c r="M82" s="3905"/>
      <c r="N82" s="3905"/>
      <c r="O82" s="2519"/>
      <c r="P82" s="457"/>
    </row>
    <row r="83" spans="1:19" ht="12" customHeight="1">
      <c r="A83" s="3943"/>
      <c r="B83" s="2100" t="s">
        <v>18</v>
      </c>
      <c r="C83" s="3926"/>
      <c r="D83" s="852">
        <f t="shared" ref="D83:F83" si="69">+D84</f>
        <v>26453</v>
      </c>
      <c r="E83" s="852">
        <f t="shared" si="69"/>
        <v>15765</v>
      </c>
      <c r="F83" s="852">
        <f t="shared" si="69"/>
        <v>10688</v>
      </c>
      <c r="G83" s="852"/>
      <c r="H83" s="852"/>
      <c r="I83" s="852"/>
      <c r="J83" s="852"/>
      <c r="K83" s="852"/>
      <c r="L83" s="852"/>
      <c r="M83" s="3905"/>
      <c r="N83" s="3888"/>
      <c r="O83" s="3070" t="s">
        <v>473</v>
      </c>
      <c r="P83" s="457"/>
    </row>
    <row r="84" spans="1:19" ht="12" customHeight="1" thickBot="1">
      <c r="A84" s="3892"/>
      <c r="B84" s="2102" t="s">
        <v>21</v>
      </c>
      <c r="C84" s="3927"/>
      <c r="D84" s="832">
        <f>E84+F84+G84+H84+I84+J84+K84+L84</f>
        <v>26453</v>
      </c>
      <c r="E84" s="832">
        <v>15765</v>
      </c>
      <c r="F84" s="448">
        <f>15000-4312</f>
        <v>10688</v>
      </c>
      <c r="G84" s="448"/>
      <c r="H84" s="448"/>
      <c r="I84" s="448"/>
      <c r="J84" s="448"/>
      <c r="K84" s="448"/>
      <c r="L84" s="448"/>
      <c r="M84" s="3870"/>
      <c r="N84" s="3890"/>
      <c r="O84" s="3018"/>
      <c r="P84" s="457"/>
    </row>
    <row r="85" spans="1:19" ht="18" customHeight="1">
      <c r="A85" s="3943" t="s">
        <v>67</v>
      </c>
      <c r="B85" s="2103" t="s">
        <v>266</v>
      </c>
      <c r="C85" s="2104" t="s">
        <v>109</v>
      </c>
      <c r="D85" s="1159"/>
      <c r="E85" s="3161"/>
      <c r="F85" s="3161"/>
      <c r="G85" s="3161"/>
      <c r="H85" s="3161"/>
      <c r="I85" s="3161"/>
      <c r="J85" s="3161"/>
      <c r="K85" s="3161"/>
      <c r="L85" s="41"/>
      <c r="M85" s="2105"/>
      <c r="N85" s="3013"/>
      <c r="O85" s="3907" t="s">
        <v>472</v>
      </c>
      <c r="P85" s="457"/>
      <c r="S85" s="388"/>
    </row>
    <row r="86" spans="1:19" ht="12" customHeight="1">
      <c r="A86" s="3943"/>
      <c r="B86" s="2106" t="s">
        <v>10</v>
      </c>
      <c r="C86" s="2107"/>
      <c r="D86" s="2108">
        <f>+D87+D90</f>
        <v>75114155</v>
      </c>
      <c r="E86" s="2108">
        <f t="shared" ref="E86" si="70">+E87+E90</f>
        <v>8674017</v>
      </c>
      <c r="F86" s="2108">
        <f t="shared" ref="F86:N86" si="71">+F87+F90</f>
        <v>9469610</v>
      </c>
      <c r="G86" s="2108">
        <f t="shared" si="71"/>
        <v>10487875</v>
      </c>
      <c r="H86" s="2108">
        <f t="shared" si="71"/>
        <v>10141275</v>
      </c>
      <c r="I86" s="2108">
        <f t="shared" si="71"/>
        <v>9701275</v>
      </c>
      <c r="J86" s="2108">
        <f t="shared" si="71"/>
        <v>9597275</v>
      </c>
      <c r="K86" s="2108">
        <f t="shared" si="71"/>
        <v>8877275</v>
      </c>
      <c r="L86" s="2108">
        <f t="shared" si="71"/>
        <v>8165553</v>
      </c>
      <c r="M86" s="2109">
        <f t="shared" ref="M86" si="72">+M87+M90</f>
        <v>66440138</v>
      </c>
      <c r="N86" s="2998">
        <f t="shared" si="71"/>
        <v>56970528</v>
      </c>
      <c r="O86" s="3908"/>
      <c r="P86" s="458"/>
      <c r="Q86" s="386"/>
      <c r="R86" s="386"/>
      <c r="S86" s="386"/>
    </row>
    <row r="87" spans="1:19" ht="14.25" customHeight="1">
      <c r="A87" s="3943"/>
      <c r="B87" s="2110" t="s">
        <v>24</v>
      </c>
      <c r="C87" s="3886" t="s">
        <v>120</v>
      </c>
      <c r="D87" s="1208">
        <f t="shared" ref="D87" si="73">+D88+D89</f>
        <v>11267123</v>
      </c>
      <c r="E87" s="1208">
        <f t="shared" ref="E87" si="74">+E88+E89</f>
        <v>1301102</v>
      </c>
      <c r="F87" s="1208">
        <f t="shared" ref="F87:N87" si="75">+F88+F89</f>
        <v>1420442</v>
      </c>
      <c r="G87" s="1208">
        <f t="shared" si="75"/>
        <v>1573180</v>
      </c>
      <c r="H87" s="1208">
        <f t="shared" si="75"/>
        <v>1521191</v>
      </c>
      <c r="I87" s="1208">
        <f t="shared" si="75"/>
        <v>1455191</v>
      </c>
      <c r="J87" s="1208">
        <f t="shared" si="75"/>
        <v>1439591</v>
      </c>
      <c r="K87" s="1208">
        <f t="shared" si="75"/>
        <v>1331592</v>
      </c>
      <c r="L87" s="1208">
        <f t="shared" si="75"/>
        <v>1224834</v>
      </c>
      <c r="M87" s="1209">
        <f t="shared" ref="M87" si="76">+M88+M89</f>
        <v>9966021</v>
      </c>
      <c r="N87" s="3014">
        <f t="shared" si="75"/>
        <v>8545579</v>
      </c>
      <c r="O87" s="3908"/>
      <c r="P87" s="457"/>
    </row>
    <row r="88" spans="1:19" ht="13.5" customHeight="1" thickBot="1">
      <c r="A88" s="3943"/>
      <c r="B88" s="2111" t="s">
        <v>12</v>
      </c>
      <c r="C88" s="3887"/>
      <c r="D88" s="239">
        <f>E88+F88+G88+H88+I88+J88+K88+L88</f>
        <v>11267123</v>
      </c>
      <c r="E88" s="275">
        <v>1301102</v>
      </c>
      <c r="F88" s="2112">
        <f>1467941+1868-1500+27303+9532-84702</f>
        <v>1420442</v>
      </c>
      <c r="G88" s="2112">
        <f>1467941+12137+74749+18353</f>
        <v>1573180</v>
      </c>
      <c r="H88" s="2112">
        <f>1452191+69000</f>
        <v>1521191</v>
      </c>
      <c r="I88" s="2112">
        <v>1455191</v>
      </c>
      <c r="J88" s="2112">
        <v>1439591</v>
      </c>
      <c r="K88" s="2112">
        <v>1331592</v>
      </c>
      <c r="L88" s="2112">
        <f>1299583-74749</f>
        <v>1224834</v>
      </c>
      <c r="M88" s="917">
        <f>SUM(F88:L88)</f>
        <v>9966021</v>
      </c>
      <c r="N88" s="3015">
        <f>SUM(G88:L88)</f>
        <v>8545579</v>
      </c>
      <c r="O88" s="3908"/>
      <c r="P88" s="458">
        <f>+N88-D88</f>
        <v>-2721544</v>
      </c>
    </row>
    <row r="89" spans="1:19" ht="13.5" hidden="1" customHeight="1">
      <c r="A89" s="3957"/>
      <c r="B89" s="2111" t="s">
        <v>13</v>
      </c>
      <c r="C89" s="3887"/>
      <c r="D89" s="239">
        <f>E89+F89+G89+H89+I89+J89+K89+L89</f>
        <v>0</v>
      </c>
      <c r="E89" s="2113">
        <v>0</v>
      </c>
      <c r="F89" s="2113"/>
      <c r="G89" s="2113"/>
      <c r="H89" s="2113"/>
      <c r="I89" s="2113"/>
      <c r="J89" s="2113"/>
      <c r="K89" s="2113"/>
      <c r="L89" s="2113"/>
      <c r="M89" s="917">
        <f>SUM(F89:K89)</f>
        <v>0</v>
      </c>
      <c r="N89" s="3015">
        <f>SUM(G89:L89)</f>
        <v>0</v>
      </c>
      <c r="O89" s="3909"/>
      <c r="P89" s="457"/>
    </row>
    <row r="90" spans="1:19" ht="13.5" customHeight="1" thickBot="1">
      <c r="A90" s="3949"/>
      <c r="B90" s="2114" t="s">
        <v>18</v>
      </c>
      <c r="C90" s="3887"/>
      <c r="D90" s="2115">
        <f>+D91</f>
        <v>63847032</v>
      </c>
      <c r="E90" s="2115">
        <f t="shared" ref="E90:N90" si="77">+E91</f>
        <v>7372915</v>
      </c>
      <c r="F90" s="2115">
        <f t="shared" si="77"/>
        <v>8049168</v>
      </c>
      <c r="G90" s="2115">
        <f t="shared" si="77"/>
        <v>8914695</v>
      </c>
      <c r="H90" s="2115">
        <f t="shared" si="77"/>
        <v>8620084</v>
      </c>
      <c r="I90" s="2115">
        <f t="shared" si="77"/>
        <v>8246084</v>
      </c>
      <c r="J90" s="2115">
        <f t="shared" si="77"/>
        <v>8157684</v>
      </c>
      <c r="K90" s="2115">
        <f t="shared" si="77"/>
        <v>7545683</v>
      </c>
      <c r="L90" s="2115">
        <f t="shared" si="77"/>
        <v>6940719</v>
      </c>
      <c r="M90" s="2116">
        <f t="shared" si="77"/>
        <v>56474117</v>
      </c>
      <c r="N90" s="3016">
        <f t="shared" si="77"/>
        <v>48424949</v>
      </c>
      <c r="O90" s="3910"/>
      <c r="P90" s="458">
        <f>+N90-D90</f>
        <v>-15422083</v>
      </c>
    </row>
    <row r="91" spans="1:19" ht="13.5" customHeight="1" thickBot="1">
      <c r="A91" s="3949"/>
      <c r="B91" s="2111" t="s">
        <v>21</v>
      </c>
      <c r="C91" s="3887"/>
      <c r="D91" s="239">
        <f>E91+F91+G91+H91+I91+J91+K91+L91</f>
        <v>63847032</v>
      </c>
      <c r="E91" s="275">
        <v>7372915</v>
      </c>
      <c r="F91" s="2117">
        <f>8318334+10585-8500+154719+54018-479988</f>
        <v>8049168</v>
      </c>
      <c r="G91" s="2118">
        <f>8318334+68767+423581+104013</f>
        <v>8914695</v>
      </c>
      <c r="H91" s="2118">
        <f>8229084+391000</f>
        <v>8620084</v>
      </c>
      <c r="I91" s="2118">
        <v>8246084</v>
      </c>
      <c r="J91" s="2118">
        <v>8157684</v>
      </c>
      <c r="K91" s="2118">
        <v>7545683</v>
      </c>
      <c r="L91" s="2118">
        <f>7364300-423581</f>
        <v>6940719</v>
      </c>
      <c r="M91" s="917">
        <f>SUM(F91:L91)</f>
        <v>56474117</v>
      </c>
      <c r="N91" s="3015">
        <f>SUM(G91:L91)</f>
        <v>48424949</v>
      </c>
      <c r="O91" s="3910"/>
      <c r="P91" s="457"/>
    </row>
    <row r="92" spans="1:19" s="389" customFormat="1" ht="13.5" customHeight="1" thickBot="1">
      <c r="A92" s="3949"/>
      <c r="B92" s="2106" t="s">
        <v>22</v>
      </c>
      <c r="C92" s="2107"/>
      <c r="D92" s="1237">
        <f t="shared" ref="D92" si="78">+D93+D95</f>
        <v>63847032</v>
      </c>
      <c r="E92" s="1237">
        <f t="shared" ref="E92" si="79">+E93+E95</f>
        <v>7372915</v>
      </c>
      <c r="F92" s="1237">
        <f>+F93+F95</f>
        <v>8049168</v>
      </c>
      <c r="G92" s="1237">
        <f t="shared" ref="G92:L92" si="80">+G93+G95</f>
        <v>8914695</v>
      </c>
      <c r="H92" s="1237">
        <f t="shared" si="80"/>
        <v>8620084</v>
      </c>
      <c r="I92" s="1237">
        <f t="shared" si="80"/>
        <v>8246084</v>
      </c>
      <c r="J92" s="1237">
        <f t="shared" si="80"/>
        <v>8157684</v>
      </c>
      <c r="K92" s="1237">
        <f t="shared" si="80"/>
        <v>7545683</v>
      </c>
      <c r="L92" s="1237">
        <f t="shared" si="80"/>
        <v>6940719</v>
      </c>
      <c r="M92" s="3911" t="s">
        <v>61</v>
      </c>
      <c r="N92" s="3888" t="s">
        <v>61</v>
      </c>
      <c r="O92" s="3019"/>
      <c r="P92" s="1871">
        <f>G92-'[1]Tab. 6B Polit społ i rozwój prz'!$G$91</f>
        <v>104013</v>
      </c>
    </row>
    <row r="93" spans="1:19" ht="11.25" hidden="1" customHeight="1">
      <c r="A93" s="3948"/>
      <c r="B93" s="2110" t="s">
        <v>24</v>
      </c>
      <c r="C93" s="3944" t="s">
        <v>211</v>
      </c>
      <c r="D93" s="2115">
        <f t="shared" ref="D93:L93" si="81">+D94</f>
        <v>0</v>
      </c>
      <c r="E93" s="2115">
        <f t="shared" si="81"/>
        <v>0</v>
      </c>
      <c r="F93" s="2115">
        <f t="shared" si="81"/>
        <v>0</v>
      </c>
      <c r="G93" s="2115">
        <f t="shared" si="81"/>
        <v>0</v>
      </c>
      <c r="H93" s="2115">
        <f t="shared" si="81"/>
        <v>0</v>
      </c>
      <c r="I93" s="2115">
        <f t="shared" si="81"/>
        <v>0</v>
      </c>
      <c r="J93" s="2115">
        <f t="shared" si="81"/>
        <v>0</v>
      </c>
      <c r="K93" s="2115">
        <f t="shared" si="81"/>
        <v>0</v>
      </c>
      <c r="L93" s="2115">
        <f t="shared" si="81"/>
        <v>0</v>
      </c>
      <c r="M93" s="3911"/>
      <c r="N93" s="3889"/>
      <c r="O93" s="3028"/>
      <c r="P93" s="2594"/>
    </row>
    <row r="94" spans="1:19" ht="11.25" hidden="1" customHeight="1">
      <c r="A94" s="3946"/>
      <c r="B94" s="2111" t="s">
        <v>13</v>
      </c>
      <c r="C94" s="3944"/>
      <c r="D94" s="239">
        <f>E94+F94+G94+H94+I94+J94+K94+L94</f>
        <v>0</v>
      </c>
      <c r="E94" s="2119"/>
      <c r="F94" s="2119"/>
      <c r="G94" s="2119"/>
      <c r="H94" s="2119"/>
      <c r="I94" s="2119"/>
      <c r="J94" s="2119"/>
      <c r="K94" s="2119"/>
      <c r="L94" s="2119"/>
      <c r="M94" s="3911"/>
      <c r="N94" s="3889"/>
      <c r="O94" s="3029"/>
      <c r="P94" s="2594"/>
    </row>
    <row r="95" spans="1:19" ht="13.5" customHeight="1" thickBot="1">
      <c r="A95" s="3946"/>
      <c r="B95" s="2114" t="s">
        <v>18</v>
      </c>
      <c r="C95" s="3944"/>
      <c r="D95" s="2115">
        <f t="shared" ref="D95:L95" si="82">+D96</f>
        <v>63847032</v>
      </c>
      <c r="E95" s="2115">
        <f t="shared" si="82"/>
        <v>7372915</v>
      </c>
      <c r="F95" s="2115">
        <f t="shared" si="82"/>
        <v>8049168</v>
      </c>
      <c r="G95" s="2115">
        <f t="shared" si="82"/>
        <v>8914695</v>
      </c>
      <c r="H95" s="2115">
        <f t="shared" si="82"/>
        <v>8620084</v>
      </c>
      <c r="I95" s="2115">
        <f t="shared" si="82"/>
        <v>8246084</v>
      </c>
      <c r="J95" s="2115">
        <f t="shared" si="82"/>
        <v>8157684</v>
      </c>
      <c r="K95" s="2115">
        <f t="shared" si="82"/>
        <v>7545683</v>
      </c>
      <c r="L95" s="2115">
        <f t="shared" si="82"/>
        <v>6940719</v>
      </c>
      <c r="M95" s="3911"/>
      <c r="N95" s="3889"/>
      <c r="O95" s="3075" t="s">
        <v>282</v>
      </c>
      <c r="P95" s="2594"/>
    </row>
    <row r="96" spans="1:19" ht="15" customHeight="1" thickBot="1">
      <c r="A96" s="3946"/>
      <c r="B96" s="575" t="s">
        <v>21</v>
      </c>
      <c r="C96" s="3945"/>
      <c r="D96" s="832">
        <f>E96+F96+G96+H96+I96+J96+K96+L96</f>
        <v>63847032</v>
      </c>
      <c r="E96" s="832">
        <v>7372915</v>
      </c>
      <c r="F96" s="576">
        <f>8318334+10585-8500+154719+54018-479988</f>
        <v>8049168</v>
      </c>
      <c r="G96" s="576">
        <f>8318334+68767+423581+104013</f>
        <v>8914695</v>
      </c>
      <c r="H96" s="576">
        <f>8229084+391000</f>
        <v>8620084</v>
      </c>
      <c r="I96" s="576">
        <v>8246084</v>
      </c>
      <c r="J96" s="576">
        <v>8157684</v>
      </c>
      <c r="K96" s="576">
        <v>7545683</v>
      </c>
      <c r="L96" s="576">
        <f>7364300-423581</f>
        <v>6940719</v>
      </c>
      <c r="M96" s="3870"/>
      <c r="N96" s="3890"/>
      <c r="O96" s="3019"/>
      <c r="P96" s="2594"/>
    </row>
    <row r="97" spans="1:16" ht="24" customHeight="1" thickBot="1">
      <c r="A97" s="3946" t="s">
        <v>115</v>
      </c>
      <c r="B97" s="2096" t="s">
        <v>299</v>
      </c>
      <c r="C97" s="2097" t="s">
        <v>81</v>
      </c>
      <c r="D97" s="1159"/>
      <c r="E97" s="3161"/>
      <c r="F97" s="3161"/>
      <c r="G97" s="3161"/>
      <c r="H97" s="3161"/>
      <c r="I97" s="3161"/>
      <c r="J97" s="3161"/>
      <c r="K97" s="3161"/>
      <c r="L97" s="41"/>
      <c r="M97" s="2099"/>
      <c r="N97" s="2858"/>
      <c r="O97" s="3852" t="s">
        <v>472</v>
      </c>
      <c r="P97" s="2594"/>
    </row>
    <row r="98" spans="1:16">
      <c r="A98" s="3947"/>
      <c r="B98" s="2106" t="s">
        <v>10</v>
      </c>
      <c r="C98" s="2107"/>
      <c r="D98" s="2108">
        <f t="shared" ref="D98:N98" si="83">+D99+D102</f>
        <v>65574</v>
      </c>
      <c r="E98" s="2108">
        <f t="shared" ref="E98" si="84">+E99+E102</f>
        <v>7250</v>
      </c>
      <c r="F98" s="2108">
        <f t="shared" si="83"/>
        <v>58324</v>
      </c>
      <c r="G98" s="2108">
        <f t="shared" si="83"/>
        <v>0</v>
      </c>
      <c r="H98" s="2108">
        <f t="shared" si="83"/>
        <v>0</v>
      </c>
      <c r="I98" s="2108">
        <f t="shared" si="83"/>
        <v>0</v>
      </c>
      <c r="J98" s="2108">
        <f t="shared" si="83"/>
        <v>0</v>
      </c>
      <c r="K98" s="2108">
        <f t="shared" si="83"/>
        <v>0</v>
      </c>
      <c r="L98" s="2108">
        <f t="shared" si="83"/>
        <v>0</v>
      </c>
      <c r="M98" s="2998">
        <f t="shared" ref="M98" si="85">+M99+M102</f>
        <v>58324</v>
      </c>
      <c r="N98" s="3104">
        <f t="shared" si="83"/>
        <v>0</v>
      </c>
      <c r="O98" s="3853"/>
      <c r="P98" s="2594"/>
    </row>
    <row r="99" spans="1:16" ht="13.5" thickBot="1">
      <c r="A99" s="3948"/>
      <c r="B99" s="2110" t="s">
        <v>24</v>
      </c>
      <c r="C99" s="3886" t="s">
        <v>120</v>
      </c>
      <c r="D99" s="1208">
        <f t="shared" ref="D99:N99" si="86">+D100+D101</f>
        <v>9836</v>
      </c>
      <c r="E99" s="1208">
        <f t="shared" ref="E99" si="87">+E100+E101</f>
        <v>1087</v>
      </c>
      <c r="F99" s="1208">
        <f t="shared" si="86"/>
        <v>8749</v>
      </c>
      <c r="G99" s="1208">
        <f t="shared" si="86"/>
        <v>0</v>
      </c>
      <c r="H99" s="1208">
        <f t="shared" si="86"/>
        <v>0</v>
      </c>
      <c r="I99" s="1208">
        <f t="shared" si="86"/>
        <v>0</v>
      </c>
      <c r="J99" s="1208">
        <f t="shared" si="86"/>
        <v>0</v>
      </c>
      <c r="K99" s="1208">
        <f t="shared" si="86"/>
        <v>0</v>
      </c>
      <c r="L99" s="1208">
        <f t="shared" si="86"/>
        <v>0</v>
      </c>
      <c r="M99" s="1209">
        <f t="shared" ref="M99" si="88">+M100+M101</f>
        <v>8749</v>
      </c>
      <c r="N99" s="3105">
        <f t="shared" si="86"/>
        <v>0</v>
      </c>
      <c r="O99" s="3854"/>
      <c r="P99" s="2594"/>
    </row>
    <row r="100" spans="1:16" ht="13.5" thickBot="1">
      <c r="A100" s="3946"/>
      <c r="B100" s="2111" t="s">
        <v>12</v>
      </c>
      <c r="C100" s="3950"/>
      <c r="D100" s="1453">
        <f>E100+F100+G100+H100+I100+J100+K100+L100</f>
        <v>9836</v>
      </c>
      <c r="E100" s="1453">
        <v>1087</v>
      </c>
      <c r="F100" s="2112">
        <f>1500+9900-2651</f>
        <v>8749</v>
      </c>
      <c r="G100" s="2112"/>
      <c r="H100" s="2112"/>
      <c r="I100" s="2112"/>
      <c r="J100" s="2112"/>
      <c r="K100" s="2112"/>
      <c r="L100" s="2112"/>
      <c r="M100" s="2950">
        <f>SUM(F100:K100)</f>
        <v>8749</v>
      </c>
      <c r="N100" s="3106">
        <f>SUM(G100:L100)</f>
        <v>0</v>
      </c>
      <c r="O100" s="3855"/>
      <c r="P100" s="2594"/>
    </row>
    <row r="101" spans="1:16" ht="12.75" hidden="1" customHeight="1">
      <c r="A101" s="3946"/>
      <c r="B101" s="2955" t="s">
        <v>13</v>
      </c>
      <c r="C101" s="3951"/>
      <c r="D101" s="2722">
        <f>E101+F101+G101+H101+I101+J101+K101+L101</f>
        <v>0</v>
      </c>
      <c r="E101" s="54">
        <v>0</v>
      </c>
      <c r="F101" s="54"/>
      <c r="G101" s="54"/>
      <c r="H101" s="54"/>
      <c r="I101" s="54"/>
      <c r="J101" s="54"/>
      <c r="K101" s="54"/>
      <c r="L101" s="54"/>
      <c r="M101" s="2965">
        <f>SUM(F101:K101)</f>
        <v>0</v>
      </c>
      <c r="N101" s="2965">
        <f>SUM(G101:L101)</f>
        <v>0</v>
      </c>
      <c r="O101" s="3856"/>
      <c r="P101" s="457"/>
    </row>
    <row r="102" spans="1:16">
      <c r="A102" s="3949"/>
      <c r="B102" s="2114" t="s">
        <v>18</v>
      </c>
      <c r="C102" s="3952"/>
      <c r="D102" s="2115">
        <f>+D103</f>
        <v>55738</v>
      </c>
      <c r="E102" s="2115">
        <f t="shared" ref="E102:N102" si="89">+E103</f>
        <v>6163</v>
      </c>
      <c r="F102" s="2115">
        <f t="shared" si="89"/>
        <v>49575</v>
      </c>
      <c r="G102" s="2115">
        <f t="shared" si="89"/>
        <v>0</v>
      </c>
      <c r="H102" s="2115">
        <f t="shared" si="89"/>
        <v>0</v>
      </c>
      <c r="I102" s="2115">
        <f t="shared" si="89"/>
        <v>0</v>
      </c>
      <c r="J102" s="2115">
        <f t="shared" si="89"/>
        <v>0</v>
      </c>
      <c r="K102" s="2115">
        <f t="shared" si="89"/>
        <v>0</v>
      </c>
      <c r="L102" s="2115">
        <f t="shared" si="89"/>
        <v>0</v>
      </c>
      <c r="M102" s="2896">
        <f t="shared" si="89"/>
        <v>49575</v>
      </c>
      <c r="N102" s="1569">
        <f t="shared" si="89"/>
        <v>0</v>
      </c>
      <c r="O102" s="3857"/>
      <c r="P102" s="457"/>
    </row>
    <row r="103" spans="1:16">
      <c r="A103" s="3763"/>
      <c r="B103" s="2111" t="s">
        <v>21</v>
      </c>
      <c r="C103" s="3953"/>
      <c r="D103" s="1458">
        <f>E103+F103+G103+H103+I103+J103+K103+L103</f>
        <v>55738</v>
      </c>
      <c r="E103" s="1458">
        <v>6163</v>
      </c>
      <c r="F103" s="2379">
        <f>8500+56100-15025</f>
        <v>49575</v>
      </c>
      <c r="G103" s="2155"/>
      <c r="H103" s="2155"/>
      <c r="I103" s="2155"/>
      <c r="J103" s="2155"/>
      <c r="K103" s="2155"/>
      <c r="L103" s="2155"/>
      <c r="M103" s="2927">
        <f>SUM(F103:K103)</f>
        <v>49575</v>
      </c>
      <c r="N103" s="1796">
        <f>SUM(G103:L103)</f>
        <v>0</v>
      </c>
      <c r="O103" s="3858"/>
      <c r="P103" s="457"/>
    </row>
    <row r="104" spans="1:16" ht="13.5" thickBot="1">
      <c r="A104" s="3763"/>
      <c r="B104" s="2928" t="s">
        <v>22</v>
      </c>
      <c r="C104" s="1572"/>
      <c r="D104" s="1538">
        <f t="shared" ref="D104" si="90">+D105+D107</f>
        <v>55738</v>
      </c>
      <c r="E104" s="1538">
        <f t="shared" ref="E104" si="91">+E105+E107</f>
        <v>6163</v>
      </c>
      <c r="F104" s="1538">
        <f>+F105+F107</f>
        <v>49575</v>
      </c>
      <c r="G104" s="1538">
        <f t="shared" ref="G104:L104" si="92">+G105+G107</f>
        <v>0</v>
      </c>
      <c r="H104" s="1538">
        <f t="shared" si="92"/>
        <v>0</v>
      </c>
      <c r="I104" s="1538">
        <f t="shared" si="92"/>
        <v>0</v>
      </c>
      <c r="J104" s="1538">
        <f t="shared" si="92"/>
        <v>0</v>
      </c>
      <c r="K104" s="1538">
        <f t="shared" si="92"/>
        <v>0</v>
      </c>
      <c r="L104" s="1538">
        <f t="shared" si="92"/>
        <v>0</v>
      </c>
      <c r="M104" s="3940" t="s">
        <v>61</v>
      </c>
      <c r="N104" s="3940" t="s">
        <v>61</v>
      </c>
      <c r="O104" s="2929"/>
      <c r="P104" s="457"/>
    </row>
    <row r="105" spans="1:16" ht="12.75" hidden="1" customHeight="1">
      <c r="A105" s="3763"/>
      <c r="B105" s="2991" t="s">
        <v>24</v>
      </c>
      <c r="C105" s="3955" t="s">
        <v>211</v>
      </c>
      <c r="D105" s="2909">
        <f t="shared" ref="D105:L105" si="93">+D106</f>
        <v>0</v>
      </c>
      <c r="E105" s="2909">
        <f t="shared" si="93"/>
        <v>0</v>
      </c>
      <c r="F105" s="2909">
        <f t="shared" si="93"/>
        <v>0</v>
      </c>
      <c r="G105" s="2909">
        <f t="shared" si="93"/>
        <v>0</v>
      </c>
      <c r="H105" s="2909">
        <f t="shared" si="93"/>
        <v>0</v>
      </c>
      <c r="I105" s="2909">
        <f t="shared" si="93"/>
        <v>0</v>
      </c>
      <c r="J105" s="2909">
        <f t="shared" si="93"/>
        <v>0</v>
      </c>
      <c r="K105" s="2909">
        <f t="shared" si="93"/>
        <v>0</v>
      </c>
      <c r="L105" s="2909">
        <f t="shared" si="93"/>
        <v>0</v>
      </c>
      <c r="M105" s="3940"/>
      <c r="N105" s="3940"/>
      <c r="O105" s="2929"/>
      <c r="P105" s="457"/>
    </row>
    <row r="106" spans="1:16" ht="12.75" hidden="1" customHeight="1">
      <c r="A106" s="3948"/>
      <c r="B106" s="2978" t="s">
        <v>13</v>
      </c>
      <c r="C106" s="3956"/>
      <c r="D106" s="891">
        <f>E106+F106+G106+H106+I106+J106+K106+L106</f>
        <v>0</v>
      </c>
      <c r="E106" s="2979"/>
      <c r="F106" s="2979"/>
      <c r="G106" s="2979"/>
      <c r="H106" s="2979"/>
      <c r="I106" s="2979"/>
      <c r="J106" s="2979"/>
      <c r="K106" s="2979"/>
      <c r="L106" s="2979"/>
      <c r="M106" s="3941"/>
      <c r="N106" s="3954"/>
      <c r="O106" s="2887"/>
      <c r="P106" s="457"/>
    </row>
    <row r="107" spans="1:16" ht="13.5" thickBot="1">
      <c r="A107" s="3946"/>
      <c r="B107" s="2094" t="s">
        <v>18</v>
      </c>
      <c r="C107" s="3850"/>
      <c r="D107" s="1485">
        <f t="shared" ref="D107:L107" si="94">+D108</f>
        <v>55738</v>
      </c>
      <c r="E107" s="1485">
        <f t="shared" si="94"/>
        <v>6163</v>
      </c>
      <c r="F107" s="1485">
        <f t="shared" si="94"/>
        <v>49575</v>
      </c>
      <c r="G107" s="1485">
        <f t="shared" si="94"/>
        <v>0</v>
      </c>
      <c r="H107" s="1485">
        <f t="shared" si="94"/>
        <v>0</v>
      </c>
      <c r="I107" s="1485">
        <f t="shared" si="94"/>
        <v>0</v>
      </c>
      <c r="J107" s="1485">
        <f t="shared" si="94"/>
        <v>0</v>
      </c>
      <c r="K107" s="1485">
        <f t="shared" si="94"/>
        <v>0</v>
      </c>
      <c r="L107" s="1485">
        <f t="shared" si="94"/>
        <v>0</v>
      </c>
      <c r="M107" s="3849"/>
      <c r="N107" s="3889"/>
      <c r="O107" s="2871" t="s">
        <v>282</v>
      </c>
      <c r="P107" s="457"/>
    </row>
    <row r="108" spans="1:16" ht="13.5" thickBot="1">
      <c r="A108" s="3946"/>
      <c r="B108" s="2380" t="s">
        <v>21</v>
      </c>
      <c r="C108" s="3851"/>
      <c r="D108" s="1766">
        <f>E108+F108+G108+H108+I108+J108+K108+L108</f>
        <v>55738</v>
      </c>
      <c r="E108" s="2283">
        <v>6163</v>
      </c>
      <c r="F108" s="1728">
        <f>8500+56100-15025</f>
        <v>49575</v>
      </c>
      <c r="G108" s="1728"/>
      <c r="H108" s="1728"/>
      <c r="I108" s="1728"/>
      <c r="J108" s="1728"/>
      <c r="K108" s="1728"/>
      <c r="L108" s="1728"/>
      <c r="M108" s="3678"/>
      <c r="N108" s="3890"/>
      <c r="O108" s="2870"/>
      <c r="P108" s="457"/>
    </row>
    <row r="109" spans="1:16" s="2369" customFormat="1" ht="24.75" thickBot="1">
      <c r="A109" s="3946" t="s">
        <v>87</v>
      </c>
      <c r="B109" s="2096" t="s">
        <v>481</v>
      </c>
      <c r="C109" s="2097" t="s">
        <v>109</v>
      </c>
      <c r="D109" s="1159"/>
      <c r="E109" s="3161"/>
      <c r="F109" s="3161"/>
      <c r="G109" s="3161"/>
      <c r="H109" s="3161"/>
      <c r="I109" s="3161"/>
      <c r="J109" s="3161"/>
      <c r="K109" s="3161"/>
      <c r="L109" s="41"/>
      <c r="M109" s="2099"/>
      <c r="N109" s="2858"/>
      <c r="O109" s="3843" t="s">
        <v>472</v>
      </c>
      <c r="P109" s="2594"/>
    </row>
    <row r="110" spans="1:16" s="2369" customFormat="1" ht="13.5" thickBot="1">
      <c r="A110" s="3946"/>
      <c r="B110" s="845" t="s">
        <v>10</v>
      </c>
      <c r="C110" s="846"/>
      <c r="D110" s="613">
        <f t="shared" ref="D110:N110" si="95">+D111+D115</f>
        <v>13992000</v>
      </c>
      <c r="E110" s="613">
        <f t="shared" si="95"/>
        <v>0</v>
      </c>
      <c r="F110" s="613">
        <f t="shared" si="95"/>
        <v>0</v>
      </c>
      <c r="G110" s="613">
        <f t="shared" si="95"/>
        <v>1530586</v>
      </c>
      <c r="H110" s="613">
        <f t="shared" si="95"/>
        <v>6811005</v>
      </c>
      <c r="I110" s="613">
        <f t="shared" si="95"/>
        <v>5650409</v>
      </c>
      <c r="J110" s="613">
        <f t="shared" si="95"/>
        <v>0</v>
      </c>
      <c r="K110" s="613">
        <f t="shared" si="95"/>
        <v>0</v>
      </c>
      <c r="L110" s="613">
        <f t="shared" si="95"/>
        <v>0</v>
      </c>
      <c r="M110" s="847">
        <f t="shared" si="95"/>
        <v>13356000</v>
      </c>
      <c r="N110" s="232">
        <f t="shared" si="95"/>
        <v>13356000</v>
      </c>
      <c r="O110" s="3843"/>
      <c r="P110" s="2594" t="s">
        <v>523</v>
      </c>
    </row>
    <row r="111" spans="1:16" s="2369" customFormat="1" ht="12.75" customHeight="1" thickBot="1">
      <c r="A111" s="3946"/>
      <c r="B111" s="848" t="s">
        <v>24</v>
      </c>
      <c r="C111" s="3846" t="s">
        <v>440</v>
      </c>
      <c r="D111" s="643">
        <f>+D112+D113+D114</f>
        <v>2098800</v>
      </c>
      <c r="E111" s="643">
        <f t="shared" ref="E111:L111" si="96">+E112+E113+E114</f>
        <v>0</v>
      </c>
      <c r="F111" s="643">
        <f t="shared" si="96"/>
        <v>0</v>
      </c>
      <c r="G111" s="643">
        <f t="shared" si="96"/>
        <v>278006</v>
      </c>
      <c r="H111" s="643">
        <f t="shared" si="96"/>
        <v>995455</v>
      </c>
      <c r="I111" s="643">
        <f t="shared" si="96"/>
        <v>825339</v>
      </c>
      <c r="J111" s="643">
        <f t="shared" si="96"/>
        <v>0</v>
      </c>
      <c r="K111" s="643">
        <f t="shared" si="96"/>
        <v>0</v>
      </c>
      <c r="L111" s="643">
        <f t="shared" si="96"/>
        <v>0</v>
      </c>
      <c r="M111" s="641">
        <f t="shared" ref="M111:N111" si="97">+M112+M113</f>
        <v>1462800</v>
      </c>
      <c r="N111" s="2859">
        <f t="shared" si="97"/>
        <v>1462800</v>
      </c>
      <c r="O111" s="3843"/>
      <c r="P111" s="2594"/>
    </row>
    <row r="112" spans="1:16" s="2369" customFormat="1" ht="13.5" thickBot="1">
      <c r="A112" s="3946"/>
      <c r="B112" s="849" t="s">
        <v>12</v>
      </c>
      <c r="C112" s="3847"/>
      <c r="D112" s="239">
        <f>E112+F112+G112+H112+I112+J112+K112+L112</f>
        <v>63600</v>
      </c>
      <c r="E112" s="275"/>
      <c r="F112" s="588"/>
      <c r="G112" s="588">
        <v>63600</v>
      </c>
      <c r="H112" s="588">
        <v>0</v>
      </c>
      <c r="I112" s="588">
        <v>0</v>
      </c>
      <c r="J112" s="588"/>
      <c r="K112" s="588"/>
      <c r="L112" s="588"/>
      <c r="M112" s="917">
        <f>SUM(F112:K112)</f>
        <v>63600</v>
      </c>
      <c r="N112" s="2857">
        <f>SUM(G112:L112)</f>
        <v>63600</v>
      </c>
      <c r="O112" s="3843"/>
      <c r="P112" s="2594"/>
    </row>
    <row r="113" spans="1:16" s="2369" customFormat="1" ht="13.5" thickBot="1">
      <c r="A113" s="3946"/>
      <c r="B113" s="849" t="s">
        <v>13</v>
      </c>
      <c r="C113" s="3847"/>
      <c r="D113" s="239">
        <f>E113+F113+G113+H113+I113+J113+K113+L113</f>
        <v>1399200</v>
      </c>
      <c r="E113" s="632">
        <v>0</v>
      </c>
      <c r="F113" s="632"/>
      <c r="G113" s="632">
        <v>147420</v>
      </c>
      <c r="H113" s="632">
        <v>684450</v>
      </c>
      <c r="I113" s="632">
        <v>567330</v>
      </c>
      <c r="J113" s="632"/>
      <c r="K113" s="632"/>
      <c r="L113" s="632"/>
      <c r="M113" s="917">
        <f>SUM(F113:K113)</f>
        <v>1399200</v>
      </c>
      <c r="N113" s="2857">
        <f>SUM(G113:L113)</f>
        <v>1399200</v>
      </c>
      <c r="O113" s="3843"/>
      <c r="P113" s="2594"/>
    </row>
    <row r="114" spans="1:16" s="2369" customFormat="1">
      <c r="A114" s="3958"/>
      <c r="B114" s="2093" t="s">
        <v>482</v>
      </c>
      <c r="C114" s="3848"/>
      <c r="D114" s="239">
        <f>E114+F114+G114+H114+I114+J114+K114+L114</f>
        <v>636000</v>
      </c>
      <c r="E114" s="1488"/>
      <c r="F114" s="1488"/>
      <c r="G114" s="1488">
        <v>66986</v>
      </c>
      <c r="H114" s="1488">
        <v>311005</v>
      </c>
      <c r="I114" s="1488">
        <v>258009</v>
      </c>
      <c r="J114" s="1488"/>
      <c r="K114" s="1488"/>
      <c r="L114" s="1488"/>
      <c r="M114" s="1796"/>
      <c r="N114" s="2860">
        <v>0</v>
      </c>
      <c r="O114" s="3837"/>
      <c r="P114" s="2594"/>
    </row>
    <row r="115" spans="1:16" s="2369" customFormat="1">
      <c r="A115" s="3891"/>
      <c r="B115" s="2094" t="s">
        <v>18</v>
      </c>
      <c r="C115" s="3848"/>
      <c r="D115" s="1485">
        <f>+D116</f>
        <v>11893200</v>
      </c>
      <c r="E115" s="1485">
        <f t="shared" ref="E115:N115" si="98">+E116</f>
        <v>0</v>
      </c>
      <c r="F115" s="1485">
        <f t="shared" si="98"/>
        <v>0</v>
      </c>
      <c r="G115" s="1485">
        <f t="shared" si="98"/>
        <v>1252580</v>
      </c>
      <c r="H115" s="1485">
        <f t="shared" si="98"/>
        <v>5815550</v>
      </c>
      <c r="I115" s="1485">
        <f t="shared" si="98"/>
        <v>4825070</v>
      </c>
      <c r="J115" s="1485">
        <f t="shared" si="98"/>
        <v>0</v>
      </c>
      <c r="K115" s="1485">
        <f t="shared" si="98"/>
        <v>0</v>
      </c>
      <c r="L115" s="1485">
        <f t="shared" si="98"/>
        <v>0</v>
      </c>
      <c r="M115" s="1569">
        <f t="shared" si="98"/>
        <v>11893200</v>
      </c>
      <c r="N115" s="1569">
        <f t="shared" si="98"/>
        <v>11893200</v>
      </c>
      <c r="O115" s="3844"/>
      <c r="P115" s="2594"/>
    </row>
    <row r="116" spans="1:16" s="2369" customFormat="1">
      <c r="A116" s="3891"/>
      <c r="B116" s="2093" t="s">
        <v>21</v>
      </c>
      <c r="C116" s="3848"/>
      <c r="D116" s="839">
        <f>E116+F116+G116+H116+I116+J116+K116+L116</f>
        <v>11893200</v>
      </c>
      <c r="E116" s="1453"/>
      <c r="F116" s="2379"/>
      <c r="G116" s="2155">
        <v>1252580</v>
      </c>
      <c r="H116" s="2155">
        <v>5815550</v>
      </c>
      <c r="I116" s="2155">
        <v>4825070</v>
      </c>
      <c r="J116" s="2155"/>
      <c r="K116" s="2155"/>
      <c r="L116" s="2155"/>
      <c r="M116" s="1796">
        <f>SUM(F116:K116)</f>
        <v>11893200</v>
      </c>
      <c r="N116" s="1796">
        <f>SUM(G116:L116)</f>
        <v>11893200</v>
      </c>
      <c r="O116" s="3845"/>
      <c r="P116" s="2594"/>
    </row>
    <row r="117" spans="1:16" s="2369" customFormat="1">
      <c r="A117" s="3891"/>
      <c r="B117" s="2091" t="s">
        <v>22</v>
      </c>
      <c r="C117" s="1572"/>
      <c r="D117" s="1538">
        <f t="shared" ref="D117:E117" si="99">+D118+D120</f>
        <v>13292400</v>
      </c>
      <c r="E117" s="1538">
        <f t="shared" si="99"/>
        <v>0</v>
      </c>
      <c r="F117" s="1538">
        <f>+F118+F120</f>
        <v>0</v>
      </c>
      <c r="G117" s="1538">
        <f t="shared" ref="G117:L117" si="100">+G118+G120</f>
        <v>1400000</v>
      </c>
      <c r="H117" s="1538">
        <f t="shared" si="100"/>
        <v>6500000</v>
      </c>
      <c r="I117" s="1538">
        <f t="shared" si="100"/>
        <v>5392400</v>
      </c>
      <c r="J117" s="1538">
        <f t="shared" si="100"/>
        <v>0</v>
      </c>
      <c r="K117" s="1538">
        <f t="shared" si="100"/>
        <v>0</v>
      </c>
      <c r="L117" s="1538">
        <f t="shared" si="100"/>
        <v>0</v>
      </c>
      <c r="M117" s="3849" t="s">
        <v>61</v>
      </c>
      <c r="N117" s="3849" t="s">
        <v>61</v>
      </c>
      <c r="O117" s="2519"/>
      <c r="P117" s="2594"/>
    </row>
    <row r="118" spans="1:16" s="2369" customFormat="1">
      <c r="A118" s="3891"/>
      <c r="B118" s="2092" t="s">
        <v>24</v>
      </c>
      <c r="C118" s="3850" t="s">
        <v>211</v>
      </c>
      <c r="D118" s="1485">
        <f t="shared" ref="D118:L118" si="101">+D119</f>
        <v>1399200</v>
      </c>
      <c r="E118" s="1485">
        <f t="shared" si="101"/>
        <v>0</v>
      </c>
      <c r="F118" s="1485">
        <f t="shared" si="101"/>
        <v>0</v>
      </c>
      <c r="G118" s="1485">
        <f t="shared" si="101"/>
        <v>147420</v>
      </c>
      <c r="H118" s="1485">
        <f t="shared" si="101"/>
        <v>684450</v>
      </c>
      <c r="I118" s="1485">
        <f t="shared" si="101"/>
        <v>567330</v>
      </c>
      <c r="J118" s="1485">
        <f t="shared" si="101"/>
        <v>0</v>
      </c>
      <c r="K118" s="1485">
        <f t="shared" si="101"/>
        <v>0</v>
      </c>
      <c r="L118" s="1485">
        <f t="shared" si="101"/>
        <v>0</v>
      </c>
      <c r="M118" s="3849"/>
      <c r="N118" s="3849"/>
      <c r="O118" s="2519"/>
      <c r="P118" s="2594"/>
    </row>
    <row r="119" spans="1:16" s="2369" customFormat="1">
      <c r="A119" s="3891"/>
      <c r="B119" s="2093" t="s">
        <v>13</v>
      </c>
      <c r="C119" s="3850"/>
      <c r="D119" s="839">
        <f>E119+F119+G119+H119+I119+J119+K119+L119</f>
        <v>1399200</v>
      </c>
      <c r="E119" s="1496"/>
      <c r="F119" s="1496"/>
      <c r="G119" s="1496">
        <v>147420</v>
      </c>
      <c r="H119" s="1496">
        <v>684450</v>
      </c>
      <c r="I119" s="1496">
        <v>567330</v>
      </c>
      <c r="J119" s="1496"/>
      <c r="K119" s="1496"/>
      <c r="L119" s="1496"/>
      <c r="M119" s="3849"/>
      <c r="N119" s="3849"/>
      <c r="O119" s="2519"/>
      <c r="P119" s="2594"/>
    </row>
    <row r="120" spans="1:16" s="2369" customFormat="1">
      <c r="A120" s="3891"/>
      <c r="B120" s="2094" t="s">
        <v>18</v>
      </c>
      <c r="C120" s="3850"/>
      <c r="D120" s="1485">
        <f t="shared" ref="D120:L120" si="102">+D121</f>
        <v>11893200</v>
      </c>
      <c r="E120" s="1485">
        <f t="shared" si="102"/>
        <v>0</v>
      </c>
      <c r="F120" s="1485">
        <f t="shared" si="102"/>
        <v>0</v>
      </c>
      <c r="G120" s="1485">
        <f t="shared" si="102"/>
        <v>1252580</v>
      </c>
      <c r="H120" s="1485">
        <f t="shared" si="102"/>
        <v>5815550</v>
      </c>
      <c r="I120" s="1485">
        <f t="shared" si="102"/>
        <v>4825070</v>
      </c>
      <c r="J120" s="1485">
        <f t="shared" si="102"/>
        <v>0</v>
      </c>
      <c r="K120" s="1485">
        <f t="shared" si="102"/>
        <v>0</v>
      </c>
      <c r="L120" s="1485">
        <f t="shared" si="102"/>
        <v>0</v>
      </c>
      <c r="M120" s="3849"/>
      <c r="N120" s="3849"/>
      <c r="O120" s="2521" t="s">
        <v>282</v>
      </c>
      <c r="P120" s="2594"/>
    </row>
    <row r="121" spans="1:16" s="2369" customFormat="1" ht="12.75" customHeight="1" thickBot="1">
      <c r="A121" s="3892"/>
      <c r="B121" s="2380" t="s">
        <v>21</v>
      </c>
      <c r="C121" s="3851"/>
      <c r="D121" s="839">
        <f>E121+F121+G121+H121+I121+J121+K121+L121</f>
        <v>11893200</v>
      </c>
      <c r="E121" s="1453"/>
      <c r="F121" s="1728"/>
      <c r="G121" s="1728">
        <v>1252580</v>
      </c>
      <c r="H121" s="1728">
        <v>5815550</v>
      </c>
      <c r="I121" s="1728">
        <v>4825070</v>
      </c>
      <c r="J121" s="1728"/>
      <c r="K121" s="1728"/>
      <c r="L121" s="1728"/>
      <c r="M121" s="3678"/>
      <c r="N121" s="3678"/>
      <c r="O121" s="2520"/>
      <c r="P121" s="2594"/>
    </row>
    <row r="122" spans="1:16" ht="36" customHeight="1">
      <c r="A122" s="3897" t="s">
        <v>88</v>
      </c>
      <c r="B122" s="1244" t="s">
        <v>337</v>
      </c>
      <c r="C122" s="1245" t="s">
        <v>109</v>
      </c>
      <c r="D122" s="1159"/>
      <c r="E122" s="3161"/>
      <c r="F122" s="3161"/>
      <c r="G122" s="3161"/>
      <c r="H122" s="3161"/>
      <c r="I122" s="3161"/>
      <c r="J122" s="3161"/>
      <c r="K122" s="3161"/>
      <c r="L122" s="41"/>
      <c r="M122" s="574"/>
      <c r="N122" s="574"/>
      <c r="O122" s="3865" t="s">
        <v>280</v>
      </c>
    </row>
    <row r="123" spans="1:16">
      <c r="A123" s="3861"/>
      <c r="B123" s="2091" t="s">
        <v>10</v>
      </c>
      <c r="C123" s="1246"/>
      <c r="D123" s="2120">
        <f t="shared" ref="D123:N123" si="103">+D124+D128</f>
        <v>1698344</v>
      </c>
      <c r="E123" s="1532">
        <f t="shared" ref="E123" si="104">+E124+E128</f>
        <v>0</v>
      </c>
      <c r="F123" s="1532">
        <f t="shared" si="103"/>
        <v>667359</v>
      </c>
      <c r="G123" s="1532">
        <f t="shared" si="103"/>
        <v>1030985</v>
      </c>
      <c r="H123" s="1532">
        <f t="shared" si="103"/>
        <v>0</v>
      </c>
      <c r="I123" s="1532">
        <f t="shared" si="103"/>
        <v>0</v>
      </c>
      <c r="J123" s="1532">
        <f t="shared" si="103"/>
        <v>0</v>
      </c>
      <c r="K123" s="1532">
        <f t="shared" si="103"/>
        <v>0</v>
      </c>
      <c r="L123" s="1532">
        <f t="shared" si="103"/>
        <v>0</v>
      </c>
      <c r="M123" s="1477">
        <f t="shared" ref="M123" si="105">+M124+M128</f>
        <v>1698344</v>
      </c>
      <c r="N123" s="1477">
        <f t="shared" si="103"/>
        <v>1030985</v>
      </c>
      <c r="O123" s="3844"/>
    </row>
    <row r="124" spans="1:16">
      <c r="A124" s="3861"/>
      <c r="B124" s="2092" t="s">
        <v>24</v>
      </c>
      <c r="C124" s="3939" t="s">
        <v>277</v>
      </c>
      <c r="D124" s="1775">
        <f>+D125</f>
        <v>254752</v>
      </c>
      <c r="E124" s="1775">
        <f t="shared" ref="E124" si="106">+E125</f>
        <v>0</v>
      </c>
      <c r="F124" s="1775">
        <f t="shared" ref="F124:N124" si="107">+F125</f>
        <v>100104</v>
      </c>
      <c r="G124" s="1775">
        <f t="shared" si="107"/>
        <v>154648</v>
      </c>
      <c r="H124" s="1775">
        <f t="shared" si="107"/>
        <v>0</v>
      </c>
      <c r="I124" s="1775">
        <f t="shared" si="107"/>
        <v>0</v>
      </c>
      <c r="J124" s="1775">
        <f t="shared" si="107"/>
        <v>0</v>
      </c>
      <c r="K124" s="1775">
        <f t="shared" si="107"/>
        <v>0</v>
      </c>
      <c r="L124" s="1775">
        <f t="shared" si="107"/>
        <v>0</v>
      </c>
      <c r="M124" s="2381">
        <f t="shared" si="107"/>
        <v>254752</v>
      </c>
      <c r="N124" s="2381">
        <f t="shared" si="107"/>
        <v>154648</v>
      </c>
      <c r="O124" s="3844"/>
    </row>
    <row r="125" spans="1:16">
      <c r="A125" s="3861"/>
      <c r="B125" s="2093" t="s">
        <v>12</v>
      </c>
      <c r="C125" s="3868"/>
      <c r="D125" s="839">
        <f>E125+F125+G125+H125+I125+J125+K125+L125</f>
        <v>254752</v>
      </c>
      <c r="E125" s="1453">
        <v>0</v>
      </c>
      <c r="F125" s="1827">
        <f t="shared" ref="F125:L125" si="108">+F126+F127</f>
        <v>100104</v>
      </c>
      <c r="G125" s="1827">
        <f t="shared" si="108"/>
        <v>154648</v>
      </c>
      <c r="H125" s="1488">
        <f t="shared" si="108"/>
        <v>0</v>
      </c>
      <c r="I125" s="1488">
        <f t="shared" si="108"/>
        <v>0</v>
      </c>
      <c r="J125" s="1488">
        <f t="shared" si="108"/>
        <v>0</v>
      </c>
      <c r="K125" s="1488">
        <f t="shared" si="108"/>
        <v>0</v>
      </c>
      <c r="L125" s="1488">
        <f t="shared" si="108"/>
        <v>0</v>
      </c>
      <c r="M125" s="1796">
        <f>SUM(F125:K125)</f>
        <v>254752</v>
      </c>
      <c r="N125" s="1796">
        <f>SUM(G125:L125)</f>
        <v>154648</v>
      </c>
      <c r="O125" s="3844"/>
    </row>
    <row r="126" spans="1:16" ht="12.75" hidden="1" customHeight="1">
      <c r="A126" s="3861"/>
      <c r="B126" s="2382" t="s">
        <v>260</v>
      </c>
      <c r="C126" s="3868"/>
      <c r="D126" s="2383">
        <f>SUM(E126:L126)</f>
        <v>66119</v>
      </c>
      <c r="E126" s="2384">
        <v>0</v>
      </c>
      <c r="F126" s="2385">
        <f>31970-5265</f>
        <v>26705</v>
      </c>
      <c r="G126" s="2385">
        <f>34149+5265</f>
        <v>39414</v>
      </c>
      <c r="H126" s="2384"/>
      <c r="I126" s="2384"/>
      <c r="J126" s="2384"/>
      <c r="K126" s="2384"/>
      <c r="L126" s="2384"/>
      <c r="M126" s="2386"/>
      <c r="N126" s="2386"/>
      <c r="O126" s="3844"/>
    </row>
    <row r="127" spans="1:16" ht="12.75" hidden="1" customHeight="1">
      <c r="A127" s="3861"/>
      <c r="B127" s="2387" t="s">
        <v>275</v>
      </c>
      <c r="C127" s="3868"/>
      <c r="D127" s="2388">
        <f>SUM(E127:L127)</f>
        <v>188633</v>
      </c>
      <c r="E127" s="2389">
        <v>0</v>
      </c>
      <c r="F127" s="2390">
        <f>86239-12840</f>
        <v>73399</v>
      </c>
      <c r="G127" s="2390">
        <f>102394+12840</f>
        <v>115234</v>
      </c>
      <c r="H127" s="2389"/>
      <c r="I127" s="2389"/>
      <c r="J127" s="2389"/>
      <c r="K127" s="2389"/>
      <c r="L127" s="2389"/>
      <c r="M127" s="2386"/>
      <c r="N127" s="2386"/>
      <c r="O127" s="3844"/>
    </row>
    <row r="128" spans="1:16">
      <c r="A128" s="3861"/>
      <c r="B128" s="2092" t="s">
        <v>18</v>
      </c>
      <c r="C128" s="3868"/>
      <c r="D128" s="1485">
        <f>+D129</f>
        <v>1443592</v>
      </c>
      <c r="E128" s="1485">
        <f t="shared" ref="E128:L128" si="109">+E129</f>
        <v>0</v>
      </c>
      <c r="F128" s="1485">
        <f t="shared" si="109"/>
        <v>567255</v>
      </c>
      <c r="G128" s="1485">
        <f t="shared" si="109"/>
        <v>876337</v>
      </c>
      <c r="H128" s="1485">
        <f t="shared" si="109"/>
        <v>0</v>
      </c>
      <c r="I128" s="1485">
        <f t="shared" si="109"/>
        <v>0</v>
      </c>
      <c r="J128" s="1485">
        <f t="shared" si="109"/>
        <v>0</v>
      </c>
      <c r="K128" s="1485">
        <f t="shared" si="109"/>
        <v>0</v>
      </c>
      <c r="L128" s="1485">
        <f t="shared" si="109"/>
        <v>0</v>
      </c>
      <c r="M128" s="1798">
        <f>+M129</f>
        <v>1443592</v>
      </c>
      <c r="N128" s="1798">
        <f>+N129</f>
        <v>876337</v>
      </c>
      <c r="O128" s="3844"/>
    </row>
    <row r="129" spans="1:16">
      <c r="A129" s="3861"/>
      <c r="B129" s="2093" t="s">
        <v>21</v>
      </c>
      <c r="C129" s="3868"/>
      <c r="D129" s="839">
        <f>E129+F129+G129+H129+I129+J129+K129+L129</f>
        <v>1443592</v>
      </c>
      <c r="E129" s="1453">
        <v>0</v>
      </c>
      <c r="F129" s="1488">
        <f t="shared" ref="F129:L129" si="110">+F130+F131</f>
        <v>567255</v>
      </c>
      <c r="G129" s="1488">
        <f t="shared" si="110"/>
        <v>876337</v>
      </c>
      <c r="H129" s="1488">
        <f t="shared" si="110"/>
        <v>0</v>
      </c>
      <c r="I129" s="1488">
        <f t="shared" si="110"/>
        <v>0</v>
      </c>
      <c r="J129" s="1488">
        <f t="shared" si="110"/>
        <v>0</v>
      </c>
      <c r="K129" s="1488">
        <f t="shared" si="110"/>
        <v>0</v>
      </c>
      <c r="L129" s="1488">
        <f t="shared" si="110"/>
        <v>0</v>
      </c>
      <c r="M129" s="1796">
        <f>SUM(F129:K129)</f>
        <v>1443592</v>
      </c>
      <c r="N129" s="1796">
        <f>SUM(G129:L129)</f>
        <v>876337</v>
      </c>
      <c r="O129" s="3845"/>
    </row>
    <row r="130" spans="1:16" ht="12.75" hidden="1" customHeight="1">
      <c r="A130" s="3861"/>
      <c r="B130" s="2382" t="s">
        <v>260</v>
      </c>
      <c r="C130" s="3069"/>
      <c r="D130" s="2383">
        <f>SUM(E130:L130)</f>
        <v>374677</v>
      </c>
      <c r="E130" s="2384">
        <v>0</v>
      </c>
      <c r="F130" s="2384">
        <f>181163-29833</f>
        <v>151330</v>
      </c>
      <c r="G130" s="2384">
        <f>193514+29833</f>
        <v>223347</v>
      </c>
      <c r="H130" s="2384"/>
      <c r="I130" s="2384"/>
      <c r="J130" s="2384"/>
      <c r="K130" s="2384"/>
      <c r="L130" s="2384"/>
      <c r="M130" s="2386"/>
      <c r="N130" s="2386"/>
      <c r="O130" s="2035"/>
    </row>
    <row r="131" spans="1:16" ht="12.75" hidden="1" customHeight="1">
      <c r="A131" s="3861"/>
      <c r="B131" s="2387" t="s">
        <v>275</v>
      </c>
      <c r="C131" s="2391"/>
      <c r="D131" s="2388">
        <f>SUM(E131:L131)</f>
        <v>1068915</v>
      </c>
      <c r="E131" s="2389">
        <v>0</v>
      </c>
      <c r="F131" s="2389">
        <f>488685-72760</f>
        <v>415925</v>
      </c>
      <c r="G131" s="2389">
        <f>580230+72760</f>
        <v>652990</v>
      </c>
      <c r="H131" s="2389"/>
      <c r="I131" s="2389"/>
      <c r="J131" s="2389"/>
      <c r="K131" s="2389"/>
      <c r="L131" s="2389"/>
      <c r="M131" s="2386"/>
      <c r="N131" s="2386"/>
      <c r="O131" s="2035"/>
    </row>
    <row r="132" spans="1:16">
      <c r="A132" s="3863"/>
      <c r="B132" s="2091" t="s">
        <v>22</v>
      </c>
      <c r="C132" s="1572"/>
      <c r="D132" s="1797">
        <f>D133</f>
        <v>1443592</v>
      </c>
      <c r="E132" s="1797">
        <f>+E133</f>
        <v>0</v>
      </c>
      <c r="F132" s="1797">
        <f>+F133</f>
        <v>669848</v>
      </c>
      <c r="G132" s="1797">
        <f>+G133</f>
        <v>773744</v>
      </c>
      <c r="H132" s="1797">
        <f>+H133</f>
        <v>0</v>
      </c>
      <c r="I132" s="1797">
        <f>I133</f>
        <v>0</v>
      </c>
      <c r="J132" s="1797">
        <f>+J133</f>
        <v>0</v>
      </c>
      <c r="K132" s="1797">
        <f>+K133</f>
        <v>0</v>
      </c>
      <c r="L132" s="1797">
        <f>L133</f>
        <v>0</v>
      </c>
      <c r="M132" s="3849" t="s">
        <v>61</v>
      </c>
      <c r="N132" s="3849" t="s">
        <v>61</v>
      </c>
      <c r="O132" s="3872" t="s">
        <v>275</v>
      </c>
    </row>
    <row r="133" spans="1:16">
      <c r="A133" s="3863"/>
      <c r="B133" s="2092" t="s">
        <v>18</v>
      </c>
      <c r="C133" s="3934" t="s">
        <v>338</v>
      </c>
      <c r="D133" s="1485">
        <f t="shared" ref="D133:L133" si="111">+D134</f>
        <v>1443592</v>
      </c>
      <c r="E133" s="1485">
        <f t="shared" si="111"/>
        <v>0</v>
      </c>
      <c r="F133" s="1485">
        <f t="shared" si="111"/>
        <v>669848</v>
      </c>
      <c r="G133" s="1485">
        <f t="shared" si="111"/>
        <v>773744</v>
      </c>
      <c r="H133" s="1485">
        <f t="shared" si="111"/>
        <v>0</v>
      </c>
      <c r="I133" s="1485">
        <f t="shared" si="111"/>
        <v>0</v>
      </c>
      <c r="J133" s="1485">
        <f t="shared" si="111"/>
        <v>0</v>
      </c>
      <c r="K133" s="1485">
        <f t="shared" si="111"/>
        <v>0</v>
      </c>
      <c r="L133" s="1485">
        <f t="shared" si="111"/>
        <v>0</v>
      </c>
      <c r="M133" s="3849"/>
      <c r="N133" s="3849"/>
      <c r="O133" s="3872"/>
    </row>
    <row r="134" spans="1:16" ht="13.5" thickBot="1">
      <c r="A134" s="3864"/>
      <c r="B134" s="2380" t="s">
        <v>21</v>
      </c>
      <c r="C134" s="3935"/>
      <c r="D134" s="2283">
        <f>E134+F134+G134+H134+I134+J134+K134+L134</f>
        <v>1443592</v>
      </c>
      <c r="E134" s="2283">
        <v>0</v>
      </c>
      <c r="F134" s="1786">
        <v>669848</v>
      </c>
      <c r="G134" s="1786">
        <v>773744</v>
      </c>
      <c r="H134" s="1786">
        <v>0</v>
      </c>
      <c r="I134" s="1786">
        <v>0</v>
      </c>
      <c r="J134" s="1786">
        <v>0</v>
      </c>
      <c r="K134" s="1786">
        <v>0</v>
      </c>
      <c r="L134" s="1786">
        <v>0</v>
      </c>
      <c r="M134" s="3678"/>
      <c r="N134" s="3678"/>
      <c r="O134" s="3873"/>
    </row>
    <row r="135" spans="1:16" ht="37.5" customHeight="1">
      <c r="A135" s="3897" t="s">
        <v>89</v>
      </c>
      <c r="B135" s="1244" t="s">
        <v>409</v>
      </c>
      <c r="C135" s="1245" t="s">
        <v>109</v>
      </c>
      <c r="D135" s="1159"/>
      <c r="E135" s="3161"/>
      <c r="F135" s="3161"/>
      <c r="G135" s="3161"/>
      <c r="H135" s="3161"/>
      <c r="I135" s="3161"/>
      <c r="J135" s="3161"/>
      <c r="K135" s="3161"/>
      <c r="L135" s="41"/>
      <c r="M135" s="574"/>
      <c r="N135" s="574"/>
      <c r="O135" s="3865" t="s">
        <v>394</v>
      </c>
    </row>
    <row r="136" spans="1:16" ht="16.149999999999999" customHeight="1">
      <c r="A136" s="3861"/>
      <c r="B136" s="2091" t="s">
        <v>10</v>
      </c>
      <c r="C136" s="1246"/>
      <c r="D136" s="2120">
        <f>+D137</f>
        <v>13580221</v>
      </c>
      <c r="E136" s="1532">
        <f t="shared" ref="E136" si="112">+E137</f>
        <v>0</v>
      </c>
      <c r="F136" s="1532">
        <f t="shared" ref="F136:H136" si="113">+F137</f>
        <v>262804</v>
      </c>
      <c r="G136" s="1532">
        <f t="shared" si="113"/>
        <v>9114930</v>
      </c>
      <c r="H136" s="1532">
        <f t="shared" si="113"/>
        <v>3627487</v>
      </c>
      <c r="I136" s="1532">
        <f t="shared" ref="I136" si="114">+I137</f>
        <v>575000</v>
      </c>
      <c r="J136" s="1532">
        <f t="shared" ref="J136" si="115">+J137</f>
        <v>0</v>
      </c>
      <c r="K136" s="1532">
        <f t="shared" ref="K136" si="116">+K137</f>
        <v>0</v>
      </c>
      <c r="L136" s="1532">
        <f t="shared" ref="L136" si="117">+L137</f>
        <v>0</v>
      </c>
      <c r="M136" s="1477">
        <f>+M137</f>
        <v>13580221</v>
      </c>
      <c r="N136" s="1477">
        <f>+N137</f>
        <v>13317417</v>
      </c>
      <c r="O136" s="3844"/>
      <c r="P136" s="386">
        <f>G136-'[1]Tab. 6B Polit społ i rozwój prz'!$G$122</f>
        <v>1295230</v>
      </c>
    </row>
    <row r="137" spans="1:16" ht="15" customHeight="1">
      <c r="A137" s="3861"/>
      <c r="B137" s="2121" t="s">
        <v>18</v>
      </c>
      <c r="C137" s="3874" t="s">
        <v>342</v>
      </c>
      <c r="D137" s="1485">
        <f>+D138</f>
        <v>13580221</v>
      </c>
      <c r="E137" s="1485">
        <f>+E138</f>
        <v>0</v>
      </c>
      <c r="F137" s="1485">
        <f>+F138</f>
        <v>262804</v>
      </c>
      <c r="G137" s="1485">
        <f t="shared" ref="G137:L137" si="118">+G138</f>
        <v>9114930</v>
      </c>
      <c r="H137" s="1485">
        <f t="shared" si="118"/>
        <v>3627487</v>
      </c>
      <c r="I137" s="1485">
        <f t="shared" si="118"/>
        <v>575000</v>
      </c>
      <c r="J137" s="1485">
        <f t="shared" si="118"/>
        <v>0</v>
      </c>
      <c r="K137" s="1485">
        <f t="shared" si="118"/>
        <v>0</v>
      </c>
      <c r="L137" s="1485">
        <f t="shared" si="118"/>
        <v>0</v>
      </c>
      <c r="M137" s="1798">
        <f>+M138</f>
        <v>13580221</v>
      </c>
      <c r="N137" s="1798">
        <f>+N138</f>
        <v>13317417</v>
      </c>
      <c r="O137" s="3844"/>
    </row>
    <row r="138" spans="1:16" ht="21" customHeight="1" thickBot="1">
      <c r="A138" s="3936"/>
      <c r="B138" s="3159" t="s">
        <v>21</v>
      </c>
      <c r="C138" s="3876"/>
      <c r="D138" s="1458">
        <f>E138+F138+G138+H138+I138+J138+K138+L138</f>
        <v>13580221</v>
      </c>
      <c r="E138" s="1453">
        <v>0</v>
      </c>
      <c r="F138" s="1488">
        <f>+F139+F140+F141+F142+F143</f>
        <v>262804</v>
      </c>
      <c r="G138" s="1488">
        <f t="shared" ref="G138:H138" si="119">+G139+G140+G141+G142+G143</f>
        <v>9114930</v>
      </c>
      <c r="H138" s="1488">
        <f t="shared" si="119"/>
        <v>3627487</v>
      </c>
      <c r="I138" s="1488">
        <f t="shared" ref="I138" si="120">+I139+I140+I141+I142+I143</f>
        <v>575000</v>
      </c>
      <c r="J138" s="1488">
        <f t="shared" ref="J138" si="121">+J139+J140+J141+J142+J143</f>
        <v>0</v>
      </c>
      <c r="K138" s="1488">
        <f t="shared" ref="K138" si="122">+K139+K140+K141+K142+K143</f>
        <v>0</v>
      </c>
      <c r="L138" s="1488">
        <f t="shared" ref="L138" si="123">+L139+L140+L141+L142+L143</f>
        <v>0</v>
      </c>
      <c r="M138" s="1796">
        <f>SUM(F138:K138)</f>
        <v>13580221</v>
      </c>
      <c r="N138" s="1796">
        <f>SUM(G138:L138)</f>
        <v>13317417</v>
      </c>
      <c r="O138" s="3844"/>
    </row>
    <row r="139" spans="1:16" s="387" customFormat="1" ht="12.75" hidden="1" customHeight="1">
      <c r="A139" s="3937"/>
      <c r="B139" s="2351" t="s">
        <v>340</v>
      </c>
      <c r="C139" s="3875"/>
      <c r="D139" s="2352">
        <f>SUM(E139:L139)</f>
        <v>9576521</v>
      </c>
      <c r="E139" s="2353">
        <v>0</v>
      </c>
      <c r="F139" s="2353">
        <f>2700000-2610000</f>
        <v>90000</v>
      </c>
      <c r="G139" s="2353">
        <f>3169000+2619500+1103984</f>
        <v>6892484</v>
      </c>
      <c r="H139" s="2353">
        <f>2044159+946725-929847</f>
        <v>2061037</v>
      </c>
      <c r="I139" s="2353">
        <f>0+537137-4137</f>
        <v>533000</v>
      </c>
      <c r="J139" s="2353">
        <v>0</v>
      </c>
      <c r="K139" s="2353">
        <v>0</v>
      </c>
      <c r="L139" s="2353">
        <v>0</v>
      </c>
      <c r="M139" s="2354"/>
      <c r="N139" s="2354"/>
      <c r="O139" s="2035"/>
    </row>
    <row r="140" spans="1:16" s="387" customFormat="1" ht="12.75" hidden="1" customHeight="1">
      <c r="A140" s="3861"/>
      <c r="B140" s="2522" t="s">
        <v>341</v>
      </c>
      <c r="C140" s="3875"/>
      <c r="D140" s="2523">
        <f>SUM(E140:L140)</f>
        <v>1008500</v>
      </c>
      <c r="E140" s="2029">
        <v>0</v>
      </c>
      <c r="F140" s="2029">
        <f>293500-190200-8805</f>
        <v>94495</v>
      </c>
      <c r="G140" s="2029">
        <f>483000-13800+130805</f>
        <v>600005</v>
      </c>
      <c r="H140" s="2029">
        <f>378000-92000+28000</f>
        <v>314000</v>
      </c>
      <c r="I140" s="2029">
        <v>0</v>
      </c>
      <c r="J140" s="2029">
        <v>0</v>
      </c>
      <c r="K140" s="2029">
        <v>0</v>
      </c>
      <c r="L140" s="2029">
        <v>0</v>
      </c>
      <c r="M140" s="1916"/>
      <c r="N140" s="1916"/>
      <c r="O140" s="2035"/>
    </row>
    <row r="141" spans="1:16" s="2030" customFormat="1" ht="12.75" hidden="1" customHeight="1">
      <c r="A141" s="3861"/>
      <c r="B141" s="2522" t="s">
        <v>110</v>
      </c>
      <c r="C141" s="3875"/>
      <c r="D141" s="2523">
        <f>SUM(E141:L141)</f>
        <v>603500</v>
      </c>
      <c r="E141" s="2029">
        <v>0</v>
      </c>
      <c r="F141" s="2029">
        <f>174000-30000-144000</f>
        <v>0</v>
      </c>
      <c r="G141" s="2029">
        <f>453000-110000</f>
        <v>343000</v>
      </c>
      <c r="H141" s="2029">
        <f>228000+32500</f>
        <v>260500</v>
      </c>
      <c r="I141" s="2029">
        <v>0</v>
      </c>
      <c r="J141" s="2029">
        <v>0</v>
      </c>
      <c r="K141" s="2029">
        <v>0</v>
      </c>
      <c r="L141" s="2029">
        <v>0</v>
      </c>
      <c r="M141" s="1916"/>
      <c r="N141" s="1916"/>
      <c r="O141" s="2035"/>
    </row>
    <row r="142" spans="1:16" s="2030" customFormat="1" ht="12.75" hidden="1" customHeight="1">
      <c r="A142" s="3861"/>
      <c r="B142" s="2522" t="s">
        <v>193</v>
      </c>
      <c r="C142" s="3875"/>
      <c r="D142" s="2523">
        <f>SUM(E142:L142)</f>
        <v>1894000</v>
      </c>
      <c r="E142" s="2029">
        <v>0</v>
      </c>
      <c r="F142" s="2029">
        <f>1015500-784500-231000</f>
        <v>0</v>
      </c>
      <c r="G142" s="2029">
        <f>926500+110500+47050</f>
        <v>1084050</v>
      </c>
      <c r="H142" s="2029">
        <f>342000+284000+183950</f>
        <v>809950</v>
      </c>
      <c r="I142" s="2029">
        <v>0</v>
      </c>
      <c r="J142" s="2029">
        <v>0</v>
      </c>
      <c r="K142" s="2029">
        <v>0</v>
      </c>
      <c r="L142" s="2029">
        <v>0</v>
      </c>
      <c r="M142" s="1916"/>
      <c r="N142" s="1916"/>
      <c r="O142" s="2035"/>
    </row>
    <row r="143" spans="1:16" s="2030" customFormat="1" ht="12.75" hidden="1" customHeight="1">
      <c r="A143" s="3861"/>
      <c r="B143" s="2522" t="s">
        <v>260</v>
      </c>
      <c r="C143" s="3938"/>
      <c r="D143" s="2523">
        <f>SUM(E143:L143)</f>
        <v>497700</v>
      </c>
      <c r="E143" s="2029">
        <v>0</v>
      </c>
      <c r="F143" s="2029">
        <f>140000-48300-13391</f>
        <v>78309</v>
      </c>
      <c r="G143" s="2029">
        <f>260000-78000+13391</f>
        <v>195391</v>
      </c>
      <c r="H143" s="2029">
        <f>260000-78000</f>
        <v>182000</v>
      </c>
      <c r="I143" s="2029">
        <f>0+42000</f>
        <v>42000</v>
      </c>
      <c r="J143" s="2029">
        <v>0</v>
      </c>
      <c r="K143" s="2029">
        <v>0</v>
      </c>
      <c r="L143" s="2029">
        <v>0</v>
      </c>
      <c r="M143" s="1916"/>
      <c r="N143" s="1916"/>
      <c r="O143" s="2035"/>
    </row>
    <row r="144" spans="1:16">
      <c r="A144" s="3863"/>
      <c r="B144" s="2091" t="s">
        <v>22</v>
      </c>
      <c r="C144" s="1572"/>
      <c r="D144" s="1797">
        <f>D145</f>
        <v>13580221</v>
      </c>
      <c r="E144" s="1797">
        <f>+E145</f>
        <v>0</v>
      </c>
      <c r="F144" s="1797">
        <f>+F145</f>
        <v>0</v>
      </c>
      <c r="G144" s="1797">
        <f>+G145</f>
        <v>11704137</v>
      </c>
      <c r="H144" s="1797">
        <f>+H145</f>
        <v>1876084</v>
      </c>
      <c r="I144" s="1797">
        <f>I145</f>
        <v>0</v>
      </c>
      <c r="J144" s="1797">
        <f>+J145</f>
        <v>0</v>
      </c>
      <c r="K144" s="1797">
        <f>+K145</f>
        <v>0</v>
      </c>
      <c r="L144" s="1797">
        <f>L145</f>
        <v>0</v>
      </c>
      <c r="M144" s="3849" t="s">
        <v>61</v>
      </c>
      <c r="N144" s="3849" t="s">
        <v>61</v>
      </c>
      <c r="O144" s="3871" t="s">
        <v>340</v>
      </c>
      <c r="P144" s="386">
        <f>G144-'[1]Tab. 6B Polit społ i rozwój prz'!$G$130</f>
        <v>3368437</v>
      </c>
    </row>
    <row r="145" spans="1:16" s="389" customFormat="1" ht="13.5" customHeight="1">
      <c r="A145" s="3863"/>
      <c r="B145" s="2121" t="s">
        <v>18</v>
      </c>
      <c r="C145" s="3874" t="s">
        <v>339</v>
      </c>
      <c r="D145" s="1485">
        <f t="shared" ref="D145:L145" si="124">+D146</f>
        <v>13580221</v>
      </c>
      <c r="E145" s="1485">
        <f t="shared" si="124"/>
        <v>0</v>
      </c>
      <c r="F145" s="1485">
        <f t="shared" si="124"/>
        <v>0</v>
      </c>
      <c r="G145" s="1485">
        <f t="shared" si="124"/>
        <v>11704137</v>
      </c>
      <c r="H145" s="1485">
        <f t="shared" si="124"/>
        <v>1876084</v>
      </c>
      <c r="I145" s="1485">
        <f t="shared" si="124"/>
        <v>0</v>
      </c>
      <c r="J145" s="1485">
        <f t="shared" si="124"/>
        <v>0</v>
      </c>
      <c r="K145" s="1485">
        <f t="shared" si="124"/>
        <v>0</v>
      </c>
      <c r="L145" s="1485">
        <f t="shared" si="124"/>
        <v>0</v>
      </c>
      <c r="M145" s="3849"/>
      <c r="N145" s="3849"/>
      <c r="O145" s="3872"/>
    </row>
    <row r="146" spans="1:16" s="389" customFormat="1" ht="15" customHeight="1" thickBot="1">
      <c r="A146" s="3864"/>
      <c r="B146" s="2122" t="s">
        <v>21</v>
      </c>
      <c r="C146" s="3876"/>
      <c r="D146" s="2283">
        <f>E146+F146+G146+H146+I146+J146+K146+L146</f>
        <v>13580221</v>
      </c>
      <c r="E146" s="1766">
        <v>0</v>
      </c>
      <c r="F146" s="1830">
        <f>4323000-30000-4293000</f>
        <v>0</v>
      </c>
      <c r="G146" s="1830">
        <f>5291500+3044200+3368437</f>
        <v>11704137</v>
      </c>
      <c r="H146" s="1786">
        <f>3252159+1093225-2469300</f>
        <v>1876084</v>
      </c>
      <c r="I146" s="1786">
        <f>0+579137-579137</f>
        <v>0</v>
      </c>
      <c r="J146" s="1786">
        <v>0</v>
      </c>
      <c r="K146" s="1786">
        <v>0</v>
      </c>
      <c r="L146" s="1786">
        <v>0</v>
      </c>
      <c r="M146" s="3678"/>
      <c r="N146" s="3678"/>
      <c r="O146" s="3873"/>
      <c r="P146" s="1872">
        <f>D146-'[3]Tab. 6B Polit społ i rozwój prz'!$D$258</f>
        <v>743562</v>
      </c>
    </row>
    <row r="147" spans="1:16" ht="39" customHeight="1">
      <c r="A147" s="3897" t="s">
        <v>90</v>
      </c>
      <c r="B147" s="1244" t="s">
        <v>410</v>
      </c>
      <c r="C147" s="1245" t="s">
        <v>81</v>
      </c>
      <c r="D147" s="1159"/>
      <c r="E147" s="3161"/>
      <c r="F147" s="3161"/>
      <c r="G147" s="3161"/>
      <c r="H147" s="3161"/>
      <c r="I147" s="3161"/>
      <c r="J147" s="3161"/>
      <c r="K147" s="3161"/>
      <c r="L147" s="41"/>
      <c r="M147" s="574"/>
      <c r="N147" s="574"/>
      <c r="O147" s="3865" t="s">
        <v>488</v>
      </c>
    </row>
    <row r="148" spans="1:16">
      <c r="A148" s="3860"/>
      <c r="B148" s="1410" t="s">
        <v>10</v>
      </c>
      <c r="C148" s="1246"/>
      <c r="D148" s="1411">
        <f>+D149</f>
        <v>35876</v>
      </c>
      <c r="E148" s="1412">
        <f t="shared" ref="E148" si="125">E149</f>
        <v>0</v>
      </c>
      <c r="F148" s="1412">
        <f t="shared" ref="F148:L148" si="126">F149</f>
        <v>8753</v>
      </c>
      <c r="G148" s="1412">
        <f t="shared" si="126"/>
        <v>27123</v>
      </c>
      <c r="H148" s="1412">
        <f t="shared" si="126"/>
        <v>0</v>
      </c>
      <c r="I148" s="1412">
        <f t="shared" si="126"/>
        <v>0</v>
      </c>
      <c r="J148" s="1412">
        <f t="shared" si="126"/>
        <v>0</v>
      </c>
      <c r="K148" s="1412">
        <f t="shared" si="126"/>
        <v>0</v>
      </c>
      <c r="L148" s="1412">
        <f t="shared" si="126"/>
        <v>0</v>
      </c>
      <c r="M148" s="1413">
        <f>M149</f>
        <v>35876</v>
      </c>
      <c r="N148" s="1413">
        <f>N149</f>
        <v>27123</v>
      </c>
      <c r="O148" s="3844"/>
    </row>
    <row r="149" spans="1:16" ht="13.15" customHeight="1">
      <c r="A149" s="3860"/>
      <c r="B149" s="1414" t="s">
        <v>18</v>
      </c>
      <c r="C149" s="3932" t="s">
        <v>343</v>
      </c>
      <c r="D149" s="1423">
        <f>+D150</f>
        <v>35876</v>
      </c>
      <c r="E149" s="1423">
        <f t="shared" ref="E149:L149" si="127">+E150</f>
        <v>0</v>
      </c>
      <c r="F149" s="1423">
        <f t="shared" si="127"/>
        <v>8753</v>
      </c>
      <c r="G149" s="1423">
        <f t="shared" si="127"/>
        <v>27123</v>
      </c>
      <c r="H149" s="1423">
        <f t="shared" si="127"/>
        <v>0</v>
      </c>
      <c r="I149" s="1423">
        <f t="shared" si="127"/>
        <v>0</v>
      </c>
      <c r="J149" s="1423">
        <f t="shared" si="127"/>
        <v>0</v>
      </c>
      <c r="K149" s="1423">
        <f t="shared" si="127"/>
        <v>0</v>
      </c>
      <c r="L149" s="1423">
        <f t="shared" si="127"/>
        <v>0</v>
      </c>
      <c r="M149" s="1424">
        <f>+M150</f>
        <v>35876</v>
      </c>
      <c r="N149" s="1424">
        <f>+N150</f>
        <v>27123</v>
      </c>
      <c r="O149" s="3844"/>
    </row>
    <row r="150" spans="1:16">
      <c r="A150" s="3860"/>
      <c r="B150" s="1417" t="s">
        <v>21</v>
      </c>
      <c r="C150" s="3933"/>
      <c r="D150" s="1406">
        <f>E150+F150+G150+H150+I150+J150+K150+L150</f>
        <v>35876</v>
      </c>
      <c r="E150" s="1418">
        <v>0</v>
      </c>
      <c r="F150" s="1420">
        <f>+F151+F152+F153</f>
        <v>8753</v>
      </c>
      <c r="G150" s="1420">
        <f t="shared" ref="G150:K150" si="128">+G151+G152+G153</f>
        <v>27123</v>
      </c>
      <c r="H150" s="1420">
        <f t="shared" si="128"/>
        <v>0</v>
      </c>
      <c r="I150" s="1420">
        <f t="shared" si="128"/>
        <v>0</v>
      </c>
      <c r="J150" s="1420">
        <f t="shared" si="128"/>
        <v>0</v>
      </c>
      <c r="K150" s="1420">
        <f t="shared" si="128"/>
        <v>0</v>
      </c>
      <c r="L150" s="1420">
        <f t="shared" ref="L150" si="129">+L151+L152</f>
        <v>0</v>
      </c>
      <c r="M150" s="917">
        <f>SUM(F150:K150)</f>
        <v>35876</v>
      </c>
      <c r="N150" s="917">
        <f>SUM(G150:L150)</f>
        <v>27123</v>
      </c>
      <c r="O150" s="3844"/>
    </row>
    <row r="151" spans="1:16" ht="12" hidden="1" customHeight="1">
      <c r="A151" s="3860"/>
      <c r="B151" s="2123" t="s">
        <v>340</v>
      </c>
      <c r="C151" s="1833"/>
      <c r="D151" s="1422">
        <f>SUM(E151:L151)</f>
        <v>0</v>
      </c>
      <c r="E151" s="1420">
        <v>0</v>
      </c>
      <c r="F151" s="1420">
        <f>30000-30000</f>
        <v>0</v>
      </c>
      <c r="G151" s="1420">
        <f>500000-398000-102000</f>
        <v>0</v>
      </c>
      <c r="H151" s="1420">
        <f>100000-49000-51000</f>
        <v>0</v>
      </c>
      <c r="I151" s="1420">
        <f>0+17000-17000</f>
        <v>0</v>
      </c>
      <c r="J151" s="1420">
        <v>0</v>
      </c>
      <c r="K151" s="1420">
        <v>0</v>
      </c>
      <c r="L151" s="1420">
        <v>0</v>
      </c>
      <c r="M151" s="1421"/>
      <c r="N151" s="1421"/>
      <c r="O151" s="2035"/>
      <c r="P151" s="386">
        <f>D150-D156</f>
        <v>0</v>
      </c>
    </row>
    <row r="152" spans="1:16" ht="12" hidden="1" customHeight="1">
      <c r="A152" s="3860"/>
      <c r="B152" s="2123" t="s">
        <v>341</v>
      </c>
      <c r="C152" s="3068"/>
      <c r="D152" s="1422">
        <f>SUM(E152:L152)</f>
        <v>0</v>
      </c>
      <c r="E152" s="1420">
        <v>0</v>
      </c>
      <c r="F152" s="1420">
        <f>80000-80000</f>
        <v>0</v>
      </c>
      <c r="G152" s="1420">
        <f>130000-130000</f>
        <v>0</v>
      </c>
      <c r="H152" s="1420">
        <f>20000-20000</f>
        <v>0</v>
      </c>
      <c r="I152" s="1420">
        <v>0</v>
      </c>
      <c r="J152" s="1420">
        <v>0</v>
      </c>
      <c r="K152" s="1420">
        <v>0</v>
      </c>
      <c r="L152" s="1420">
        <v>0</v>
      </c>
      <c r="M152" s="1421"/>
      <c r="N152" s="1421"/>
      <c r="O152" s="2035"/>
    </row>
    <row r="153" spans="1:16" s="1519" customFormat="1" ht="12" hidden="1" customHeight="1">
      <c r="A153" s="3860"/>
      <c r="B153" s="2123" t="s">
        <v>110</v>
      </c>
      <c r="C153" s="3068"/>
      <c r="D153" s="1422">
        <f>SUM(E153:L153)</f>
        <v>35876</v>
      </c>
      <c r="E153" s="1420"/>
      <c r="F153" s="1420">
        <f>30000-21247</f>
        <v>8753</v>
      </c>
      <c r="G153" s="1420">
        <f>0+27123</f>
        <v>27123</v>
      </c>
      <c r="H153" s="1420">
        <v>0</v>
      </c>
      <c r="I153" s="1420">
        <v>0</v>
      </c>
      <c r="J153" s="1420">
        <v>0</v>
      </c>
      <c r="K153" s="1420">
        <v>0</v>
      </c>
      <c r="L153" s="1420">
        <v>0</v>
      </c>
      <c r="M153" s="1421"/>
      <c r="N153" s="1421"/>
      <c r="O153" s="2035"/>
    </row>
    <row r="154" spans="1:16">
      <c r="A154" s="3862"/>
      <c r="B154" s="1410" t="s">
        <v>22</v>
      </c>
      <c r="C154" s="1425"/>
      <c r="D154" s="1426">
        <f>D155</f>
        <v>35876</v>
      </c>
      <c r="E154" s="1426">
        <f>+E155</f>
        <v>0</v>
      </c>
      <c r="F154" s="1426">
        <f>+F155</f>
        <v>0</v>
      </c>
      <c r="G154" s="1426">
        <f>+G155</f>
        <v>35876</v>
      </c>
      <c r="H154" s="1426">
        <f>+H155</f>
        <v>0</v>
      </c>
      <c r="I154" s="1426">
        <f>I155</f>
        <v>0</v>
      </c>
      <c r="J154" s="1426">
        <f>+J155</f>
        <v>0</v>
      </c>
      <c r="K154" s="1426">
        <f>+K155</f>
        <v>0</v>
      </c>
      <c r="L154" s="1426">
        <f>L155</f>
        <v>0</v>
      </c>
      <c r="M154" s="3869" t="s">
        <v>61</v>
      </c>
      <c r="N154" s="3869" t="s">
        <v>61</v>
      </c>
      <c r="O154" s="3871" t="s">
        <v>340</v>
      </c>
    </row>
    <row r="155" spans="1:16">
      <c r="A155" s="3862"/>
      <c r="B155" s="1414" t="s">
        <v>18</v>
      </c>
      <c r="C155" s="3934" t="s">
        <v>339</v>
      </c>
      <c r="D155" s="1423">
        <f t="shared" ref="D155:L155" si="130">+D156</f>
        <v>35876</v>
      </c>
      <c r="E155" s="1423">
        <f t="shared" si="130"/>
        <v>0</v>
      </c>
      <c r="F155" s="1423">
        <f t="shared" si="130"/>
        <v>0</v>
      </c>
      <c r="G155" s="1423">
        <f t="shared" si="130"/>
        <v>35876</v>
      </c>
      <c r="H155" s="1423">
        <f t="shared" si="130"/>
        <v>0</v>
      </c>
      <c r="I155" s="1423">
        <f t="shared" si="130"/>
        <v>0</v>
      </c>
      <c r="J155" s="1423">
        <f t="shared" si="130"/>
        <v>0</v>
      </c>
      <c r="K155" s="1423">
        <f t="shared" si="130"/>
        <v>0</v>
      </c>
      <c r="L155" s="1423">
        <f t="shared" si="130"/>
        <v>0</v>
      </c>
      <c r="M155" s="3869"/>
      <c r="N155" s="3869"/>
      <c r="O155" s="3872"/>
    </row>
    <row r="156" spans="1:16" ht="13.5" thickBot="1">
      <c r="A156" s="3864"/>
      <c r="B156" s="575" t="s">
        <v>21</v>
      </c>
      <c r="C156" s="3935"/>
      <c r="D156" s="833">
        <f>E156+F156+G156+H156+I156+J156+K156+L156</f>
        <v>35876</v>
      </c>
      <c r="E156" s="833">
        <v>0</v>
      </c>
      <c r="F156" s="448">
        <f>110000+30000-140000</f>
        <v>0</v>
      </c>
      <c r="G156" s="448">
        <f>520000-252124-232000</f>
        <v>35876</v>
      </c>
      <c r="H156" s="448">
        <f>120000-49000-71000</f>
        <v>0</v>
      </c>
      <c r="I156" s="448">
        <f>0+17000-17000</f>
        <v>0</v>
      </c>
      <c r="J156" s="448">
        <v>0</v>
      </c>
      <c r="K156" s="448">
        <v>0</v>
      </c>
      <c r="L156" s="448">
        <v>0</v>
      </c>
      <c r="M156" s="3870"/>
      <c r="N156" s="3870"/>
      <c r="O156" s="3873"/>
      <c r="P156" s="386"/>
    </row>
    <row r="157" spans="1:16" ht="26.25" customHeight="1">
      <c r="A157" s="3897" t="s">
        <v>91</v>
      </c>
      <c r="B157" s="1244" t="s">
        <v>422</v>
      </c>
      <c r="C157" s="1245" t="s">
        <v>109</v>
      </c>
      <c r="D157" s="1159"/>
      <c r="E157" s="3161"/>
      <c r="F157" s="3161"/>
      <c r="G157" s="3161"/>
      <c r="H157" s="3161"/>
      <c r="I157" s="3161"/>
      <c r="J157" s="3161"/>
      <c r="K157" s="3161"/>
      <c r="L157" s="41"/>
      <c r="M157" s="574"/>
      <c r="N157" s="574"/>
      <c r="O157" s="3865" t="s">
        <v>280</v>
      </c>
      <c r="P157" s="386">
        <f>D158+D176</f>
        <v>1218280</v>
      </c>
    </row>
    <row r="158" spans="1:16" ht="14.25" customHeight="1">
      <c r="A158" s="3860"/>
      <c r="B158" s="1410" t="s">
        <v>10</v>
      </c>
      <c r="C158" s="1246"/>
      <c r="D158" s="1411">
        <f>+D159+D166</f>
        <v>1184280</v>
      </c>
      <c r="E158" s="1898">
        <f t="shared" ref="E158:N158" si="131">+E159+E166</f>
        <v>0</v>
      </c>
      <c r="F158" s="1898">
        <f t="shared" si="131"/>
        <v>0</v>
      </c>
      <c r="G158" s="1412">
        <f t="shared" si="131"/>
        <v>651754</v>
      </c>
      <c r="H158" s="1412">
        <f t="shared" si="131"/>
        <v>532526</v>
      </c>
      <c r="I158" s="1898">
        <f t="shared" si="131"/>
        <v>0</v>
      </c>
      <c r="J158" s="1898">
        <f t="shared" si="131"/>
        <v>0</v>
      </c>
      <c r="K158" s="1898">
        <f t="shared" si="131"/>
        <v>0</v>
      </c>
      <c r="L158" s="1898">
        <f t="shared" si="131"/>
        <v>0</v>
      </c>
      <c r="M158" s="1413">
        <f t="shared" si="131"/>
        <v>1060852</v>
      </c>
      <c r="N158" s="1413">
        <f t="shared" si="131"/>
        <v>1184280</v>
      </c>
      <c r="O158" s="3844"/>
    </row>
    <row r="159" spans="1:16">
      <c r="A159" s="3860"/>
      <c r="B159" s="1414" t="s">
        <v>24</v>
      </c>
      <c r="C159" s="3866" t="s">
        <v>421</v>
      </c>
      <c r="D159" s="1415">
        <f>+D160+D163</f>
        <v>177642</v>
      </c>
      <c r="E159" s="1899">
        <f t="shared" ref="E159:L159" si="132">+E160+E163</f>
        <v>0</v>
      </c>
      <c r="F159" s="1899">
        <f t="shared" si="132"/>
        <v>0</v>
      </c>
      <c r="G159" s="1415">
        <f t="shared" si="132"/>
        <v>97763</v>
      </c>
      <c r="H159" s="1415">
        <f t="shared" si="132"/>
        <v>79879</v>
      </c>
      <c r="I159" s="1899">
        <f t="shared" si="132"/>
        <v>0</v>
      </c>
      <c r="J159" s="1899">
        <f t="shared" si="132"/>
        <v>0</v>
      </c>
      <c r="K159" s="1899">
        <f t="shared" si="132"/>
        <v>0</v>
      </c>
      <c r="L159" s="1899">
        <f t="shared" si="132"/>
        <v>0</v>
      </c>
      <c r="M159" s="1416">
        <f t="shared" ref="M159" si="133">+M160</f>
        <v>54214</v>
      </c>
      <c r="N159" s="1416">
        <f>+N160+N163</f>
        <v>177642</v>
      </c>
      <c r="O159" s="3844"/>
    </row>
    <row r="160" spans="1:16">
      <c r="A160" s="3860"/>
      <c r="B160" s="1417" t="s">
        <v>12</v>
      </c>
      <c r="C160" s="3867"/>
      <c r="D160" s="1406">
        <f>E160+F160+G160+H160+I160+J160+K160+L160</f>
        <v>54214</v>
      </c>
      <c r="E160" s="1900">
        <v>0</v>
      </c>
      <c r="F160" s="1901">
        <v>0</v>
      </c>
      <c r="G160" s="1419">
        <f>G161+G162</f>
        <v>29769</v>
      </c>
      <c r="H160" s="1419">
        <f t="shared" ref="H160:L160" si="134">H161+H162</f>
        <v>24445</v>
      </c>
      <c r="I160" s="1901">
        <f t="shared" si="134"/>
        <v>0</v>
      </c>
      <c r="J160" s="1901">
        <f t="shared" si="134"/>
        <v>0</v>
      </c>
      <c r="K160" s="1901">
        <f t="shared" si="134"/>
        <v>0</v>
      </c>
      <c r="L160" s="1901">
        <f t="shared" si="134"/>
        <v>0</v>
      </c>
      <c r="M160" s="897">
        <f>SUM(F160:K160)</f>
        <v>54214</v>
      </c>
      <c r="N160" s="897">
        <f>SUM(G160:L160)</f>
        <v>54214</v>
      </c>
      <c r="O160" s="3844"/>
    </row>
    <row r="161" spans="1:16" s="387" customFormat="1" hidden="1">
      <c r="A161" s="3860"/>
      <c r="B161" s="1902" t="s">
        <v>260</v>
      </c>
      <c r="C161" s="3867"/>
      <c r="D161" s="1903">
        <f>SUM(E161:L161)</f>
        <v>28440</v>
      </c>
      <c r="E161" s="1904">
        <v>0</v>
      </c>
      <c r="F161" s="1905">
        <v>0</v>
      </c>
      <c r="G161" s="1906">
        <v>14220</v>
      </c>
      <c r="H161" s="1906">
        <v>14220</v>
      </c>
      <c r="I161" s="1904">
        <v>0</v>
      </c>
      <c r="J161" s="1904">
        <v>0</v>
      </c>
      <c r="K161" s="1904">
        <v>0</v>
      </c>
      <c r="L161" s="1904">
        <v>0</v>
      </c>
      <c r="M161" s="1907"/>
      <c r="N161" s="1908">
        <f>SUM(G161:L161)</f>
        <v>28440</v>
      </c>
      <c r="O161" s="3844"/>
    </row>
    <row r="162" spans="1:16" s="387" customFormat="1" hidden="1">
      <c r="A162" s="3860"/>
      <c r="B162" s="1909" t="s">
        <v>275</v>
      </c>
      <c r="C162" s="3867"/>
      <c r="D162" s="1910">
        <f>SUM(E162:L162)</f>
        <v>25774</v>
      </c>
      <c r="E162" s="1911">
        <v>0</v>
      </c>
      <c r="F162" s="1912">
        <v>0</v>
      </c>
      <c r="G162" s="1913">
        <f>14199+1350</f>
        <v>15549</v>
      </c>
      <c r="H162" s="1913">
        <f>10075+150</f>
        <v>10225</v>
      </c>
      <c r="I162" s="1911">
        <v>0</v>
      </c>
      <c r="J162" s="1911">
        <v>0</v>
      </c>
      <c r="K162" s="1911">
        <v>0</v>
      </c>
      <c r="L162" s="1911">
        <v>0</v>
      </c>
      <c r="M162" s="1907"/>
      <c r="N162" s="1908">
        <f>SUM(G162:L162)</f>
        <v>25774</v>
      </c>
      <c r="O162" s="3844"/>
    </row>
    <row r="163" spans="1:16" s="1915" customFormat="1">
      <c r="A163" s="3861"/>
      <c r="B163" s="875" t="s">
        <v>13</v>
      </c>
      <c r="C163" s="3868"/>
      <c r="D163" s="1406">
        <f>E163+F163+G163+H163+I163+J163+K163+L163</f>
        <v>123428</v>
      </c>
      <c r="E163" s="1900">
        <v>0</v>
      </c>
      <c r="F163" s="1901">
        <v>0</v>
      </c>
      <c r="G163" s="1419">
        <f>G164+G165</f>
        <v>67994</v>
      </c>
      <c r="H163" s="1419">
        <f t="shared" ref="H163:L163" si="135">H164+H165</f>
        <v>55434</v>
      </c>
      <c r="I163" s="1901">
        <f t="shared" si="135"/>
        <v>0</v>
      </c>
      <c r="J163" s="1901">
        <f t="shared" si="135"/>
        <v>0</v>
      </c>
      <c r="K163" s="1901">
        <f t="shared" si="135"/>
        <v>0</v>
      </c>
      <c r="L163" s="1901">
        <f t="shared" si="135"/>
        <v>0</v>
      </c>
      <c r="M163" s="1914"/>
      <c r="N163" s="897">
        <f t="shared" ref="N163:N165" si="136">SUM(G163:L163)</f>
        <v>123428</v>
      </c>
      <c r="O163" s="3844"/>
    </row>
    <row r="164" spans="1:16" s="1915" customFormat="1" hidden="1">
      <c r="A164" s="3861"/>
      <c r="B164" s="1902" t="s">
        <v>260</v>
      </c>
      <c r="C164" s="3868"/>
      <c r="D164" s="1903">
        <f>SUM(E164:L164)</f>
        <v>71880</v>
      </c>
      <c r="E164" s="1904">
        <v>0</v>
      </c>
      <c r="F164" s="1905">
        <v>0</v>
      </c>
      <c r="G164" s="1906">
        <v>36896</v>
      </c>
      <c r="H164" s="1906">
        <v>34984</v>
      </c>
      <c r="I164" s="1904">
        <v>0</v>
      </c>
      <c r="J164" s="1904">
        <v>0</v>
      </c>
      <c r="K164" s="1904">
        <v>0</v>
      </c>
      <c r="L164" s="1904">
        <v>0</v>
      </c>
      <c r="M164" s="1916"/>
      <c r="N164" s="917">
        <f t="shared" si="136"/>
        <v>71880</v>
      </c>
      <c r="O164" s="3844"/>
    </row>
    <row r="165" spans="1:16" s="1915" customFormat="1" hidden="1">
      <c r="A165" s="3861"/>
      <c r="B165" s="1909" t="s">
        <v>275</v>
      </c>
      <c r="C165" s="3868"/>
      <c r="D165" s="1910">
        <f>SUM(E165:L165)</f>
        <v>51548</v>
      </c>
      <c r="E165" s="1911">
        <v>0</v>
      </c>
      <c r="F165" s="1912">
        <v>0</v>
      </c>
      <c r="G165" s="1913">
        <f>28398+2700</f>
        <v>31098</v>
      </c>
      <c r="H165" s="1913">
        <f>20150+300</f>
        <v>20450</v>
      </c>
      <c r="I165" s="1911">
        <v>0</v>
      </c>
      <c r="J165" s="1911">
        <v>0</v>
      </c>
      <c r="K165" s="1911">
        <v>0</v>
      </c>
      <c r="L165" s="1911">
        <v>0</v>
      </c>
      <c r="M165" s="1916"/>
      <c r="N165" s="917">
        <f t="shared" si="136"/>
        <v>51548</v>
      </c>
      <c r="O165" s="3844"/>
    </row>
    <row r="166" spans="1:16">
      <c r="A166" s="3860"/>
      <c r="B166" s="1414" t="s">
        <v>18</v>
      </c>
      <c r="C166" s="3867"/>
      <c r="D166" s="1423">
        <f>+D167</f>
        <v>1006638</v>
      </c>
      <c r="E166" s="1832">
        <f t="shared" ref="E166:L166" si="137">+E167</f>
        <v>0</v>
      </c>
      <c r="F166" s="1832">
        <f t="shared" si="137"/>
        <v>0</v>
      </c>
      <c r="G166" s="1423">
        <f t="shared" si="137"/>
        <v>553991</v>
      </c>
      <c r="H166" s="1423">
        <f t="shared" si="137"/>
        <v>452647</v>
      </c>
      <c r="I166" s="1832">
        <f t="shared" si="137"/>
        <v>0</v>
      </c>
      <c r="J166" s="1832">
        <f t="shared" si="137"/>
        <v>0</v>
      </c>
      <c r="K166" s="1832">
        <f t="shared" si="137"/>
        <v>0</v>
      </c>
      <c r="L166" s="1832">
        <f t="shared" si="137"/>
        <v>0</v>
      </c>
      <c r="M166" s="1424">
        <f>+M167</f>
        <v>1006638</v>
      </c>
      <c r="N166" s="1424">
        <f>+N167</f>
        <v>1006638</v>
      </c>
      <c r="O166" s="3844"/>
    </row>
    <row r="167" spans="1:16">
      <c r="A167" s="3860"/>
      <c r="B167" s="1417" t="s">
        <v>21</v>
      </c>
      <c r="C167" s="3867"/>
      <c r="D167" s="1406">
        <f>E167+F167+G167+H167+I167+J167+K167+L167</f>
        <v>1006638</v>
      </c>
      <c r="E167" s="1900">
        <v>0</v>
      </c>
      <c r="F167" s="1917">
        <v>0</v>
      </c>
      <c r="G167" s="1420">
        <f>G168+G169</f>
        <v>553991</v>
      </c>
      <c r="H167" s="1420">
        <f t="shared" ref="H167" si="138">H168+H169</f>
        <v>452647</v>
      </c>
      <c r="I167" s="1917">
        <f t="shared" ref="I167" si="139">I168+I169</f>
        <v>0</v>
      </c>
      <c r="J167" s="1917">
        <f t="shared" ref="J167" si="140">J168+J169</f>
        <v>0</v>
      </c>
      <c r="K167" s="1917">
        <f t="shared" ref="K167" si="141">K168+K169</f>
        <v>0</v>
      </c>
      <c r="L167" s="1917">
        <f t="shared" ref="L167" si="142">L168+L169</f>
        <v>0</v>
      </c>
      <c r="M167" s="917">
        <f>SUM(F167:K167)</f>
        <v>1006638</v>
      </c>
      <c r="N167" s="917">
        <f>SUM(G167:L167)</f>
        <v>1006638</v>
      </c>
      <c r="O167" s="3844"/>
    </row>
    <row r="168" spans="1:16" s="387" customFormat="1" hidden="1">
      <c r="A168" s="3860"/>
      <c r="B168" s="1902" t="s">
        <v>260</v>
      </c>
      <c r="C168" s="1918"/>
      <c r="D168" s="1903">
        <f>SUM(E168:L168)</f>
        <v>568480</v>
      </c>
      <c r="E168" s="1904">
        <v>0</v>
      </c>
      <c r="F168" s="1904">
        <v>0</v>
      </c>
      <c r="G168" s="1906">
        <v>289658</v>
      </c>
      <c r="H168" s="1906">
        <v>278822</v>
      </c>
      <c r="I168" s="1904">
        <v>0</v>
      </c>
      <c r="J168" s="1904">
        <v>0</v>
      </c>
      <c r="K168" s="1904">
        <v>0</v>
      </c>
      <c r="L168" s="1904">
        <v>0</v>
      </c>
      <c r="M168" s="1907"/>
      <c r="N168" s="1908">
        <f>SUM(G168:L168)</f>
        <v>568480</v>
      </c>
      <c r="O168" s="3844"/>
    </row>
    <row r="169" spans="1:16" s="387" customFormat="1" hidden="1">
      <c r="A169" s="3860"/>
      <c r="B169" s="1909" t="s">
        <v>275</v>
      </c>
      <c r="C169" s="1919"/>
      <c r="D169" s="1910">
        <f>SUM(E169:L169)</f>
        <v>438158</v>
      </c>
      <c r="E169" s="1911">
        <v>0</v>
      </c>
      <c r="F169" s="1911">
        <v>0</v>
      </c>
      <c r="G169" s="1913">
        <f>241383+22950</f>
        <v>264333</v>
      </c>
      <c r="H169" s="1913">
        <f>171275+2550</f>
        <v>173825</v>
      </c>
      <c r="I169" s="1911">
        <v>0</v>
      </c>
      <c r="J169" s="1911">
        <v>0</v>
      </c>
      <c r="K169" s="1911">
        <v>0</v>
      </c>
      <c r="L169" s="1911">
        <v>0</v>
      </c>
      <c r="M169" s="1907"/>
      <c r="N169" s="1908">
        <f>SUM(G169:L169)</f>
        <v>438158</v>
      </c>
      <c r="O169" s="3845"/>
    </row>
    <row r="170" spans="1:16">
      <c r="A170" s="3862"/>
      <c r="B170" s="1410" t="s">
        <v>22</v>
      </c>
      <c r="C170" s="1410"/>
      <c r="D170" s="1426">
        <f>D173+D171</f>
        <v>1130066</v>
      </c>
      <c r="E170" s="1920">
        <f t="shared" ref="E170:L170" si="143">E173+E171</f>
        <v>0</v>
      </c>
      <c r="F170" s="1920">
        <f t="shared" si="143"/>
        <v>0</v>
      </c>
      <c r="G170" s="1426">
        <f t="shared" si="143"/>
        <v>621985</v>
      </c>
      <c r="H170" s="1426">
        <f t="shared" si="143"/>
        <v>508081</v>
      </c>
      <c r="I170" s="1920">
        <f t="shared" si="143"/>
        <v>0</v>
      </c>
      <c r="J170" s="1920">
        <f t="shared" si="143"/>
        <v>0</v>
      </c>
      <c r="K170" s="1920">
        <f t="shared" si="143"/>
        <v>0</v>
      </c>
      <c r="L170" s="1920">
        <f t="shared" si="143"/>
        <v>0</v>
      </c>
      <c r="M170" s="3869" t="s">
        <v>61</v>
      </c>
      <c r="N170" s="3869" t="s">
        <v>61</v>
      </c>
      <c r="O170" s="3871" t="s">
        <v>457</v>
      </c>
    </row>
    <row r="171" spans="1:16" s="1921" customFormat="1">
      <c r="A171" s="3863"/>
      <c r="B171" s="1866" t="s">
        <v>24</v>
      </c>
      <c r="C171" s="3874" t="s">
        <v>338</v>
      </c>
      <c r="D171" s="1423">
        <f t="shared" ref="D171:L173" si="144">+D172</f>
        <v>123428</v>
      </c>
      <c r="E171" s="1832">
        <f t="shared" si="144"/>
        <v>0</v>
      </c>
      <c r="F171" s="1832">
        <f t="shared" si="144"/>
        <v>0</v>
      </c>
      <c r="G171" s="1423">
        <f t="shared" si="144"/>
        <v>67994</v>
      </c>
      <c r="H171" s="1423">
        <f t="shared" si="144"/>
        <v>55434</v>
      </c>
      <c r="I171" s="1832">
        <f t="shared" si="144"/>
        <v>0</v>
      </c>
      <c r="J171" s="1832">
        <f t="shared" si="144"/>
        <v>0</v>
      </c>
      <c r="K171" s="1832">
        <f t="shared" si="144"/>
        <v>0</v>
      </c>
      <c r="L171" s="1832">
        <f t="shared" si="144"/>
        <v>0</v>
      </c>
      <c r="M171" s="3849"/>
      <c r="N171" s="3849"/>
      <c r="O171" s="3872"/>
    </row>
    <row r="172" spans="1:16" s="1921" customFormat="1">
      <c r="A172" s="3863"/>
      <c r="B172" s="875" t="s">
        <v>13</v>
      </c>
      <c r="C172" s="3875"/>
      <c r="D172" s="1458">
        <f>E172+F172+G172+H172+I172+J172+K172+L172</f>
        <v>123428</v>
      </c>
      <c r="E172" s="1922">
        <v>0</v>
      </c>
      <c r="F172" s="1922">
        <v>0</v>
      </c>
      <c r="G172" s="1923">
        <f>65294+2700</f>
        <v>67994</v>
      </c>
      <c r="H172" s="1923">
        <f>55134+300</f>
        <v>55434</v>
      </c>
      <c r="I172" s="1922">
        <v>0</v>
      </c>
      <c r="J172" s="1922">
        <v>0</v>
      </c>
      <c r="K172" s="1922">
        <v>0</v>
      </c>
      <c r="L172" s="1922">
        <v>0</v>
      </c>
      <c r="M172" s="3849"/>
      <c r="N172" s="3849"/>
      <c r="O172" s="3872"/>
      <c r="P172" s="1924">
        <f>D172-D163</f>
        <v>0</v>
      </c>
    </row>
    <row r="173" spans="1:16" ht="12.75" customHeight="1">
      <c r="A173" s="3862"/>
      <c r="B173" s="1414" t="s">
        <v>18</v>
      </c>
      <c r="C173" s="3875"/>
      <c r="D173" s="1850">
        <f t="shared" si="144"/>
        <v>1006638</v>
      </c>
      <c r="E173" s="1832">
        <f t="shared" si="144"/>
        <v>0</v>
      </c>
      <c r="F173" s="1832">
        <f t="shared" si="144"/>
        <v>0</v>
      </c>
      <c r="G173" s="1423">
        <f t="shared" si="144"/>
        <v>553991</v>
      </c>
      <c r="H173" s="1423">
        <f t="shared" si="144"/>
        <v>452647</v>
      </c>
      <c r="I173" s="1832">
        <f t="shared" si="144"/>
        <v>0</v>
      </c>
      <c r="J173" s="1832">
        <f t="shared" si="144"/>
        <v>0</v>
      </c>
      <c r="K173" s="1832">
        <f t="shared" si="144"/>
        <v>0</v>
      </c>
      <c r="L173" s="1832">
        <f t="shared" si="144"/>
        <v>0</v>
      </c>
      <c r="M173" s="3869"/>
      <c r="N173" s="3869"/>
      <c r="O173" s="3872"/>
    </row>
    <row r="174" spans="1:16" ht="13.5" thickBot="1">
      <c r="A174" s="3864"/>
      <c r="B174" s="575" t="s">
        <v>21</v>
      </c>
      <c r="C174" s="3876"/>
      <c r="D174" s="833">
        <f>E174+F174+G174+H174+I174+J174+K174+L174</f>
        <v>1006638</v>
      </c>
      <c r="E174" s="596">
        <v>0</v>
      </c>
      <c r="F174" s="871">
        <v>0</v>
      </c>
      <c r="G174" s="448">
        <f>531041+22950</f>
        <v>553991</v>
      </c>
      <c r="H174" s="448">
        <f>450097+2550</f>
        <v>452647</v>
      </c>
      <c r="I174" s="871">
        <v>0</v>
      </c>
      <c r="J174" s="871">
        <v>0</v>
      </c>
      <c r="K174" s="871">
        <v>0</v>
      </c>
      <c r="L174" s="871">
        <v>0</v>
      </c>
      <c r="M174" s="3870"/>
      <c r="N174" s="3870"/>
      <c r="O174" s="3873"/>
      <c r="P174" s="386">
        <f>D174-D167</f>
        <v>0</v>
      </c>
    </row>
    <row r="175" spans="1:16" ht="27.75" customHeight="1" thickBot="1">
      <c r="A175" s="3959" t="s">
        <v>92</v>
      </c>
      <c r="B175" s="1244" t="s">
        <v>423</v>
      </c>
      <c r="C175" s="1245" t="s">
        <v>81</v>
      </c>
      <c r="D175" s="1159"/>
      <c r="E175" s="3161"/>
      <c r="F175" s="3161"/>
      <c r="G175" s="3161"/>
      <c r="H175" s="3161"/>
      <c r="I175" s="3161"/>
      <c r="J175" s="3161"/>
      <c r="K175" s="3161"/>
      <c r="L175" s="41"/>
      <c r="M175" s="574"/>
      <c r="N175" s="574"/>
      <c r="O175" s="3865" t="s">
        <v>275</v>
      </c>
    </row>
    <row r="176" spans="1:16" ht="13.5" thickBot="1">
      <c r="A176" s="3882"/>
      <c r="B176" s="1410" t="s">
        <v>10</v>
      </c>
      <c r="C176" s="1246"/>
      <c r="D176" s="1411">
        <f t="shared" ref="D176:N176" si="145">+D177+D180</f>
        <v>34000</v>
      </c>
      <c r="E176" s="1898">
        <f t="shared" si="145"/>
        <v>0</v>
      </c>
      <c r="F176" s="1898">
        <f t="shared" si="145"/>
        <v>0</v>
      </c>
      <c r="G176" s="1412">
        <f t="shared" si="145"/>
        <v>34000</v>
      </c>
      <c r="H176" s="1898">
        <f t="shared" si="145"/>
        <v>0</v>
      </c>
      <c r="I176" s="1898">
        <f t="shared" si="145"/>
        <v>0</v>
      </c>
      <c r="J176" s="1898">
        <f t="shared" si="145"/>
        <v>0</v>
      </c>
      <c r="K176" s="1898">
        <f t="shared" si="145"/>
        <v>0</v>
      </c>
      <c r="L176" s="1898">
        <f t="shared" si="145"/>
        <v>0</v>
      </c>
      <c r="M176" s="1413">
        <f t="shared" si="145"/>
        <v>30600</v>
      </c>
      <c r="N176" s="1413">
        <f t="shared" si="145"/>
        <v>34000</v>
      </c>
      <c r="O176" s="3844"/>
    </row>
    <row r="177" spans="1:16" ht="13.5" thickBot="1">
      <c r="A177" s="3882"/>
      <c r="B177" s="1414" t="s">
        <v>24</v>
      </c>
      <c r="C177" s="3866" t="s">
        <v>424</v>
      </c>
      <c r="D177" s="1415">
        <f t="shared" ref="D177:L177" si="146">+D178+D179</f>
        <v>5100</v>
      </c>
      <c r="E177" s="1899">
        <f t="shared" si="146"/>
        <v>0</v>
      </c>
      <c r="F177" s="1899">
        <f t="shared" si="146"/>
        <v>0</v>
      </c>
      <c r="G177" s="1415">
        <f t="shared" si="146"/>
        <v>5100</v>
      </c>
      <c r="H177" s="1899">
        <f t="shared" si="146"/>
        <v>0</v>
      </c>
      <c r="I177" s="1899">
        <f t="shared" si="146"/>
        <v>0</v>
      </c>
      <c r="J177" s="1899">
        <f t="shared" si="146"/>
        <v>0</v>
      </c>
      <c r="K177" s="1899">
        <f t="shared" si="146"/>
        <v>0</v>
      </c>
      <c r="L177" s="1899">
        <f t="shared" si="146"/>
        <v>0</v>
      </c>
      <c r="M177" s="1416">
        <f t="shared" ref="M177" si="147">+M178</f>
        <v>1700</v>
      </c>
      <c r="N177" s="1416">
        <f>+N178+N179</f>
        <v>5100</v>
      </c>
      <c r="O177" s="3844"/>
    </row>
    <row r="178" spans="1:16" ht="13.5" thickBot="1">
      <c r="A178" s="3882"/>
      <c r="B178" s="1417" t="s">
        <v>12</v>
      </c>
      <c r="C178" s="3867"/>
      <c r="D178" s="1406">
        <f>E178+F178+G178+H178+I178+J178+K178+L178</f>
        <v>1700</v>
      </c>
      <c r="E178" s="1900">
        <v>0</v>
      </c>
      <c r="F178" s="1901">
        <v>0</v>
      </c>
      <c r="G178" s="1419">
        <f>2975-1275</f>
        <v>1700</v>
      </c>
      <c r="H178" s="1901">
        <v>0</v>
      </c>
      <c r="I178" s="1901">
        <v>0</v>
      </c>
      <c r="J178" s="1901">
        <v>0</v>
      </c>
      <c r="K178" s="1901">
        <v>0</v>
      </c>
      <c r="L178" s="1901">
        <v>0</v>
      </c>
      <c r="M178" s="897">
        <f>SUM(F178:K178)</f>
        <v>1700</v>
      </c>
      <c r="N178" s="897">
        <f>SUM(G178:L178)</f>
        <v>1700</v>
      </c>
      <c r="O178" s="3844"/>
    </row>
    <row r="179" spans="1:16" s="1915" customFormat="1" ht="13.5" thickBot="1">
      <c r="A179" s="3882"/>
      <c r="B179" s="875" t="s">
        <v>13</v>
      </c>
      <c r="C179" s="3868"/>
      <c r="D179" s="1406">
        <f>E179+F179+G179+H179+I179+J179+K179+L179</f>
        <v>3400</v>
      </c>
      <c r="E179" s="1900">
        <v>0</v>
      </c>
      <c r="F179" s="1901">
        <v>0</v>
      </c>
      <c r="G179" s="1419">
        <f>5950-2550</f>
        <v>3400</v>
      </c>
      <c r="H179" s="1901">
        <v>0</v>
      </c>
      <c r="I179" s="1901">
        <v>0</v>
      </c>
      <c r="J179" s="1901">
        <v>0</v>
      </c>
      <c r="K179" s="1901">
        <v>0</v>
      </c>
      <c r="L179" s="1901">
        <v>0</v>
      </c>
      <c r="M179" s="1914"/>
      <c r="N179" s="897">
        <f t="shared" ref="N179" si="148">SUM(G179:L179)</f>
        <v>3400</v>
      </c>
      <c r="O179" s="3844"/>
    </row>
    <row r="180" spans="1:16" ht="13.5" thickBot="1">
      <c r="A180" s="3882"/>
      <c r="B180" s="1414" t="s">
        <v>18</v>
      </c>
      <c r="C180" s="3867"/>
      <c r="D180" s="1423">
        <f>+D181</f>
        <v>28900</v>
      </c>
      <c r="E180" s="1832">
        <f t="shared" ref="E180:L180" si="149">+E181</f>
        <v>0</v>
      </c>
      <c r="F180" s="1832">
        <f t="shared" si="149"/>
        <v>0</v>
      </c>
      <c r="G180" s="1423">
        <f t="shared" si="149"/>
        <v>28900</v>
      </c>
      <c r="H180" s="1832">
        <f t="shared" si="149"/>
        <v>0</v>
      </c>
      <c r="I180" s="1832">
        <f t="shared" si="149"/>
        <v>0</v>
      </c>
      <c r="J180" s="1832">
        <f t="shared" si="149"/>
        <v>0</v>
      </c>
      <c r="K180" s="1832">
        <f t="shared" si="149"/>
        <v>0</v>
      </c>
      <c r="L180" s="1832">
        <f t="shared" si="149"/>
        <v>0</v>
      </c>
      <c r="M180" s="1424">
        <f>+M181</f>
        <v>28900</v>
      </c>
      <c r="N180" s="1424">
        <f>+N181</f>
        <v>28900</v>
      </c>
      <c r="O180" s="3844"/>
    </row>
    <row r="181" spans="1:16" ht="13.5" thickBot="1">
      <c r="A181" s="3882"/>
      <c r="B181" s="1417" t="s">
        <v>21</v>
      </c>
      <c r="C181" s="3867"/>
      <c r="D181" s="1406">
        <f>E181+F181+G181+H181+I181+J181+K181+L181</f>
        <v>28900</v>
      </c>
      <c r="E181" s="1900">
        <v>0</v>
      </c>
      <c r="F181" s="1917">
        <v>0</v>
      </c>
      <c r="G181" s="1420">
        <f>50575-21675</f>
        <v>28900</v>
      </c>
      <c r="H181" s="1917">
        <v>0</v>
      </c>
      <c r="I181" s="1917">
        <v>0</v>
      </c>
      <c r="J181" s="1917">
        <v>0</v>
      </c>
      <c r="K181" s="1917">
        <v>0</v>
      </c>
      <c r="L181" s="1917">
        <v>0</v>
      </c>
      <c r="M181" s="917">
        <f>SUM(F181:K181)</f>
        <v>28900</v>
      </c>
      <c r="N181" s="917">
        <f>SUM(G181:L181)</f>
        <v>28900</v>
      </c>
      <c r="O181" s="3844"/>
    </row>
    <row r="182" spans="1:16" ht="13.5" thickBot="1">
      <c r="A182" s="3882"/>
      <c r="B182" s="1410" t="s">
        <v>22</v>
      </c>
      <c r="C182" s="1410"/>
      <c r="D182" s="1426">
        <f>D185+D183</f>
        <v>32300</v>
      </c>
      <c r="E182" s="1920">
        <f t="shared" ref="E182" si="150">E185+E183</f>
        <v>0</v>
      </c>
      <c r="F182" s="1920">
        <f t="shared" ref="F182" si="151">F185+F183</f>
        <v>0</v>
      </c>
      <c r="G182" s="1426">
        <f t="shared" ref="G182" si="152">G185+G183</f>
        <v>32300</v>
      </c>
      <c r="H182" s="1920">
        <f t="shared" ref="H182" si="153">H185+H183</f>
        <v>0</v>
      </c>
      <c r="I182" s="1920">
        <f t="shared" ref="I182" si="154">I185+I183</f>
        <v>0</v>
      </c>
      <c r="J182" s="1920">
        <f t="shared" ref="J182" si="155">J185+J183</f>
        <v>0</v>
      </c>
      <c r="K182" s="1920">
        <f t="shared" ref="K182" si="156">K185+K183</f>
        <v>0</v>
      </c>
      <c r="L182" s="1920">
        <f t="shared" ref="L182" si="157">L185+L183</f>
        <v>0</v>
      </c>
      <c r="M182" s="3869" t="s">
        <v>61</v>
      </c>
      <c r="N182" s="3869" t="s">
        <v>61</v>
      </c>
      <c r="O182" s="3871" t="s">
        <v>457</v>
      </c>
    </row>
    <row r="183" spans="1:16" s="1921" customFormat="1" ht="13.5" thickBot="1">
      <c r="A183" s="3882"/>
      <c r="B183" s="1866" t="s">
        <v>24</v>
      </c>
      <c r="C183" s="3960" t="s">
        <v>338</v>
      </c>
      <c r="D183" s="1423">
        <f t="shared" ref="D183:L185" si="158">+D184</f>
        <v>3400</v>
      </c>
      <c r="E183" s="1832">
        <f t="shared" si="158"/>
        <v>0</v>
      </c>
      <c r="F183" s="1832">
        <f t="shared" si="158"/>
        <v>0</v>
      </c>
      <c r="G183" s="1423">
        <f t="shared" si="158"/>
        <v>3400</v>
      </c>
      <c r="H183" s="1832">
        <f t="shared" si="158"/>
        <v>0</v>
      </c>
      <c r="I183" s="1832">
        <f t="shared" si="158"/>
        <v>0</v>
      </c>
      <c r="J183" s="1832">
        <f t="shared" si="158"/>
        <v>0</v>
      </c>
      <c r="K183" s="1832">
        <f t="shared" si="158"/>
        <v>0</v>
      </c>
      <c r="L183" s="1832">
        <f t="shared" si="158"/>
        <v>0</v>
      </c>
      <c r="M183" s="3849"/>
      <c r="N183" s="3849"/>
      <c r="O183" s="3872"/>
    </row>
    <row r="184" spans="1:16" s="1921" customFormat="1" ht="13.5" thickBot="1">
      <c r="A184" s="3882"/>
      <c r="B184" s="875" t="s">
        <v>13</v>
      </c>
      <c r="C184" s="3875"/>
      <c r="D184" s="1458">
        <f>E184+F184+G184+H184+I184+J184+K184+L184</f>
        <v>3400</v>
      </c>
      <c r="E184" s="1922">
        <v>0</v>
      </c>
      <c r="F184" s="1922">
        <v>0</v>
      </c>
      <c r="G184" s="1923">
        <f>5950-2550</f>
        <v>3400</v>
      </c>
      <c r="H184" s="1925">
        <v>0</v>
      </c>
      <c r="I184" s="1925">
        <v>0</v>
      </c>
      <c r="J184" s="1925">
        <v>0</v>
      </c>
      <c r="K184" s="1925">
        <v>0</v>
      </c>
      <c r="L184" s="1925">
        <v>0</v>
      </c>
      <c r="M184" s="3849"/>
      <c r="N184" s="3849"/>
      <c r="O184" s="3872"/>
      <c r="P184" s="1924">
        <f>D184-D179</f>
        <v>0</v>
      </c>
    </row>
    <row r="185" spans="1:16" ht="12.75" customHeight="1" thickBot="1">
      <c r="A185" s="3882"/>
      <c r="B185" s="1414" t="s">
        <v>18</v>
      </c>
      <c r="C185" s="3875"/>
      <c r="D185" s="1850">
        <f t="shared" si="158"/>
        <v>28900</v>
      </c>
      <c r="E185" s="1832">
        <f t="shared" si="158"/>
        <v>0</v>
      </c>
      <c r="F185" s="1832">
        <f t="shared" si="158"/>
        <v>0</v>
      </c>
      <c r="G185" s="1423">
        <f t="shared" si="158"/>
        <v>28900</v>
      </c>
      <c r="H185" s="1832">
        <f t="shared" si="158"/>
        <v>0</v>
      </c>
      <c r="I185" s="1832">
        <f t="shared" si="158"/>
        <v>0</v>
      </c>
      <c r="J185" s="1832">
        <f t="shared" si="158"/>
        <v>0</v>
      </c>
      <c r="K185" s="1832">
        <f t="shared" si="158"/>
        <v>0</v>
      </c>
      <c r="L185" s="1832">
        <f t="shared" si="158"/>
        <v>0</v>
      </c>
      <c r="M185" s="3869"/>
      <c r="N185" s="3869"/>
      <c r="O185" s="3872"/>
    </row>
    <row r="186" spans="1:16" ht="13.5" thickBot="1">
      <c r="A186" s="3882"/>
      <c r="B186" s="2380" t="s">
        <v>21</v>
      </c>
      <c r="C186" s="3876"/>
      <c r="D186" s="833">
        <f>E186+F186+G186+H186+I186+J186+K186+L186</f>
        <v>28900</v>
      </c>
      <c r="E186" s="596">
        <v>0</v>
      </c>
      <c r="F186" s="871">
        <v>0</v>
      </c>
      <c r="G186" s="448">
        <f>50575-21675</f>
        <v>28900</v>
      </c>
      <c r="H186" s="871">
        <v>0</v>
      </c>
      <c r="I186" s="871">
        <v>0</v>
      </c>
      <c r="J186" s="871">
        <v>0</v>
      </c>
      <c r="K186" s="871">
        <v>0</v>
      </c>
      <c r="L186" s="871">
        <v>0</v>
      </c>
      <c r="M186" s="3870"/>
      <c r="N186" s="3870"/>
      <c r="O186" s="3873"/>
      <c r="P186" s="386">
        <f>D186-D181</f>
        <v>0</v>
      </c>
    </row>
    <row r="187" spans="1:16" s="2032" customFormat="1" ht="25.5" customHeight="1" thickBot="1">
      <c r="A187" s="3882" t="s">
        <v>93</v>
      </c>
      <c r="B187" s="1244" t="s">
        <v>449</v>
      </c>
      <c r="C187" s="1245" t="s">
        <v>109</v>
      </c>
      <c r="D187" s="1159"/>
      <c r="E187" s="3161"/>
      <c r="F187" s="3161"/>
      <c r="G187" s="3161"/>
      <c r="H187" s="3161"/>
      <c r="I187" s="3161"/>
      <c r="J187" s="3161"/>
      <c r="K187" s="3161"/>
      <c r="L187" s="41"/>
      <c r="M187" s="574"/>
      <c r="N187" s="574"/>
      <c r="O187" s="3865" t="s">
        <v>280</v>
      </c>
      <c r="P187" s="2031"/>
    </row>
    <row r="188" spans="1:16" s="2032" customFormat="1" ht="13.5" thickBot="1">
      <c r="A188" s="3882"/>
      <c r="B188" s="1410" t="s">
        <v>10</v>
      </c>
      <c r="C188" s="1246"/>
      <c r="D188" s="1411">
        <f>+D189+D196</f>
        <v>828175</v>
      </c>
      <c r="E188" s="1898">
        <f t="shared" ref="E188:N188" si="159">+E189+E196</f>
        <v>0</v>
      </c>
      <c r="F188" s="1898">
        <f t="shared" si="159"/>
        <v>0</v>
      </c>
      <c r="G188" s="1412">
        <f t="shared" si="159"/>
        <v>407100</v>
      </c>
      <c r="H188" s="1412">
        <f t="shared" si="159"/>
        <v>421075</v>
      </c>
      <c r="I188" s="1898">
        <f t="shared" si="159"/>
        <v>0</v>
      </c>
      <c r="J188" s="1898">
        <f t="shared" si="159"/>
        <v>0</v>
      </c>
      <c r="K188" s="1898">
        <f t="shared" si="159"/>
        <v>0</v>
      </c>
      <c r="L188" s="1898">
        <f t="shared" si="159"/>
        <v>0</v>
      </c>
      <c r="M188" s="1413">
        <f t="shared" si="159"/>
        <v>745358</v>
      </c>
      <c r="N188" s="1413">
        <f t="shared" si="159"/>
        <v>828175</v>
      </c>
      <c r="O188" s="3844"/>
      <c r="P188" s="2031"/>
    </row>
    <row r="189" spans="1:16" s="2032" customFormat="1" ht="13.5" thickBot="1">
      <c r="A189" s="3882"/>
      <c r="B189" s="1414" t="s">
        <v>24</v>
      </c>
      <c r="C189" s="3866" t="s">
        <v>439</v>
      </c>
      <c r="D189" s="1415">
        <f>+D190+D193</f>
        <v>124226</v>
      </c>
      <c r="E189" s="1899">
        <f t="shared" ref="E189:L189" si="160">+E190+E193</f>
        <v>0</v>
      </c>
      <c r="F189" s="1899">
        <f t="shared" si="160"/>
        <v>0</v>
      </c>
      <c r="G189" s="1415">
        <f t="shared" si="160"/>
        <v>61065</v>
      </c>
      <c r="H189" s="1415">
        <f t="shared" si="160"/>
        <v>63161</v>
      </c>
      <c r="I189" s="1899">
        <f t="shared" si="160"/>
        <v>0</v>
      </c>
      <c r="J189" s="1899">
        <f t="shared" si="160"/>
        <v>0</v>
      </c>
      <c r="K189" s="1899">
        <f t="shared" si="160"/>
        <v>0</v>
      </c>
      <c r="L189" s="1899">
        <f t="shared" si="160"/>
        <v>0</v>
      </c>
      <c r="M189" s="1416">
        <f t="shared" ref="M189" si="161">+M190</f>
        <v>41409</v>
      </c>
      <c r="N189" s="1416">
        <f>+N190+N193</f>
        <v>124226</v>
      </c>
      <c r="O189" s="3844"/>
      <c r="P189" s="2031"/>
    </row>
    <row r="190" spans="1:16" s="2032" customFormat="1" ht="13.5" thickBot="1">
      <c r="A190" s="3882"/>
      <c r="B190" s="1417" t="s">
        <v>12</v>
      </c>
      <c r="C190" s="3867"/>
      <c r="D190" s="1406">
        <f>E190+F190+G190+H190+I190+J190+K190+L190</f>
        <v>41409</v>
      </c>
      <c r="E190" s="1900">
        <v>0</v>
      </c>
      <c r="F190" s="1901">
        <v>0</v>
      </c>
      <c r="G190" s="1419">
        <f>G191+G192</f>
        <v>20355</v>
      </c>
      <c r="H190" s="1419">
        <f t="shared" ref="H190:L190" si="162">H191+H192</f>
        <v>21054</v>
      </c>
      <c r="I190" s="1901">
        <f t="shared" si="162"/>
        <v>0</v>
      </c>
      <c r="J190" s="1901">
        <f t="shared" si="162"/>
        <v>0</v>
      </c>
      <c r="K190" s="1901">
        <f t="shared" si="162"/>
        <v>0</v>
      </c>
      <c r="L190" s="1901">
        <f t="shared" si="162"/>
        <v>0</v>
      </c>
      <c r="M190" s="897">
        <f>SUM(F190:K190)</f>
        <v>41409</v>
      </c>
      <c r="N190" s="897">
        <f>SUM(G190:L190)</f>
        <v>41409</v>
      </c>
      <c r="O190" s="3844"/>
      <c r="P190" s="2031"/>
    </row>
    <row r="191" spans="1:16" s="2032" customFormat="1" ht="13.5" hidden="1" thickBot="1">
      <c r="A191" s="3882"/>
      <c r="B191" s="1902" t="s">
        <v>260</v>
      </c>
      <c r="C191" s="3867"/>
      <c r="D191" s="1903">
        <f>SUM(E191:L191)</f>
        <v>16432</v>
      </c>
      <c r="E191" s="1904">
        <v>0</v>
      </c>
      <c r="F191" s="1905">
        <v>0</v>
      </c>
      <c r="G191" s="1906">
        <v>7931</v>
      </c>
      <c r="H191" s="1906">
        <v>8501</v>
      </c>
      <c r="I191" s="1904">
        <v>0</v>
      </c>
      <c r="J191" s="1904">
        <v>0</v>
      </c>
      <c r="K191" s="1904">
        <v>0</v>
      </c>
      <c r="L191" s="1904">
        <v>0</v>
      </c>
      <c r="M191" s="1907"/>
      <c r="N191" s="1908">
        <f>SUM(G191:L191)</f>
        <v>16432</v>
      </c>
      <c r="O191" s="3844"/>
      <c r="P191" s="2031"/>
    </row>
    <row r="192" spans="1:16" s="2032" customFormat="1" ht="13.5" hidden="1" thickBot="1">
      <c r="A192" s="3882"/>
      <c r="B192" s="1909" t="s">
        <v>275</v>
      </c>
      <c r="C192" s="3867"/>
      <c r="D192" s="1910">
        <f>SUM(E192:L192)</f>
        <v>24977</v>
      </c>
      <c r="E192" s="1911">
        <v>0</v>
      </c>
      <c r="F192" s="1912">
        <v>0</v>
      </c>
      <c r="G192" s="1913">
        <v>12424</v>
      </c>
      <c r="H192" s="1913">
        <v>12553</v>
      </c>
      <c r="I192" s="1911">
        <v>0</v>
      </c>
      <c r="J192" s="1911">
        <v>0</v>
      </c>
      <c r="K192" s="1911">
        <v>0</v>
      </c>
      <c r="L192" s="1911">
        <v>0</v>
      </c>
      <c r="M192" s="1907"/>
      <c r="N192" s="1908">
        <f>SUM(G192:L192)</f>
        <v>24977</v>
      </c>
      <c r="O192" s="3844"/>
      <c r="P192" s="2031"/>
    </row>
    <row r="193" spans="1:16" s="2032" customFormat="1" ht="13.5" thickBot="1">
      <c r="A193" s="3882"/>
      <c r="B193" s="875" t="s">
        <v>13</v>
      </c>
      <c r="C193" s="3868"/>
      <c r="D193" s="1406">
        <f>E193+F193+G193+H193+I193+J193+K193+L193</f>
        <v>82817</v>
      </c>
      <c r="E193" s="1900">
        <v>0</v>
      </c>
      <c r="F193" s="1901">
        <v>0</v>
      </c>
      <c r="G193" s="1419">
        <f>G194+G195</f>
        <v>40710</v>
      </c>
      <c r="H193" s="1419">
        <f t="shared" ref="H193:L193" si="163">H194+H195</f>
        <v>42107</v>
      </c>
      <c r="I193" s="1901">
        <f t="shared" si="163"/>
        <v>0</v>
      </c>
      <c r="J193" s="1901">
        <f t="shared" si="163"/>
        <v>0</v>
      </c>
      <c r="K193" s="1901">
        <f t="shared" si="163"/>
        <v>0</v>
      </c>
      <c r="L193" s="1901">
        <f t="shared" si="163"/>
        <v>0</v>
      </c>
      <c r="M193" s="1914"/>
      <c r="N193" s="897">
        <f t="shared" ref="N193:N195" si="164">SUM(G193:L193)</f>
        <v>82817</v>
      </c>
      <c r="O193" s="3844"/>
      <c r="P193" s="2031"/>
    </row>
    <row r="194" spans="1:16" s="2032" customFormat="1" ht="13.5" hidden="1" thickBot="1">
      <c r="A194" s="3882"/>
      <c r="B194" s="1902" t="s">
        <v>260</v>
      </c>
      <c r="C194" s="3868"/>
      <c r="D194" s="1903">
        <f>SUM(E194:L194)</f>
        <v>32863</v>
      </c>
      <c r="E194" s="1904">
        <v>0</v>
      </c>
      <c r="F194" s="1905">
        <v>0</v>
      </c>
      <c r="G194" s="1906">
        <v>15862</v>
      </c>
      <c r="H194" s="1906">
        <v>17001</v>
      </c>
      <c r="I194" s="1904">
        <v>0</v>
      </c>
      <c r="J194" s="1904">
        <v>0</v>
      </c>
      <c r="K194" s="1904">
        <v>0</v>
      </c>
      <c r="L194" s="1904">
        <v>0</v>
      </c>
      <c r="M194" s="1916"/>
      <c r="N194" s="917">
        <f t="shared" si="164"/>
        <v>32863</v>
      </c>
      <c r="O194" s="3844"/>
      <c r="P194" s="2031"/>
    </row>
    <row r="195" spans="1:16" s="2032" customFormat="1" ht="13.5" hidden="1" thickBot="1">
      <c r="A195" s="3882"/>
      <c r="B195" s="1909" t="s">
        <v>275</v>
      </c>
      <c r="C195" s="3868"/>
      <c r="D195" s="1910">
        <f>SUM(E195:L195)</f>
        <v>49954</v>
      </c>
      <c r="E195" s="1911">
        <v>0</v>
      </c>
      <c r="F195" s="1912">
        <v>0</v>
      </c>
      <c r="G195" s="1913">
        <v>24848</v>
      </c>
      <c r="H195" s="1913">
        <v>25106</v>
      </c>
      <c r="I195" s="1911">
        <v>0</v>
      </c>
      <c r="J195" s="1911">
        <v>0</v>
      </c>
      <c r="K195" s="1911">
        <v>0</v>
      </c>
      <c r="L195" s="1911">
        <v>0</v>
      </c>
      <c r="M195" s="1916"/>
      <c r="N195" s="917">
        <f t="shared" si="164"/>
        <v>49954</v>
      </c>
      <c r="O195" s="3844"/>
      <c r="P195" s="2031"/>
    </row>
    <row r="196" spans="1:16" s="2032" customFormat="1" ht="13.5" thickBot="1">
      <c r="A196" s="3882"/>
      <c r="B196" s="1414" t="s">
        <v>18</v>
      </c>
      <c r="C196" s="3867"/>
      <c r="D196" s="1423">
        <f>+D197</f>
        <v>703949</v>
      </c>
      <c r="E196" s="1832">
        <f t="shared" ref="E196:L196" si="165">+E197</f>
        <v>0</v>
      </c>
      <c r="F196" s="1832">
        <f t="shared" si="165"/>
        <v>0</v>
      </c>
      <c r="G196" s="1423">
        <f t="shared" si="165"/>
        <v>346035</v>
      </c>
      <c r="H196" s="1423">
        <f t="shared" si="165"/>
        <v>357914</v>
      </c>
      <c r="I196" s="1832">
        <f t="shared" si="165"/>
        <v>0</v>
      </c>
      <c r="J196" s="1832">
        <f t="shared" si="165"/>
        <v>0</v>
      </c>
      <c r="K196" s="1832">
        <f t="shared" si="165"/>
        <v>0</v>
      </c>
      <c r="L196" s="1832">
        <f t="shared" si="165"/>
        <v>0</v>
      </c>
      <c r="M196" s="1424">
        <f>+M197</f>
        <v>703949</v>
      </c>
      <c r="N196" s="1424">
        <f>+N197</f>
        <v>703949</v>
      </c>
      <c r="O196" s="3844"/>
      <c r="P196" s="2031"/>
    </row>
    <row r="197" spans="1:16" s="2032" customFormat="1" ht="13.5" thickBot="1">
      <c r="A197" s="3882"/>
      <c r="B197" s="1417" t="s">
        <v>21</v>
      </c>
      <c r="C197" s="3867"/>
      <c r="D197" s="1406">
        <f>E197+F197+G197+H197+I197+J197+K197+L197</f>
        <v>703949</v>
      </c>
      <c r="E197" s="1900">
        <v>0</v>
      </c>
      <c r="F197" s="1917">
        <v>0</v>
      </c>
      <c r="G197" s="1420">
        <f>G198+G199</f>
        <v>346035</v>
      </c>
      <c r="H197" s="1420">
        <f t="shared" ref="H197:L197" si="166">H198+H199</f>
        <v>357914</v>
      </c>
      <c r="I197" s="1917">
        <f t="shared" si="166"/>
        <v>0</v>
      </c>
      <c r="J197" s="1917">
        <f t="shared" si="166"/>
        <v>0</v>
      </c>
      <c r="K197" s="1917">
        <f t="shared" si="166"/>
        <v>0</v>
      </c>
      <c r="L197" s="1917">
        <f t="shared" si="166"/>
        <v>0</v>
      </c>
      <c r="M197" s="917">
        <f>SUM(F197:K197)</f>
        <v>703949</v>
      </c>
      <c r="N197" s="917">
        <f>SUM(G197:L197)</f>
        <v>703949</v>
      </c>
      <c r="O197" s="3844"/>
      <c r="P197" s="2031"/>
    </row>
    <row r="198" spans="1:16" s="2032" customFormat="1" ht="13.5" hidden="1" thickBot="1">
      <c r="A198" s="3882"/>
      <c r="B198" s="1902" t="s">
        <v>260</v>
      </c>
      <c r="C198" s="1918"/>
      <c r="D198" s="1903">
        <f>SUM(E198:L198)</f>
        <v>279340</v>
      </c>
      <c r="E198" s="1904">
        <v>0</v>
      </c>
      <c r="F198" s="1904">
        <v>0</v>
      </c>
      <c r="G198" s="1906">
        <v>134827</v>
      </c>
      <c r="H198" s="1906">
        <v>144513</v>
      </c>
      <c r="I198" s="1904">
        <v>0</v>
      </c>
      <c r="J198" s="1904">
        <v>0</v>
      </c>
      <c r="K198" s="1904">
        <v>0</v>
      </c>
      <c r="L198" s="1904">
        <v>0</v>
      </c>
      <c r="M198" s="1907"/>
      <c r="N198" s="1908">
        <f>SUM(G198:L198)</f>
        <v>279340</v>
      </c>
      <c r="O198" s="3844"/>
      <c r="P198" s="2031"/>
    </row>
    <row r="199" spans="1:16" s="2032" customFormat="1" ht="13.5" hidden="1" thickBot="1">
      <c r="A199" s="3882"/>
      <c r="B199" s="1909" t="s">
        <v>275</v>
      </c>
      <c r="C199" s="1919"/>
      <c r="D199" s="1910">
        <f>SUM(E199:L199)</f>
        <v>424609</v>
      </c>
      <c r="E199" s="1911">
        <v>0</v>
      </c>
      <c r="F199" s="1911">
        <v>0</v>
      </c>
      <c r="G199" s="1913">
        <v>211208</v>
      </c>
      <c r="H199" s="1913">
        <v>213401</v>
      </c>
      <c r="I199" s="1911">
        <v>0</v>
      </c>
      <c r="J199" s="1911">
        <v>0</v>
      </c>
      <c r="K199" s="1911">
        <v>0</v>
      </c>
      <c r="L199" s="1911">
        <v>0</v>
      </c>
      <c r="M199" s="1907"/>
      <c r="N199" s="1908">
        <f>SUM(G199:L199)</f>
        <v>424609</v>
      </c>
      <c r="O199" s="3845"/>
      <c r="P199" s="2031"/>
    </row>
    <row r="200" spans="1:16" s="2032" customFormat="1" ht="13.5" thickBot="1">
      <c r="A200" s="3883"/>
      <c r="B200" s="1410" t="s">
        <v>22</v>
      </c>
      <c r="C200" s="1410"/>
      <c r="D200" s="1426">
        <f>D203+D201</f>
        <v>786766</v>
      </c>
      <c r="E200" s="1920">
        <f t="shared" ref="E200:L200" si="167">E203+E201</f>
        <v>0</v>
      </c>
      <c r="F200" s="1920">
        <f t="shared" si="167"/>
        <v>0</v>
      </c>
      <c r="G200" s="1426">
        <f t="shared" si="167"/>
        <v>386745</v>
      </c>
      <c r="H200" s="1426">
        <f t="shared" si="167"/>
        <v>400021</v>
      </c>
      <c r="I200" s="1920">
        <f t="shared" si="167"/>
        <v>0</v>
      </c>
      <c r="J200" s="1920">
        <f t="shared" si="167"/>
        <v>0</v>
      </c>
      <c r="K200" s="1920">
        <f t="shared" si="167"/>
        <v>0</v>
      </c>
      <c r="L200" s="1920">
        <f t="shared" si="167"/>
        <v>0</v>
      </c>
      <c r="M200" s="3869" t="s">
        <v>61</v>
      </c>
      <c r="N200" s="3678" t="s">
        <v>61</v>
      </c>
      <c r="O200" s="3880" t="s">
        <v>438</v>
      </c>
      <c r="P200" s="2031"/>
    </row>
    <row r="201" spans="1:16" s="2032" customFormat="1" ht="13.5" thickBot="1">
      <c r="A201" s="3883"/>
      <c r="B201" s="1866" t="s">
        <v>24</v>
      </c>
      <c r="C201" s="3884" t="s">
        <v>338</v>
      </c>
      <c r="D201" s="1423">
        <f t="shared" ref="D201:L203" si="168">+D202</f>
        <v>82817</v>
      </c>
      <c r="E201" s="1832">
        <f t="shared" si="168"/>
        <v>0</v>
      </c>
      <c r="F201" s="1832">
        <f t="shared" si="168"/>
        <v>0</v>
      </c>
      <c r="G201" s="1423">
        <f t="shared" si="168"/>
        <v>40710</v>
      </c>
      <c r="H201" s="1423">
        <f t="shared" si="168"/>
        <v>42107</v>
      </c>
      <c r="I201" s="1832">
        <f t="shared" si="168"/>
        <v>0</v>
      </c>
      <c r="J201" s="1832">
        <f t="shared" si="168"/>
        <v>0</v>
      </c>
      <c r="K201" s="1832">
        <f t="shared" si="168"/>
        <v>0</v>
      </c>
      <c r="L201" s="1832">
        <f t="shared" si="168"/>
        <v>0</v>
      </c>
      <c r="M201" s="3849"/>
      <c r="N201" s="3679"/>
      <c r="O201" s="3878"/>
      <c r="P201" s="2031"/>
    </row>
    <row r="202" spans="1:16" s="2032" customFormat="1" ht="13.5" thickBot="1">
      <c r="A202" s="3883"/>
      <c r="B202" s="875" t="s">
        <v>13</v>
      </c>
      <c r="C202" s="3885"/>
      <c r="D202" s="1458">
        <f>E202+F202+G202+H202+I202+J202+K202+L202</f>
        <v>82817</v>
      </c>
      <c r="E202" s="1922">
        <v>0</v>
      </c>
      <c r="F202" s="1922">
        <v>0</v>
      </c>
      <c r="G202" s="1923">
        <v>40710</v>
      </c>
      <c r="H202" s="1923">
        <v>42107</v>
      </c>
      <c r="I202" s="1922">
        <v>0</v>
      </c>
      <c r="J202" s="1922">
        <v>0</v>
      </c>
      <c r="K202" s="1922">
        <v>0</v>
      </c>
      <c r="L202" s="1922">
        <v>0</v>
      </c>
      <c r="M202" s="3849"/>
      <c r="N202" s="3679"/>
      <c r="O202" s="3878"/>
      <c r="P202" s="2031"/>
    </row>
    <row r="203" spans="1:16" s="2032" customFormat="1" ht="13.5" thickBot="1">
      <c r="A203" s="3883"/>
      <c r="B203" s="1414" t="s">
        <v>18</v>
      </c>
      <c r="C203" s="3885"/>
      <c r="D203" s="1850">
        <f t="shared" si="168"/>
        <v>703949</v>
      </c>
      <c r="E203" s="1832">
        <f t="shared" si="168"/>
        <v>0</v>
      </c>
      <c r="F203" s="1832">
        <f t="shared" si="168"/>
        <v>0</v>
      </c>
      <c r="G203" s="1423">
        <f t="shared" si="168"/>
        <v>346035</v>
      </c>
      <c r="H203" s="1423">
        <f t="shared" si="168"/>
        <v>357914</v>
      </c>
      <c r="I203" s="1832">
        <f t="shared" si="168"/>
        <v>0</v>
      </c>
      <c r="J203" s="1832">
        <f t="shared" si="168"/>
        <v>0</v>
      </c>
      <c r="K203" s="1832">
        <f t="shared" si="168"/>
        <v>0</v>
      </c>
      <c r="L203" s="1832">
        <f t="shared" si="168"/>
        <v>0</v>
      </c>
      <c r="M203" s="3869"/>
      <c r="N203" s="3679"/>
      <c r="O203" s="3878"/>
      <c r="P203" s="2031"/>
    </row>
    <row r="204" spans="1:16" s="2032" customFormat="1" ht="13.5" thickBot="1">
      <c r="A204" s="3883"/>
      <c r="B204" s="575" t="s">
        <v>21</v>
      </c>
      <c r="C204" s="3885"/>
      <c r="D204" s="2283">
        <f>E204+F204+G204+H204+I204+J204+K204+L204</f>
        <v>703949</v>
      </c>
      <c r="E204" s="2814">
        <v>0</v>
      </c>
      <c r="F204" s="1787">
        <v>0</v>
      </c>
      <c r="G204" s="1786">
        <v>346035</v>
      </c>
      <c r="H204" s="1786">
        <v>357914</v>
      </c>
      <c r="I204" s="1787">
        <v>0</v>
      </c>
      <c r="J204" s="1787">
        <v>0</v>
      </c>
      <c r="K204" s="1787">
        <v>0</v>
      </c>
      <c r="L204" s="1787">
        <v>0</v>
      </c>
      <c r="M204" s="3870"/>
      <c r="N204" s="3679"/>
      <c r="O204" s="3878"/>
      <c r="P204" s="2031"/>
    </row>
    <row r="205" spans="1:16" s="2032" customFormat="1" ht="24.75" customHeight="1" thickBot="1">
      <c r="A205" s="3859" t="s">
        <v>94</v>
      </c>
      <c r="B205" s="1244" t="s">
        <v>447</v>
      </c>
      <c r="C205" s="1245" t="s">
        <v>109</v>
      </c>
      <c r="D205" s="1159"/>
      <c r="E205" s="3161"/>
      <c r="F205" s="3161"/>
      <c r="G205" s="3161"/>
      <c r="H205" s="3161"/>
      <c r="I205" s="3161"/>
      <c r="J205" s="3161"/>
      <c r="K205" s="3161"/>
      <c r="L205" s="41"/>
      <c r="M205" s="574"/>
      <c r="N205" s="574"/>
      <c r="O205" s="3877" t="s">
        <v>280</v>
      </c>
      <c r="P205" s="2031"/>
    </row>
    <row r="206" spans="1:16" s="2032" customFormat="1" ht="13.5" thickBot="1">
      <c r="A206" s="3860"/>
      <c r="B206" s="1410" t="s">
        <v>10</v>
      </c>
      <c r="C206" s="1246"/>
      <c r="D206" s="1411">
        <f t="shared" ref="D206:N206" si="169">+D207+D211</f>
        <v>10175942</v>
      </c>
      <c r="E206" s="1898">
        <f t="shared" si="169"/>
        <v>0</v>
      </c>
      <c r="F206" s="1898">
        <f t="shared" si="169"/>
        <v>0</v>
      </c>
      <c r="G206" s="1412">
        <f t="shared" si="169"/>
        <v>550000</v>
      </c>
      <c r="H206" s="1412">
        <f t="shared" si="169"/>
        <v>4122312</v>
      </c>
      <c r="I206" s="1412">
        <f t="shared" si="169"/>
        <v>2739330</v>
      </c>
      <c r="J206" s="1412">
        <f t="shared" si="169"/>
        <v>2327050</v>
      </c>
      <c r="K206" s="1412">
        <f t="shared" si="169"/>
        <v>437250</v>
      </c>
      <c r="L206" s="1898">
        <f t="shared" si="169"/>
        <v>0</v>
      </c>
      <c r="M206" s="1413" t="e">
        <f t="shared" si="169"/>
        <v>#REF!</v>
      </c>
      <c r="N206" s="1413">
        <f t="shared" si="169"/>
        <v>10175942</v>
      </c>
      <c r="O206" s="3877"/>
      <c r="P206" s="2031"/>
    </row>
    <row r="207" spans="1:16" s="2032" customFormat="1" ht="13.5" thickBot="1">
      <c r="A207" s="3860"/>
      <c r="B207" s="1414" t="s">
        <v>24</v>
      </c>
      <c r="C207" s="3866" t="s">
        <v>277</v>
      </c>
      <c r="D207" s="1415">
        <f>+D208</f>
        <v>1599658</v>
      </c>
      <c r="E207" s="1899">
        <f t="shared" ref="E207:L207" si="170">+E208</f>
        <v>0</v>
      </c>
      <c r="F207" s="1899">
        <f t="shared" si="170"/>
        <v>0</v>
      </c>
      <c r="G207" s="1415">
        <f t="shared" si="170"/>
        <v>86460</v>
      </c>
      <c r="H207" s="1415">
        <f t="shared" si="170"/>
        <v>648027</v>
      </c>
      <c r="I207" s="1415">
        <f t="shared" si="170"/>
        <v>430623</v>
      </c>
      <c r="J207" s="1415">
        <f t="shared" si="170"/>
        <v>365812</v>
      </c>
      <c r="K207" s="1415">
        <f t="shared" si="170"/>
        <v>68736</v>
      </c>
      <c r="L207" s="1899">
        <f t="shared" si="170"/>
        <v>0</v>
      </c>
      <c r="M207" s="1416" t="e">
        <f>+#REF!</f>
        <v>#REF!</v>
      </c>
      <c r="N207" s="1416">
        <f>+N208</f>
        <v>1599658</v>
      </c>
      <c r="O207" s="3877"/>
      <c r="P207" s="2031"/>
    </row>
    <row r="208" spans="1:16" s="2032" customFormat="1" ht="13.5" thickBot="1">
      <c r="A208" s="3861"/>
      <c r="B208" s="875" t="s">
        <v>13</v>
      </c>
      <c r="C208" s="3868"/>
      <c r="D208" s="1406">
        <f>E208+F208+G208+H208+I208+J208+K208+L208</f>
        <v>1599658</v>
      </c>
      <c r="E208" s="1900">
        <v>0</v>
      </c>
      <c r="F208" s="1901">
        <v>0</v>
      </c>
      <c r="G208" s="1419">
        <f>G209+G210</f>
        <v>86460</v>
      </c>
      <c r="H208" s="1419">
        <f t="shared" ref="H208:L208" si="171">H209+H210</f>
        <v>648027</v>
      </c>
      <c r="I208" s="1419">
        <f t="shared" si="171"/>
        <v>430623</v>
      </c>
      <c r="J208" s="1419">
        <f t="shared" si="171"/>
        <v>365812</v>
      </c>
      <c r="K208" s="1419">
        <f t="shared" si="171"/>
        <v>68736</v>
      </c>
      <c r="L208" s="1901">
        <f t="shared" si="171"/>
        <v>0</v>
      </c>
      <c r="M208" s="1914"/>
      <c r="N208" s="897">
        <f>SUM(G208:L208)</f>
        <v>1599658</v>
      </c>
      <c r="O208" s="3877"/>
      <c r="P208" s="2031">
        <f>D208-D217</f>
        <v>0</v>
      </c>
    </row>
    <row r="209" spans="1:16" s="2032" customFormat="1" ht="13.5" hidden="1" thickBot="1">
      <c r="A209" s="3861"/>
      <c r="B209" s="1902" t="s">
        <v>260</v>
      </c>
      <c r="C209" s="3868"/>
      <c r="D209" s="1903">
        <f>SUM(E209:L209)</f>
        <v>157767</v>
      </c>
      <c r="E209" s="1904">
        <v>0</v>
      </c>
      <c r="F209" s="1905">
        <v>0</v>
      </c>
      <c r="G209" s="1906">
        <v>14831</v>
      </c>
      <c r="H209" s="1906">
        <v>54829</v>
      </c>
      <c r="I209" s="1906">
        <v>41576</v>
      </c>
      <c r="J209" s="1906">
        <v>37625</v>
      </c>
      <c r="K209" s="1906">
        <v>8906</v>
      </c>
      <c r="L209" s="1904">
        <v>0</v>
      </c>
      <c r="M209" s="1916"/>
      <c r="N209" s="917">
        <f t="shared" ref="N209:N210" si="172">SUM(G209:L209)</f>
        <v>157767</v>
      </c>
      <c r="O209" s="3877"/>
      <c r="P209" s="2031"/>
    </row>
    <row r="210" spans="1:16" s="2032" customFormat="1" ht="13.5" hidden="1" thickBot="1">
      <c r="A210" s="3861"/>
      <c r="B210" s="1909" t="s">
        <v>275</v>
      </c>
      <c r="C210" s="3868"/>
      <c r="D210" s="1910">
        <f>SUM(E210:L210)</f>
        <v>1441891</v>
      </c>
      <c r="E210" s="1911">
        <v>0</v>
      </c>
      <c r="F210" s="1912">
        <v>0</v>
      </c>
      <c r="G210" s="1913">
        <v>71629</v>
      </c>
      <c r="H210" s="1913">
        <v>593198</v>
      </c>
      <c r="I210" s="1913">
        <v>389047</v>
      </c>
      <c r="J210" s="1913">
        <v>328187</v>
      </c>
      <c r="K210" s="1913">
        <v>59830</v>
      </c>
      <c r="L210" s="1911">
        <v>0</v>
      </c>
      <c r="M210" s="1916"/>
      <c r="N210" s="917">
        <f t="shared" si="172"/>
        <v>1441891</v>
      </c>
      <c r="O210" s="3877"/>
      <c r="P210" s="2031"/>
    </row>
    <row r="211" spans="1:16" s="2032" customFormat="1" ht="13.5" thickBot="1">
      <c r="A211" s="3860"/>
      <c r="B211" s="1414" t="s">
        <v>18</v>
      </c>
      <c r="C211" s="3867"/>
      <c r="D211" s="1423">
        <f>+D212</f>
        <v>8576284</v>
      </c>
      <c r="E211" s="1832">
        <f t="shared" ref="E211:L211" si="173">+E212</f>
        <v>0</v>
      </c>
      <c r="F211" s="1832">
        <f t="shared" si="173"/>
        <v>0</v>
      </c>
      <c r="G211" s="1423">
        <f t="shared" si="173"/>
        <v>463540</v>
      </c>
      <c r="H211" s="1423">
        <f t="shared" si="173"/>
        <v>3474285</v>
      </c>
      <c r="I211" s="1423">
        <f t="shared" si="173"/>
        <v>2308707</v>
      </c>
      <c r="J211" s="1423">
        <f t="shared" si="173"/>
        <v>1961238</v>
      </c>
      <c r="K211" s="1423">
        <f t="shared" si="173"/>
        <v>368514</v>
      </c>
      <c r="L211" s="1832">
        <f t="shared" si="173"/>
        <v>0</v>
      </c>
      <c r="M211" s="1424">
        <f>+M212</f>
        <v>8576284</v>
      </c>
      <c r="N211" s="1424">
        <f>+N212</f>
        <v>8576284</v>
      </c>
      <c r="O211" s="3877"/>
      <c r="P211" s="2031"/>
    </row>
    <row r="212" spans="1:16" s="2032" customFormat="1" ht="13.5" thickBot="1">
      <c r="A212" s="3860"/>
      <c r="B212" s="1417" t="s">
        <v>21</v>
      </c>
      <c r="C212" s="3867"/>
      <c r="D212" s="1406">
        <f>E212+F212+G212+H212+I212+J212+K212+L212</f>
        <v>8576284</v>
      </c>
      <c r="E212" s="1900">
        <v>0</v>
      </c>
      <c r="F212" s="1917">
        <v>0</v>
      </c>
      <c r="G212" s="1420">
        <f>G213+G214</f>
        <v>463540</v>
      </c>
      <c r="H212" s="1420">
        <f t="shared" ref="H212:L212" si="174">H213+H214</f>
        <v>3474285</v>
      </c>
      <c r="I212" s="1420">
        <f t="shared" si="174"/>
        <v>2308707</v>
      </c>
      <c r="J212" s="1420">
        <f t="shared" si="174"/>
        <v>1961238</v>
      </c>
      <c r="K212" s="1420">
        <f t="shared" si="174"/>
        <v>368514</v>
      </c>
      <c r="L212" s="1917">
        <f t="shared" si="174"/>
        <v>0</v>
      </c>
      <c r="M212" s="917">
        <f>SUM(F212:K212)</f>
        <v>8576284</v>
      </c>
      <c r="N212" s="917">
        <f>SUM(G212:L212)</f>
        <v>8576284</v>
      </c>
      <c r="O212" s="3877"/>
      <c r="P212" s="2031">
        <f>D212-D219</f>
        <v>0</v>
      </c>
    </row>
    <row r="213" spans="1:16" s="2032" customFormat="1" ht="13.5" hidden="1" thickBot="1">
      <c r="A213" s="3860"/>
      <c r="B213" s="1902" t="s">
        <v>260</v>
      </c>
      <c r="C213" s="1918"/>
      <c r="D213" s="1903">
        <f>SUM(E213:L213)</f>
        <v>845836</v>
      </c>
      <c r="E213" s="1904">
        <v>0</v>
      </c>
      <c r="F213" s="1904">
        <v>0</v>
      </c>
      <c r="G213" s="1906">
        <v>79510</v>
      </c>
      <c r="H213" s="1906">
        <v>293952</v>
      </c>
      <c r="I213" s="1906">
        <v>222904</v>
      </c>
      <c r="J213" s="1906">
        <v>201723</v>
      </c>
      <c r="K213" s="1906">
        <v>47747</v>
      </c>
      <c r="L213" s="1904">
        <v>0</v>
      </c>
      <c r="M213" s="1907"/>
      <c r="N213" s="1908">
        <f>SUM(G213:L213)</f>
        <v>845836</v>
      </c>
      <c r="O213" s="3877"/>
      <c r="P213" s="2031"/>
    </row>
    <row r="214" spans="1:16" s="2032" customFormat="1" hidden="1">
      <c r="A214" s="3860"/>
      <c r="B214" s="1909" t="s">
        <v>275</v>
      </c>
      <c r="C214" s="1919"/>
      <c r="D214" s="1910">
        <f>SUM(E214:L214)</f>
        <v>7730448</v>
      </c>
      <c r="E214" s="1911">
        <v>0</v>
      </c>
      <c r="F214" s="1911">
        <v>0</v>
      </c>
      <c r="G214" s="1913">
        <v>384030</v>
      </c>
      <c r="H214" s="1913">
        <v>3180333</v>
      </c>
      <c r="I214" s="1913">
        <v>2085803</v>
      </c>
      <c r="J214" s="1913">
        <v>1759515</v>
      </c>
      <c r="K214" s="1913">
        <v>320767</v>
      </c>
      <c r="L214" s="1911">
        <v>0</v>
      </c>
      <c r="M214" s="1907"/>
      <c r="N214" s="1908">
        <f>SUM(G214:L214)</f>
        <v>7730448</v>
      </c>
      <c r="O214" s="3881"/>
      <c r="P214" s="2031"/>
    </row>
    <row r="215" spans="1:16" s="2032" customFormat="1">
      <c r="A215" s="3862"/>
      <c r="B215" s="1410" t="s">
        <v>22</v>
      </c>
      <c r="C215" s="1410"/>
      <c r="D215" s="1426">
        <f>D218+D216</f>
        <v>10175942</v>
      </c>
      <c r="E215" s="1920">
        <f t="shared" ref="E215:L215" si="175">E218+E216</f>
        <v>0</v>
      </c>
      <c r="F215" s="1920">
        <f t="shared" si="175"/>
        <v>0</v>
      </c>
      <c r="G215" s="1426">
        <f t="shared" si="175"/>
        <v>550000</v>
      </c>
      <c r="H215" s="1426">
        <f t="shared" si="175"/>
        <v>4122312</v>
      </c>
      <c r="I215" s="1426">
        <f t="shared" si="175"/>
        <v>2739330</v>
      </c>
      <c r="J215" s="1426">
        <f t="shared" si="175"/>
        <v>2327050</v>
      </c>
      <c r="K215" s="1426">
        <f t="shared" si="175"/>
        <v>437250</v>
      </c>
      <c r="L215" s="1920">
        <f t="shared" si="175"/>
        <v>0</v>
      </c>
      <c r="M215" s="3869" t="s">
        <v>61</v>
      </c>
      <c r="N215" s="3869" t="s">
        <v>61</v>
      </c>
      <c r="O215" s="3871" t="s">
        <v>275</v>
      </c>
      <c r="P215" s="2031"/>
    </row>
    <row r="216" spans="1:16" s="2032" customFormat="1">
      <c r="A216" s="3863"/>
      <c r="B216" s="1866" t="s">
        <v>24</v>
      </c>
      <c r="C216" s="3874" t="s">
        <v>440</v>
      </c>
      <c r="D216" s="1423">
        <f t="shared" ref="D216:L218" si="176">+D217</f>
        <v>1599658</v>
      </c>
      <c r="E216" s="1832">
        <f t="shared" si="176"/>
        <v>0</v>
      </c>
      <c r="F216" s="1832">
        <f t="shared" si="176"/>
        <v>0</v>
      </c>
      <c r="G216" s="1423">
        <f t="shared" si="176"/>
        <v>86460</v>
      </c>
      <c r="H216" s="1423">
        <f t="shared" si="176"/>
        <v>648027</v>
      </c>
      <c r="I216" s="1423">
        <f t="shared" si="176"/>
        <v>430623</v>
      </c>
      <c r="J216" s="1423">
        <f t="shared" si="176"/>
        <v>365812</v>
      </c>
      <c r="K216" s="1423">
        <f t="shared" si="176"/>
        <v>68736</v>
      </c>
      <c r="L216" s="1832">
        <f t="shared" si="176"/>
        <v>0</v>
      </c>
      <c r="M216" s="3849"/>
      <c r="N216" s="3849"/>
      <c r="O216" s="3872"/>
      <c r="P216" s="2031"/>
    </row>
    <row r="217" spans="1:16" s="2032" customFormat="1">
      <c r="A217" s="3863"/>
      <c r="B217" s="875" t="s">
        <v>13</v>
      </c>
      <c r="C217" s="3875"/>
      <c r="D217" s="1458">
        <f>E217+F217+G217+H217+I217+J217+K217+L217</f>
        <v>1599658</v>
      </c>
      <c r="E217" s="1922">
        <v>0</v>
      </c>
      <c r="F217" s="1922">
        <v>0</v>
      </c>
      <c r="G217" s="1923">
        <v>86460</v>
      </c>
      <c r="H217" s="1923">
        <v>648027</v>
      </c>
      <c r="I217" s="1923">
        <v>430623</v>
      </c>
      <c r="J217" s="1923">
        <v>365812</v>
      </c>
      <c r="K217" s="1923">
        <v>68736</v>
      </c>
      <c r="L217" s="1922">
        <v>0</v>
      </c>
      <c r="M217" s="3849"/>
      <c r="N217" s="3849"/>
      <c r="O217" s="3872"/>
      <c r="P217" s="2031"/>
    </row>
    <row r="218" spans="1:16" s="2032" customFormat="1">
      <c r="A218" s="3862"/>
      <c r="B218" s="1414" t="s">
        <v>18</v>
      </c>
      <c r="C218" s="3875"/>
      <c r="D218" s="1850">
        <f t="shared" si="176"/>
        <v>8576284</v>
      </c>
      <c r="E218" s="1832">
        <f t="shared" si="176"/>
        <v>0</v>
      </c>
      <c r="F218" s="1832">
        <f t="shared" si="176"/>
        <v>0</v>
      </c>
      <c r="G218" s="1423">
        <f t="shared" si="176"/>
        <v>463540</v>
      </c>
      <c r="H218" s="1423">
        <f t="shared" si="176"/>
        <v>3474285</v>
      </c>
      <c r="I218" s="1423">
        <f t="shared" si="176"/>
        <v>2308707</v>
      </c>
      <c r="J218" s="1423">
        <f t="shared" si="176"/>
        <v>1961238</v>
      </c>
      <c r="K218" s="1423">
        <f t="shared" si="176"/>
        <v>368514</v>
      </c>
      <c r="L218" s="1832">
        <f t="shared" si="176"/>
        <v>0</v>
      </c>
      <c r="M218" s="3869"/>
      <c r="N218" s="3869"/>
      <c r="O218" s="3872"/>
      <c r="P218" s="2031"/>
    </row>
    <row r="219" spans="1:16" s="2032" customFormat="1" ht="13.5" thickBot="1">
      <c r="A219" s="3864"/>
      <c r="B219" s="575" t="s">
        <v>21</v>
      </c>
      <c r="C219" s="3876"/>
      <c r="D219" s="833">
        <f>E219+F219+G219+H219+I219+J219+K219+L219</f>
        <v>8576284</v>
      </c>
      <c r="E219" s="596">
        <v>0</v>
      </c>
      <c r="F219" s="871">
        <v>0</v>
      </c>
      <c r="G219" s="448">
        <v>463540</v>
      </c>
      <c r="H219" s="448">
        <v>3474285</v>
      </c>
      <c r="I219" s="448">
        <v>2308707</v>
      </c>
      <c r="J219" s="448">
        <v>1961238</v>
      </c>
      <c r="K219" s="448">
        <v>368514</v>
      </c>
      <c r="L219" s="871">
        <v>0</v>
      </c>
      <c r="M219" s="3870"/>
      <c r="N219" s="3870"/>
      <c r="O219" s="3873"/>
      <c r="P219" s="2031"/>
    </row>
    <row r="220" spans="1:16" s="2032" customFormat="1" ht="15.75" customHeight="1">
      <c r="A220" s="3859" t="s">
        <v>95</v>
      </c>
      <c r="B220" s="1244" t="s">
        <v>448</v>
      </c>
      <c r="C220" s="1245" t="s">
        <v>109</v>
      </c>
      <c r="D220" s="1159"/>
      <c r="E220" s="3161"/>
      <c r="F220" s="3161"/>
      <c r="G220" s="3161"/>
      <c r="H220" s="3161"/>
      <c r="I220" s="3161"/>
      <c r="J220" s="3161"/>
      <c r="K220" s="3161"/>
      <c r="L220" s="41"/>
      <c r="M220" s="574"/>
      <c r="N220" s="574"/>
      <c r="O220" s="3865" t="s">
        <v>280</v>
      </c>
      <c r="P220" s="2031"/>
    </row>
    <row r="221" spans="1:16" s="2032" customFormat="1">
      <c r="A221" s="3860"/>
      <c r="B221" s="1410" t="s">
        <v>10</v>
      </c>
      <c r="C221" s="1246"/>
      <c r="D221" s="1411">
        <f>+D222+D229</f>
        <v>3546922</v>
      </c>
      <c r="E221" s="1898">
        <f t="shared" ref="E221:N221" si="177">+E222+E229</f>
        <v>0</v>
      </c>
      <c r="F221" s="1898">
        <f t="shared" si="177"/>
        <v>0</v>
      </c>
      <c r="G221" s="1412">
        <f t="shared" si="177"/>
        <v>1133912</v>
      </c>
      <c r="H221" s="1412">
        <f t="shared" si="177"/>
        <v>1207224</v>
      </c>
      <c r="I221" s="1412">
        <f t="shared" si="177"/>
        <v>1205786</v>
      </c>
      <c r="J221" s="1898">
        <f t="shared" si="177"/>
        <v>0</v>
      </c>
      <c r="K221" s="1898">
        <f t="shared" si="177"/>
        <v>0</v>
      </c>
      <c r="L221" s="1898">
        <f t="shared" si="177"/>
        <v>0</v>
      </c>
      <c r="M221" s="1413">
        <f t="shared" si="177"/>
        <v>3192230</v>
      </c>
      <c r="N221" s="1413">
        <f t="shared" si="177"/>
        <v>3546922</v>
      </c>
      <c r="O221" s="3844"/>
      <c r="P221" s="2031"/>
    </row>
    <row r="222" spans="1:16" s="2032" customFormat="1" ht="12.75" customHeight="1">
      <c r="A222" s="3860"/>
      <c r="B222" s="1414" t="s">
        <v>24</v>
      </c>
      <c r="C222" s="3866" t="s">
        <v>439</v>
      </c>
      <c r="D222" s="1415">
        <f>+D223+D226</f>
        <v>532038</v>
      </c>
      <c r="E222" s="1899">
        <f t="shared" ref="E222:L222" si="178">+E223+E226</f>
        <v>0</v>
      </c>
      <c r="F222" s="1899">
        <f t="shared" si="178"/>
        <v>0</v>
      </c>
      <c r="G222" s="1415">
        <f t="shared" si="178"/>
        <v>170087</v>
      </c>
      <c r="H222" s="1415">
        <f t="shared" si="178"/>
        <v>181083</v>
      </c>
      <c r="I222" s="1415">
        <f t="shared" si="178"/>
        <v>180868</v>
      </c>
      <c r="J222" s="1899">
        <f t="shared" si="178"/>
        <v>0</v>
      </c>
      <c r="K222" s="1899">
        <f t="shared" si="178"/>
        <v>0</v>
      </c>
      <c r="L222" s="1899">
        <f t="shared" si="178"/>
        <v>0</v>
      </c>
      <c r="M222" s="1416">
        <f t="shared" ref="M222" si="179">+M223</f>
        <v>177346</v>
      </c>
      <c r="N222" s="1416">
        <f>+N223+N226</f>
        <v>532038</v>
      </c>
      <c r="O222" s="3844"/>
      <c r="P222" s="2031"/>
    </row>
    <row r="223" spans="1:16" s="2032" customFormat="1">
      <c r="A223" s="3860"/>
      <c r="B223" s="1417" t="s">
        <v>12</v>
      </c>
      <c r="C223" s="3867"/>
      <c r="D223" s="1406">
        <f>E223+F223+G223+H223+I223+J223+K223+L223</f>
        <v>177346</v>
      </c>
      <c r="E223" s="1900">
        <v>0</v>
      </c>
      <c r="F223" s="1901">
        <v>0</v>
      </c>
      <c r="G223" s="1419">
        <f>G224+G225</f>
        <v>56696</v>
      </c>
      <c r="H223" s="1419">
        <f t="shared" ref="H223:L223" si="180">H224+H225</f>
        <v>60361</v>
      </c>
      <c r="I223" s="1419">
        <f t="shared" si="180"/>
        <v>60289</v>
      </c>
      <c r="J223" s="1901">
        <f t="shared" si="180"/>
        <v>0</v>
      </c>
      <c r="K223" s="1901">
        <f t="shared" si="180"/>
        <v>0</v>
      </c>
      <c r="L223" s="1901">
        <f t="shared" si="180"/>
        <v>0</v>
      </c>
      <c r="M223" s="897">
        <f>SUM(F223:K223)</f>
        <v>177346</v>
      </c>
      <c r="N223" s="897">
        <f>SUM(G223:L223)</f>
        <v>177346</v>
      </c>
      <c r="O223" s="3844"/>
      <c r="P223" s="2031"/>
    </row>
    <row r="224" spans="1:16" s="2032" customFormat="1" hidden="1">
      <c r="A224" s="3860"/>
      <c r="B224" s="1902" t="s">
        <v>260</v>
      </c>
      <c r="C224" s="3867"/>
      <c r="D224" s="1903">
        <f>SUM(E224:L224)</f>
        <v>61066</v>
      </c>
      <c r="E224" s="1904">
        <v>0</v>
      </c>
      <c r="F224" s="1905">
        <v>0</v>
      </c>
      <c r="G224" s="1906">
        <v>19284</v>
      </c>
      <c r="H224" s="1906">
        <v>20891</v>
      </c>
      <c r="I224" s="1906">
        <v>20891</v>
      </c>
      <c r="J224" s="1904">
        <v>0</v>
      </c>
      <c r="K224" s="1904">
        <v>0</v>
      </c>
      <c r="L224" s="1904">
        <v>0</v>
      </c>
      <c r="M224" s="1907"/>
      <c r="N224" s="1908">
        <f>SUM(G224:L224)</f>
        <v>61066</v>
      </c>
      <c r="O224" s="3844"/>
      <c r="P224" s="2031"/>
    </row>
    <row r="225" spans="1:16" s="2032" customFormat="1" hidden="1">
      <c r="A225" s="3860"/>
      <c r="B225" s="1909" t="s">
        <v>275</v>
      </c>
      <c r="C225" s="3867"/>
      <c r="D225" s="1910">
        <f>SUM(E225:L225)</f>
        <v>116280</v>
      </c>
      <c r="E225" s="1911">
        <v>0</v>
      </c>
      <c r="F225" s="1912">
        <v>0</v>
      </c>
      <c r="G225" s="1913">
        <v>37412</v>
      </c>
      <c r="H225" s="1913">
        <v>39470</v>
      </c>
      <c r="I225" s="1913">
        <v>39398</v>
      </c>
      <c r="J225" s="1911">
        <v>0</v>
      </c>
      <c r="K225" s="1911">
        <v>0</v>
      </c>
      <c r="L225" s="1911">
        <v>0</v>
      </c>
      <c r="M225" s="1907"/>
      <c r="N225" s="1908">
        <f>SUM(G225:L225)</f>
        <v>116280</v>
      </c>
      <c r="O225" s="3844"/>
      <c r="P225" s="2031"/>
    </row>
    <row r="226" spans="1:16" s="2032" customFormat="1">
      <c r="A226" s="3861"/>
      <c r="B226" s="875" t="s">
        <v>13</v>
      </c>
      <c r="C226" s="3868"/>
      <c r="D226" s="1406">
        <f>E226+F226+G226+H226+I226+J226+K226+L226</f>
        <v>354692</v>
      </c>
      <c r="E226" s="1900">
        <v>0</v>
      </c>
      <c r="F226" s="1901">
        <v>0</v>
      </c>
      <c r="G226" s="1419">
        <f>G227+G228</f>
        <v>113391</v>
      </c>
      <c r="H226" s="1419">
        <f t="shared" ref="H226:L226" si="181">H227+H228</f>
        <v>120722</v>
      </c>
      <c r="I226" s="1419">
        <f t="shared" si="181"/>
        <v>120579</v>
      </c>
      <c r="J226" s="1901">
        <f t="shared" si="181"/>
        <v>0</v>
      </c>
      <c r="K226" s="1901">
        <f t="shared" si="181"/>
        <v>0</v>
      </c>
      <c r="L226" s="1901">
        <f t="shared" si="181"/>
        <v>0</v>
      </c>
      <c r="M226" s="1914"/>
      <c r="N226" s="897">
        <f t="shared" ref="N226:N228" si="182">SUM(G226:L226)</f>
        <v>354692</v>
      </c>
      <c r="O226" s="3844"/>
      <c r="P226" s="2031">
        <f>D226-D235</f>
        <v>0</v>
      </c>
    </row>
    <row r="227" spans="1:16" s="2032" customFormat="1" hidden="1">
      <c r="A227" s="3861"/>
      <c r="B227" s="1902" t="s">
        <v>260</v>
      </c>
      <c r="C227" s="3868"/>
      <c r="D227" s="1903">
        <f>SUM(E227:L227)</f>
        <v>122132</v>
      </c>
      <c r="E227" s="1904">
        <v>0</v>
      </c>
      <c r="F227" s="1905">
        <v>0</v>
      </c>
      <c r="G227" s="1906">
        <v>38568</v>
      </c>
      <c r="H227" s="1906">
        <v>41782</v>
      </c>
      <c r="I227" s="1906">
        <v>41782</v>
      </c>
      <c r="J227" s="1904">
        <v>0</v>
      </c>
      <c r="K227" s="1904">
        <v>0</v>
      </c>
      <c r="L227" s="1904">
        <v>0</v>
      </c>
      <c r="M227" s="1916"/>
      <c r="N227" s="917">
        <f t="shared" si="182"/>
        <v>122132</v>
      </c>
      <c r="O227" s="3844"/>
      <c r="P227" s="2031"/>
    </row>
    <row r="228" spans="1:16" s="2032" customFormat="1" hidden="1">
      <c r="A228" s="3861"/>
      <c r="B228" s="1909" t="s">
        <v>275</v>
      </c>
      <c r="C228" s="3868"/>
      <c r="D228" s="1910">
        <f>SUM(E228:L228)</f>
        <v>232560</v>
      </c>
      <c r="E228" s="1911">
        <v>0</v>
      </c>
      <c r="F228" s="1912">
        <v>0</v>
      </c>
      <c r="G228" s="1913">
        <v>74823</v>
      </c>
      <c r="H228" s="1913">
        <v>78940</v>
      </c>
      <c r="I228" s="1913">
        <v>78797</v>
      </c>
      <c r="J228" s="1911">
        <v>0</v>
      </c>
      <c r="K228" s="1911">
        <v>0</v>
      </c>
      <c r="L228" s="1911">
        <v>0</v>
      </c>
      <c r="M228" s="1916"/>
      <c r="N228" s="917">
        <f t="shared" si="182"/>
        <v>232560</v>
      </c>
      <c r="O228" s="3844"/>
      <c r="P228" s="2031"/>
    </row>
    <row r="229" spans="1:16" s="2032" customFormat="1">
      <c r="A229" s="3860"/>
      <c r="B229" s="1414" t="s">
        <v>18</v>
      </c>
      <c r="C229" s="3867"/>
      <c r="D229" s="1423">
        <f>+D230</f>
        <v>3014884</v>
      </c>
      <c r="E229" s="1832">
        <f t="shared" ref="E229:L229" si="183">+E230</f>
        <v>0</v>
      </c>
      <c r="F229" s="1832">
        <f t="shared" si="183"/>
        <v>0</v>
      </c>
      <c r="G229" s="1423">
        <f t="shared" si="183"/>
        <v>963825</v>
      </c>
      <c r="H229" s="1423">
        <f t="shared" si="183"/>
        <v>1026141</v>
      </c>
      <c r="I229" s="1423">
        <f t="shared" si="183"/>
        <v>1024918</v>
      </c>
      <c r="J229" s="1832">
        <f t="shared" si="183"/>
        <v>0</v>
      </c>
      <c r="K229" s="1832">
        <f t="shared" si="183"/>
        <v>0</v>
      </c>
      <c r="L229" s="1832">
        <f t="shared" si="183"/>
        <v>0</v>
      </c>
      <c r="M229" s="1424">
        <f>+M230</f>
        <v>3014884</v>
      </c>
      <c r="N229" s="1424">
        <f>+N230</f>
        <v>3014884</v>
      </c>
      <c r="O229" s="3844"/>
      <c r="P229" s="2031">
        <f>D229-D236</f>
        <v>0</v>
      </c>
    </row>
    <row r="230" spans="1:16" s="2032" customFormat="1">
      <c r="A230" s="3860"/>
      <c r="B230" s="1417" t="s">
        <v>21</v>
      </c>
      <c r="C230" s="3867"/>
      <c r="D230" s="1406">
        <f>E230+F230+G230+H230+I230+J230+K230+L230</f>
        <v>3014884</v>
      </c>
      <c r="E230" s="1900">
        <v>0</v>
      </c>
      <c r="F230" s="1917">
        <v>0</v>
      </c>
      <c r="G230" s="1420">
        <f>G231+G232</f>
        <v>963825</v>
      </c>
      <c r="H230" s="1420">
        <f t="shared" ref="H230:L230" si="184">H231+H232</f>
        <v>1026141</v>
      </c>
      <c r="I230" s="1420">
        <f t="shared" si="184"/>
        <v>1024918</v>
      </c>
      <c r="J230" s="1917">
        <f t="shared" si="184"/>
        <v>0</v>
      </c>
      <c r="K230" s="1917">
        <f t="shared" si="184"/>
        <v>0</v>
      </c>
      <c r="L230" s="1917">
        <f t="shared" si="184"/>
        <v>0</v>
      </c>
      <c r="M230" s="917">
        <f>SUM(F230:K230)</f>
        <v>3014884</v>
      </c>
      <c r="N230" s="917">
        <f>SUM(G230:L230)</f>
        <v>3014884</v>
      </c>
      <c r="O230" s="3844"/>
      <c r="P230" s="2031"/>
    </row>
    <row r="231" spans="1:16" s="2032" customFormat="1" ht="12.75" hidden="1" customHeight="1">
      <c r="A231" s="3860"/>
      <c r="B231" s="1902" t="s">
        <v>260</v>
      </c>
      <c r="C231" s="1918"/>
      <c r="D231" s="1903">
        <f>SUM(E231:L231)</f>
        <v>1038122</v>
      </c>
      <c r="E231" s="1904">
        <v>0</v>
      </c>
      <c r="F231" s="1904">
        <v>0</v>
      </c>
      <c r="G231" s="1906">
        <v>327828</v>
      </c>
      <c r="H231" s="1906">
        <v>355147</v>
      </c>
      <c r="I231" s="1906">
        <v>355147</v>
      </c>
      <c r="J231" s="1904">
        <v>0</v>
      </c>
      <c r="K231" s="1904">
        <v>0</v>
      </c>
      <c r="L231" s="1904">
        <v>0</v>
      </c>
      <c r="M231" s="1907"/>
      <c r="N231" s="1908">
        <f>SUM(G231:L231)</f>
        <v>1038122</v>
      </c>
      <c r="O231" s="3844"/>
      <c r="P231" s="2031"/>
    </row>
    <row r="232" spans="1:16" s="2032" customFormat="1" hidden="1">
      <c r="A232" s="3860"/>
      <c r="B232" s="1909" t="s">
        <v>275</v>
      </c>
      <c r="C232" s="1919"/>
      <c r="D232" s="1910">
        <f>SUM(E232:L232)</f>
        <v>1976762</v>
      </c>
      <c r="E232" s="1911">
        <v>0</v>
      </c>
      <c r="F232" s="1911">
        <v>0</v>
      </c>
      <c r="G232" s="1913">
        <v>635997</v>
      </c>
      <c r="H232" s="1913">
        <v>670994</v>
      </c>
      <c r="I232" s="1913">
        <v>669771</v>
      </c>
      <c r="J232" s="1911">
        <v>0</v>
      </c>
      <c r="K232" s="1911">
        <v>0</v>
      </c>
      <c r="L232" s="1911">
        <v>0</v>
      </c>
      <c r="M232" s="1907"/>
      <c r="N232" s="1908">
        <f>SUM(G232:L232)</f>
        <v>1976762</v>
      </c>
      <c r="O232" s="3845"/>
      <c r="P232" s="2031"/>
    </row>
    <row r="233" spans="1:16" s="2032" customFormat="1">
      <c r="A233" s="3862"/>
      <c r="B233" s="1410" t="s">
        <v>22</v>
      </c>
      <c r="C233" s="1410"/>
      <c r="D233" s="1426">
        <f>D236+D234</f>
        <v>3369576</v>
      </c>
      <c r="E233" s="1920">
        <f t="shared" ref="E233:L233" si="185">E236+E234</f>
        <v>0</v>
      </c>
      <c r="F233" s="1920">
        <f t="shared" si="185"/>
        <v>0</v>
      </c>
      <c r="G233" s="1426">
        <f t="shared" si="185"/>
        <v>1077216</v>
      </c>
      <c r="H233" s="1426">
        <f t="shared" si="185"/>
        <v>1146863</v>
      </c>
      <c r="I233" s="1426">
        <f t="shared" si="185"/>
        <v>1145497</v>
      </c>
      <c r="J233" s="1920">
        <f t="shared" si="185"/>
        <v>0</v>
      </c>
      <c r="K233" s="1920">
        <f t="shared" si="185"/>
        <v>0</v>
      </c>
      <c r="L233" s="1920">
        <f t="shared" si="185"/>
        <v>0</v>
      </c>
      <c r="M233" s="3869" t="s">
        <v>61</v>
      </c>
      <c r="N233" s="3869" t="s">
        <v>61</v>
      </c>
      <c r="O233" s="3871" t="s">
        <v>438</v>
      </c>
      <c r="P233" s="2031"/>
    </row>
    <row r="234" spans="1:16" s="2032" customFormat="1">
      <c r="A234" s="3863"/>
      <c r="B234" s="1866" t="s">
        <v>24</v>
      </c>
      <c r="C234" s="3874" t="s">
        <v>338</v>
      </c>
      <c r="D234" s="1423">
        <f t="shared" ref="D234:L236" si="186">+D235</f>
        <v>354692</v>
      </c>
      <c r="E234" s="1832">
        <f t="shared" si="186"/>
        <v>0</v>
      </c>
      <c r="F234" s="1832">
        <f t="shared" si="186"/>
        <v>0</v>
      </c>
      <c r="G234" s="1423">
        <f t="shared" si="186"/>
        <v>113391</v>
      </c>
      <c r="H234" s="1423">
        <f t="shared" si="186"/>
        <v>120722</v>
      </c>
      <c r="I234" s="1423">
        <f t="shared" si="186"/>
        <v>120579</v>
      </c>
      <c r="J234" s="1832">
        <f t="shared" si="186"/>
        <v>0</v>
      </c>
      <c r="K234" s="1832">
        <f t="shared" si="186"/>
        <v>0</v>
      </c>
      <c r="L234" s="1832">
        <f t="shared" si="186"/>
        <v>0</v>
      </c>
      <c r="M234" s="3849"/>
      <c r="N234" s="3849"/>
      <c r="O234" s="3872"/>
      <c r="P234" s="2031"/>
    </row>
    <row r="235" spans="1:16" s="2032" customFormat="1">
      <c r="A235" s="3863"/>
      <c r="B235" s="875" t="s">
        <v>13</v>
      </c>
      <c r="C235" s="3875"/>
      <c r="D235" s="1458">
        <f>E235+F235+G235+H235+I235+J235+K235+L235</f>
        <v>354692</v>
      </c>
      <c r="E235" s="1922">
        <v>0</v>
      </c>
      <c r="F235" s="1922">
        <v>0</v>
      </c>
      <c r="G235" s="1923">
        <v>113391</v>
      </c>
      <c r="H235" s="1923">
        <v>120722</v>
      </c>
      <c r="I235" s="1923">
        <v>120579</v>
      </c>
      <c r="J235" s="1922">
        <v>0</v>
      </c>
      <c r="K235" s="1922">
        <v>0</v>
      </c>
      <c r="L235" s="1922">
        <v>0</v>
      </c>
      <c r="M235" s="3849"/>
      <c r="N235" s="3849"/>
      <c r="O235" s="3872"/>
      <c r="P235" s="2031"/>
    </row>
    <row r="236" spans="1:16" s="2032" customFormat="1">
      <c r="A236" s="3862"/>
      <c r="B236" s="1414" t="s">
        <v>18</v>
      </c>
      <c r="C236" s="3875"/>
      <c r="D236" s="1850">
        <f t="shared" si="186"/>
        <v>3014884</v>
      </c>
      <c r="E236" s="1832">
        <f t="shared" si="186"/>
        <v>0</v>
      </c>
      <c r="F236" s="1832">
        <f t="shared" si="186"/>
        <v>0</v>
      </c>
      <c r="G236" s="1423">
        <f t="shared" si="186"/>
        <v>963825</v>
      </c>
      <c r="H236" s="1423">
        <f t="shared" si="186"/>
        <v>1026141</v>
      </c>
      <c r="I236" s="1423">
        <f t="shared" si="186"/>
        <v>1024918</v>
      </c>
      <c r="J236" s="1832">
        <f t="shared" si="186"/>
        <v>0</v>
      </c>
      <c r="K236" s="1832">
        <f t="shared" si="186"/>
        <v>0</v>
      </c>
      <c r="L236" s="1832">
        <f t="shared" si="186"/>
        <v>0</v>
      </c>
      <c r="M236" s="3869"/>
      <c r="N236" s="3869"/>
      <c r="O236" s="3872"/>
      <c r="P236" s="2031"/>
    </row>
    <row r="237" spans="1:16" s="2032" customFormat="1" ht="13.5" thickBot="1">
      <c r="A237" s="3864"/>
      <c r="B237" s="575" t="s">
        <v>21</v>
      </c>
      <c r="C237" s="3876"/>
      <c r="D237" s="833">
        <f>E237+F237+G237+H237+I237+J237+K237+L237</f>
        <v>3014884</v>
      </c>
      <c r="E237" s="596">
        <v>0</v>
      </c>
      <c r="F237" s="871">
        <v>0</v>
      </c>
      <c r="G237" s="448">
        <v>963825</v>
      </c>
      <c r="H237" s="448">
        <v>1026141</v>
      </c>
      <c r="I237" s="448">
        <v>1024918</v>
      </c>
      <c r="J237" s="871">
        <v>0</v>
      </c>
      <c r="K237" s="871">
        <v>0</v>
      </c>
      <c r="L237" s="871">
        <v>0</v>
      </c>
      <c r="M237" s="3870"/>
      <c r="N237" s="3870"/>
      <c r="O237" s="3873"/>
      <c r="P237" s="2031"/>
    </row>
    <row r="238" spans="1:16" s="2032" customFormat="1" ht="27" customHeight="1">
      <c r="A238" s="3859" t="s">
        <v>96</v>
      </c>
      <c r="B238" s="1244" t="s">
        <v>479</v>
      </c>
      <c r="C238" s="1245" t="s">
        <v>109</v>
      </c>
      <c r="D238" s="1159"/>
      <c r="E238" s="3161"/>
      <c r="F238" s="3161"/>
      <c r="G238" s="3161"/>
      <c r="H238" s="3161"/>
      <c r="I238" s="3161"/>
      <c r="J238" s="3161"/>
      <c r="K238" s="3161"/>
      <c r="L238" s="41"/>
      <c r="M238" s="574"/>
      <c r="N238" s="574"/>
      <c r="O238" s="3865" t="s">
        <v>280</v>
      </c>
      <c r="P238" s="2031"/>
    </row>
    <row r="239" spans="1:16" s="2032" customFormat="1">
      <c r="A239" s="3860"/>
      <c r="B239" s="1410" t="s">
        <v>10</v>
      </c>
      <c r="C239" s="1246"/>
      <c r="D239" s="1411">
        <f t="shared" ref="D239:N239" si="187">+D240+D244</f>
        <v>2823073</v>
      </c>
      <c r="E239" s="1898">
        <f t="shared" si="187"/>
        <v>0</v>
      </c>
      <c r="F239" s="1898">
        <f t="shared" si="187"/>
        <v>0</v>
      </c>
      <c r="G239" s="1412">
        <f t="shared" si="187"/>
        <v>981527</v>
      </c>
      <c r="H239" s="1412">
        <f t="shared" si="187"/>
        <v>1052185</v>
      </c>
      <c r="I239" s="1412">
        <f t="shared" si="187"/>
        <v>789361</v>
      </c>
      <c r="J239" s="1412">
        <f t="shared" si="187"/>
        <v>0</v>
      </c>
      <c r="K239" s="1412">
        <f t="shared" si="187"/>
        <v>0</v>
      </c>
      <c r="L239" s="1898">
        <f t="shared" si="187"/>
        <v>0</v>
      </c>
      <c r="M239" s="1413" t="e">
        <f t="shared" si="187"/>
        <v>#REF!</v>
      </c>
      <c r="N239" s="1413">
        <f t="shared" si="187"/>
        <v>2823073</v>
      </c>
      <c r="O239" s="3844"/>
      <c r="P239" s="2031">
        <f>D239+D254</f>
        <v>3392273</v>
      </c>
    </row>
    <row r="240" spans="1:16" s="2032" customFormat="1">
      <c r="A240" s="3860"/>
      <c r="B240" s="1414" t="s">
        <v>24</v>
      </c>
      <c r="C240" s="3866" t="s">
        <v>439</v>
      </c>
      <c r="D240" s="1415">
        <f>+D241</f>
        <v>80369</v>
      </c>
      <c r="E240" s="1899">
        <f t="shared" ref="E240:L240" si="188">+E241</f>
        <v>0</v>
      </c>
      <c r="F240" s="1899">
        <f t="shared" si="188"/>
        <v>0</v>
      </c>
      <c r="G240" s="1415">
        <f t="shared" si="188"/>
        <v>27974</v>
      </c>
      <c r="H240" s="1415">
        <f t="shared" si="188"/>
        <v>29987</v>
      </c>
      <c r="I240" s="1415">
        <f t="shared" si="188"/>
        <v>22408</v>
      </c>
      <c r="J240" s="1415">
        <f t="shared" si="188"/>
        <v>0</v>
      </c>
      <c r="K240" s="1415">
        <f t="shared" si="188"/>
        <v>0</v>
      </c>
      <c r="L240" s="1415">
        <f t="shared" si="188"/>
        <v>0</v>
      </c>
      <c r="M240" s="1416" t="e">
        <f>+#REF!</f>
        <v>#REF!</v>
      </c>
      <c r="N240" s="1416">
        <f>+N241</f>
        <v>80369</v>
      </c>
      <c r="O240" s="3844"/>
      <c r="P240" s="2031"/>
    </row>
    <row r="241" spans="1:16" s="2032" customFormat="1">
      <c r="A241" s="3861"/>
      <c r="B241" s="875" t="s">
        <v>13</v>
      </c>
      <c r="C241" s="3868"/>
      <c r="D241" s="1406">
        <f>E241+F241+G241+H241+I241+J241+K241+L241</f>
        <v>80369</v>
      </c>
      <c r="E241" s="1900">
        <v>0</v>
      </c>
      <c r="F241" s="1901">
        <v>0</v>
      </c>
      <c r="G241" s="1419">
        <f>G242+G243</f>
        <v>27974</v>
      </c>
      <c r="H241" s="1419">
        <f t="shared" ref="H241:L241" si="189">H242+H243</f>
        <v>29987</v>
      </c>
      <c r="I241" s="1419">
        <f t="shared" si="189"/>
        <v>22408</v>
      </c>
      <c r="J241" s="1419">
        <f t="shared" si="189"/>
        <v>0</v>
      </c>
      <c r="K241" s="1419">
        <f t="shared" si="189"/>
        <v>0</v>
      </c>
      <c r="L241" s="1901">
        <f t="shared" si="189"/>
        <v>0</v>
      </c>
      <c r="M241" s="1914"/>
      <c r="N241" s="897">
        <f>SUM(G241:L241)</f>
        <v>80369</v>
      </c>
      <c r="O241" s="3844"/>
      <c r="P241" s="2031">
        <f>D241-D250</f>
        <v>0</v>
      </c>
    </row>
    <row r="242" spans="1:16" s="2032" customFormat="1" hidden="1">
      <c r="A242" s="3861"/>
      <c r="B242" s="1902" t="s">
        <v>260</v>
      </c>
      <c r="C242" s="3868"/>
      <c r="D242" s="1903">
        <f>SUM(E242:L242)</f>
        <v>17859</v>
      </c>
      <c r="E242" s="1904">
        <v>0</v>
      </c>
      <c r="F242" s="1905">
        <v>0</v>
      </c>
      <c r="G242" s="1906">
        <v>7649</v>
      </c>
      <c r="H242" s="1906">
        <v>5437</v>
      </c>
      <c r="I242" s="1906">
        <v>4773</v>
      </c>
      <c r="J242" s="1906"/>
      <c r="K242" s="1906"/>
      <c r="L242" s="1904">
        <v>0</v>
      </c>
      <c r="M242" s="1916"/>
      <c r="N242" s="917">
        <f t="shared" ref="N242:N243" si="190">SUM(G242:L242)</f>
        <v>17859</v>
      </c>
      <c r="O242" s="3844"/>
      <c r="P242" s="2031"/>
    </row>
    <row r="243" spans="1:16" s="2032" customFormat="1" hidden="1">
      <c r="A243" s="3861"/>
      <c r="B243" s="1909" t="s">
        <v>275</v>
      </c>
      <c r="C243" s="3868"/>
      <c r="D243" s="1910">
        <f>SUM(E243:L243)</f>
        <v>62510</v>
      </c>
      <c r="E243" s="1911">
        <v>0</v>
      </c>
      <c r="F243" s="1912">
        <v>0</v>
      </c>
      <c r="G243" s="1913">
        <f>21245-920</f>
        <v>20325</v>
      </c>
      <c r="H243" s="1913">
        <v>24550</v>
      </c>
      <c r="I243" s="1913">
        <v>17635</v>
      </c>
      <c r="J243" s="1913"/>
      <c r="K243" s="1913"/>
      <c r="L243" s="1911">
        <v>0</v>
      </c>
      <c r="M243" s="1916"/>
      <c r="N243" s="917">
        <f t="shared" si="190"/>
        <v>62510</v>
      </c>
      <c r="O243" s="3844"/>
      <c r="P243" s="2031"/>
    </row>
    <row r="244" spans="1:16" s="2032" customFormat="1">
      <c r="A244" s="3860"/>
      <c r="B244" s="1414" t="s">
        <v>18</v>
      </c>
      <c r="C244" s="3867"/>
      <c r="D244" s="1423">
        <f>+D245</f>
        <v>2742704</v>
      </c>
      <c r="E244" s="1832">
        <f t="shared" ref="E244:L244" si="191">+E245</f>
        <v>0</v>
      </c>
      <c r="F244" s="1832">
        <f t="shared" si="191"/>
        <v>0</v>
      </c>
      <c r="G244" s="1423">
        <f t="shared" si="191"/>
        <v>953553</v>
      </c>
      <c r="H244" s="1423">
        <f t="shared" si="191"/>
        <v>1022198</v>
      </c>
      <c r="I244" s="1423">
        <f t="shared" si="191"/>
        <v>766953</v>
      </c>
      <c r="J244" s="1423">
        <f t="shared" si="191"/>
        <v>0</v>
      </c>
      <c r="K244" s="1423">
        <f t="shared" si="191"/>
        <v>0</v>
      </c>
      <c r="L244" s="1832">
        <f t="shared" si="191"/>
        <v>0</v>
      </c>
      <c r="M244" s="1424">
        <f>+M245</f>
        <v>2742704</v>
      </c>
      <c r="N244" s="1424">
        <f>+N245</f>
        <v>2742704</v>
      </c>
      <c r="O244" s="3844"/>
      <c r="P244" s="2031">
        <f>D244-D251</f>
        <v>0</v>
      </c>
    </row>
    <row r="245" spans="1:16" s="2032" customFormat="1">
      <c r="A245" s="3860"/>
      <c r="B245" s="1417" t="s">
        <v>21</v>
      </c>
      <c r="C245" s="3867"/>
      <c r="D245" s="1406">
        <f>E245+F245+G245+H245+I245+J245+K245+L245</f>
        <v>2742704</v>
      </c>
      <c r="E245" s="1900">
        <v>0</v>
      </c>
      <c r="F245" s="1917">
        <v>0</v>
      </c>
      <c r="G245" s="1420">
        <f>G246+G247</f>
        <v>953553</v>
      </c>
      <c r="H245" s="1420">
        <f t="shared" ref="H245:L245" si="192">H246+H247</f>
        <v>1022198</v>
      </c>
      <c r="I245" s="1420">
        <f t="shared" si="192"/>
        <v>766953</v>
      </c>
      <c r="J245" s="1420">
        <f t="shared" si="192"/>
        <v>0</v>
      </c>
      <c r="K245" s="1420">
        <f t="shared" si="192"/>
        <v>0</v>
      </c>
      <c r="L245" s="1917">
        <f t="shared" si="192"/>
        <v>0</v>
      </c>
      <c r="M245" s="917">
        <f>SUM(F245:K245)</f>
        <v>2742704</v>
      </c>
      <c r="N245" s="917">
        <f>SUM(G245:L245)</f>
        <v>2742704</v>
      </c>
      <c r="O245" s="3844"/>
      <c r="P245" s="2031"/>
    </row>
    <row r="246" spans="1:16" s="2032" customFormat="1" hidden="1">
      <c r="A246" s="3860"/>
      <c r="B246" s="1902" t="s">
        <v>260</v>
      </c>
      <c r="C246" s="1918"/>
      <c r="D246" s="1903">
        <f>SUM(E246:L246)</f>
        <v>608761</v>
      </c>
      <c r="E246" s="1904">
        <v>0</v>
      </c>
      <c r="F246" s="1904">
        <v>0</v>
      </c>
      <c r="G246" s="1906">
        <v>260714</v>
      </c>
      <c r="H246" s="1906">
        <v>185342</v>
      </c>
      <c r="I246" s="1906">
        <v>162705</v>
      </c>
      <c r="J246" s="1906">
        <v>0</v>
      </c>
      <c r="K246" s="1906">
        <v>0</v>
      </c>
      <c r="L246" s="1904">
        <v>0</v>
      </c>
      <c r="M246" s="1907"/>
      <c r="N246" s="1908">
        <f>SUM(G246:L246)</f>
        <v>608761</v>
      </c>
      <c r="O246" s="3844"/>
      <c r="P246" s="2031"/>
    </row>
    <row r="247" spans="1:16" s="2032" customFormat="1" hidden="1">
      <c r="A247" s="3860"/>
      <c r="B247" s="1909" t="s">
        <v>275</v>
      </c>
      <c r="C247" s="1919"/>
      <c r="D247" s="1910">
        <f>SUM(E247:L247)</f>
        <v>2133943</v>
      </c>
      <c r="E247" s="1911">
        <v>0</v>
      </c>
      <c r="F247" s="1911">
        <v>0</v>
      </c>
      <c r="G247" s="1913">
        <f>724218-31379</f>
        <v>692839</v>
      </c>
      <c r="H247" s="1913">
        <v>836856</v>
      </c>
      <c r="I247" s="1913">
        <v>604248</v>
      </c>
      <c r="J247" s="1913"/>
      <c r="K247" s="1913"/>
      <c r="L247" s="1911">
        <v>0</v>
      </c>
      <c r="M247" s="1907"/>
      <c r="N247" s="1908">
        <f>SUM(G247:L247)</f>
        <v>2133943</v>
      </c>
      <c r="O247" s="3845"/>
      <c r="P247" s="2031"/>
    </row>
    <row r="248" spans="1:16" s="2032" customFormat="1" ht="13.5" thickBot="1">
      <c r="A248" s="3862"/>
      <c r="B248" s="1410" t="s">
        <v>22</v>
      </c>
      <c r="C248" s="1410"/>
      <c r="D248" s="1426">
        <f>D251+D249</f>
        <v>2823073</v>
      </c>
      <c r="E248" s="1920">
        <f t="shared" ref="E248:L248" si="193">E251+E249</f>
        <v>0</v>
      </c>
      <c r="F248" s="1920">
        <f t="shared" si="193"/>
        <v>0</v>
      </c>
      <c r="G248" s="1426">
        <f t="shared" si="193"/>
        <v>981527</v>
      </c>
      <c r="H248" s="1426">
        <f t="shared" si="193"/>
        <v>1052185</v>
      </c>
      <c r="I248" s="1426">
        <f t="shared" si="193"/>
        <v>789361</v>
      </c>
      <c r="J248" s="1426">
        <f t="shared" si="193"/>
        <v>0</v>
      </c>
      <c r="K248" s="1426">
        <f t="shared" si="193"/>
        <v>0</v>
      </c>
      <c r="L248" s="1920">
        <f t="shared" si="193"/>
        <v>0</v>
      </c>
      <c r="M248" s="3869" t="s">
        <v>61</v>
      </c>
      <c r="N248" s="3869" t="s">
        <v>61</v>
      </c>
      <c r="O248" s="3880" t="s">
        <v>438</v>
      </c>
      <c r="P248" s="2031"/>
    </row>
    <row r="249" spans="1:16" s="2032" customFormat="1" ht="12.75" customHeight="1" thickBot="1">
      <c r="A249" s="3863"/>
      <c r="B249" s="1866" t="s">
        <v>24</v>
      </c>
      <c r="C249" s="3874" t="s">
        <v>338</v>
      </c>
      <c r="D249" s="1423">
        <f t="shared" ref="D249:L251" si="194">+D250</f>
        <v>80369</v>
      </c>
      <c r="E249" s="1832">
        <f t="shared" si="194"/>
        <v>0</v>
      </c>
      <c r="F249" s="1832">
        <f t="shared" si="194"/>
        <v>0</v>
      </c>
      <c r="G249" s="1423">
        <f t="shared" si="194"/>
        <v>27974</v>
      </c>
      <c r="H249" s="1423">
        <f t="shared" si="194"/>
        <v>29987</v>
      </c>
      <c r="I249" s="1423">
        <f t="shared" si="194"/>
        <v>22408</v>
      </c>
      <c r="J249" s="1423">
        <f t="shared" si="194"/>
        <v>0</v>
      </c>
      <c r="K249" s="1423">
        <f t="shared" si="194"/>
        <v>0</v>
      </c>
      <c r="L249" s="1832">
        <f t="shared" si="194"/>
        <v>0</v>
      </c>
      <c r="M249" s="3849"/>
      <c r="N249" s="3849"/>
      <c r="O249" s="3878"/>
      <c r="P249" s="2031"/>
    </row>
    <row r="250" spans="1:16" s="2032" customFormat="1" ht="13.5" thickBot="1">
      <c r="A250" s="3863"/>
      <c r="B250" s="875" t="s">
        <v>13</v>
      </c>
      <c r="C250" s="3875"/>
      <c r="D250" s="1458">
        <f>E250+F250+G250+H250+I250+J250+K250+L250</f>
        <v>80369</v>
      </c>
      <c r="E250" s="1922">
        <v>0</v>
      </c>
      <c r="F250" s="1922">
        <v>0</v>
      </c>
      <c r="G250" s="1923">
        <f>28894-920</f>
        <v>27974</v>
      </c>
      <c r="H250" s="1923">
        <v>29987</v>
      </c>
      <c r="I250" s="1923">
        <v>22408</v>
      </c>
      <c r="J250" s="1923"/>
      <c r="K250" s="1923"/>
      <c r="L250" s="1922">
        <v>0</v>
      </c>
      <c r="M250" s="3849"/>
      <c r="N250" s="3849"/>
      <c r="O250" s="3878"/>
      <c r="P250" s="2031"/>
    </row>
    <row r="251" spans="1:16" s="2032" customFormat="1" ht="13.5" thickBot="1">
      <c r="A251" s="3862"/>
      <c r="B251" s="1414" t="s">
        <v>18</v>
      </c>
      <c r="C251" s="3875"/>
      <c r="D251" s="1850">
        <f t="shared" si="194"/>
        <v>2742704</v>
      </c>
      <c r="E251" s="1832">
        <f t="shared" si="194"/>
        <v>0</v>
      </c>
      <c r="F251" s="1832">
        <f t="shared" si="194"/>
        <v>0</v>
      </c>
      <c r="G251" s="1423">
        <f t="shared" si="194"/>
        <v>953553</v>
      </c>
      <c r="H251" s="1423">
        <f t="shared" si="194"/>
        <v>1022198</v>
      </c>
      <c r="I251" s="1423">
        <f t="shared" si="194"/>
        <v>766953</v>
      </c>
      <c r="J251" s="1423">
        <f t="shared" si="194"/>
        <v>0</v>
      </c>
      <c r="K251" s="1423">
        <f t="shared" si="194"/>
        <v>0</v>
      </c>
      <c r="L251" s="1832">
        <f t="shared" si="194"/>
        <v>0</v>
      </c>
      <c r="M251" s="3869"/>
      <c r="N251" s="3869"/>
      <c r="O251" s="3878"/>
      <c r="P251" s="2031"/>
    </row>
    <row r="252" spans="1:16" s="2032" customFormat="1" ht="13.5" thickBot="1">
      <c r="A252" s="3864"/>
      <c r="B252" s="575" t="s">
        <v>21</v>
      </c>
      <c r="C252" s="3876"/>
      <c r="D252" s="833">
        <f>E252+F252+G252+H252+I252+J252+K252+L252</f>
        <v>2742704</v>
      </c>
      <c r="E252" s="596">
        <v>0</v>
      </c>
      <c r="F252" s="871">
        <v>0</v>
      </c>
      <c r="G252" s="448">
        <f>984932-31379</f>
        <v>953553</v>
      </c>
      <c r="H252" s="448">
        <v>1022198</v>
      </c>
      <c r="I252" s="448">
        <v>766953</v>
      </c>
      <c r="J252" s="448"/>
      <c r="K252" s="448"/>
      <c r="L252" s="871">
        <v>0</v>
      </c>
      <c r="M252" s="3870"/>
      <c r="N252" s="3870"/>
      <c r="O252" s="3878"/>
      <c r="P252" s="2031"/>
    </row>
    <row r="253" spans="1:16" s="2032" customFormat="1" ht="27" customHeight="1" thickBot="1">
      <c r="A253" s="3859" t="s">
        <v>97</v>
      </c>
      <c r="B253" s="1244" t="s">
        <v>480</v>
      </c>
      <c r="C253" s="1245" t="s">
        <v>81</v>
      </c>
      <c r="D253" s="1159"/>
      <c r="E253" s="3161"/>
      <c r="F253" s="3161"/>
      <c r="G253" s="3161"/>
      <c r="H253" s="3161"/>
      <c r="I253" s="3161"/>
      <c r="J253" s="3161"/>
      <c r="K253" s="3161"/>
      <c r="L253" s="41"/>
      <c r="M253" s="574"/>
      <c r="N253" s="574"/>
      <c r="O253" s="3877" t="s">
        <v>442</v>
      </c>
      <c r="P253" s="2031"/>
    </row>
    <row r="254" spans="1:16" s="2032" customFormat="1" ht="13.5" thickBot="1">
      <c r="A254" s="3860"/>
      <c r="B254" s="1410" t="s">
        <v>10</v>
      </c>
      <c r="C254" s="1246"/>
      <c r="D254" s="1411">
        <f t="shared" ref="D254:N254" si="195">+D255+D257</f>
        <v>569200</v>
      </c>
      <c r="E254" s="1898">
        <f t="shared" si="195"/>
        <v>0</v>
      </c>
      <c r="F254" s="1898">
        <f t="shared" si="195"/>
        <v>0</v>
      </c>
      <c r="G254" s="1412">
        <f t="shared" si="195"/>
        <v>569200</v>
      </c>
      <c r="H254" s="1412">
        <f t="shared" si="195"/>
        <v>0</v>
      </c>
      <c r="I254" s="1412">
        <f t="shared" si="195"/>
        <v>0</v>
      </c>
      <c r="J254" s="1412">
        <f t="shared" si="195"/>
        <v>0</v>
      </c>
      <c r="K254" s="1412">
        <f t="shared" si="195"/>
        <v>0</v>
      </c>
      <c r="L254" s="1898">
        <f t="shared" si="195"/>
        <v>0</v>
      </c>
      <c r="M254" s="1413" t="e">
        <f t="shared" si="195"/>
        <v>#REF!</v>
      </c>
      <c r="N254" s="1413">
        <f t="shared" si="195"/>
        <v>569200</v>
      </c>
      <c r="O254" s="3877"/>
      <c r="P254" s="2031"/>
    </row>
    <row r="255" spans="1:16" s="2032" customFormat="1" ht="13.5" thickBot="1">
      <c r="A255" s="3860"/>
      <c r="B255" s="1414" t="s">
        <v>24</v>
      </c>
      <c r="C255" s="3866" t="s">
        <v>443</v>
      </c>
      <c r="D255" s="1415">
        <f>+D256</f>
        <v>16222</v>
      </c>
      <c r="E255" s="1899">
        <f t="shared" ref="E255:L255" si="196">+E256</f>
        <v>0</v>
      </c>
      <c r="F255" s="1899">
        <f t="shared" si="196"/>
        <v>0</v>
      </c>
      <c r="G255" s="1415">
        <f t="shared" si="196"/>
        <v>16222</v>
      </c>
      <c r="H255" s="1415">
        <f t="shared" si="196"/>
        <v>0</v>
      </c>
      <c r="I255" s="1415">
        <f t="shared" si="196"/>
        <v>0</v>
      </c>
      <c r="J255" s="1415">
        <f t="shared" si="196"/>
        <v>0</v>
      </c>
      <c r="K255" s="1415">
        <f t="shared" si="196"/>
        <v>0</v>
      </c>
      <c r="L255" s="1415">
        <f t="shared" si="196"/>
        <v>0</v>
      </c>
      <c r="M255" s="1416" t="e">
        <f>+#REF!</f>
        <v>#REF!</v>
      </c>
      <c r="N255" s="1416">
        <f>+N256</f>
        <v>16222</v>
      </c>
      <c r="O255" s="3877"/>
      <c r="P255" s="2031"/>
    </row>
    <row r="256" spans="1:16" s="2032" customFormat="1" ht="13.5" thickBot="1">
      <c r="A256" s="3861"/>
      <c r="B256" s="875" t="s">
        <v>13</v>
      </c>
      <c r="C256" s="3868"/>
      <c r="D256" s="1406">
        <f>E256+F256+G256+H256+I256+J256+K256+L256</f>
        <v>16222</v>
      </c>
      <c r="E256" s="1900">
        <v>0</v>
      </c>
      <c r="F256" s="1901">
        <v>0</v>
      </c>
      <c r="G256" s="1419">
        <f>15302+920</f>
        <v>16222</v>
      </c>
      <c r="H256" s="1419"/>
      <c r="I256" s="1419"/>
      <c r="J256" s="1419"/>
      <c r="K256" s="1419"/>
      <c r="L256" s="1901"/>
      <c r="M256" s="1914"/>
      <c r="N256" s="897">
        <f>SUM(G256:L256)</f>
        <v>16222</v>
      </c>
      <c r="O256" s="3877"/>
      <c r="P256" s="2031"/>
    </row>
    <row r="257" spans="1:16" s="2032" customFormat="1" ht="13.5" thickBot="1">
      <c r="A257" s="3860"/>
      <c r="B257" s="1414" t="s">
        <v>18</v>
      </c>
      <c r="C257" s="3867"/>
      <c r="D257" s="1423">
        <f>+D258</f>
        <v>552978</v>
      </c>
      <c r="E257" s="1832">
        <f t="shared" ref="E257:L257" si="197">+E258</f>
        <v>0</v>
      </c>
      <c r="F257" s="1832">
        <f t="shared" si="197"/>
        <v>0</v>
      </c>
      <c r="G257" s="1423">
        <f t="shared" si="197"/>
        <v>552978</v>
      </c>
      <c r="H257" s="1423">
        <f t="shared" si="197"/>
        <v>0</v>
      </c>
      <c r="I257" s="1423">
        <f t="shared" si="197"/>
        <v>0</v>
      </c>
      <c r="J257" s="1423">
        <f t="shared" si="197"/>
        <v>0</v>
      </c>
      <c r="K257" s="1423">
        <f t="shared" si="197"/>
        <v>0</v>
      </c>
      <c r="L257" s="1832">
        <f t="shared" si="197"/>
        <v>0</v>
      </c>
      <c r="M257" s="1424">
        <f>+M258</f>
        <v>552978</v>
      </c>
      <c r="N257" s="1424">
        <f>+N258</f>
        <v>552978</v>
      </c>
      <c r="O257" s="3877"/>
      <c r="P257" s="2031"/>
    </row>
    <row r="258" spans="1:16" s="2032" customFormat="1" ht="13.5" thickBot="1">
      <c r="A258" s="3860"/>
      <c r="B258" s="1417" t="s">
        <v>21</v>
      </c>
      <c r="C258" s="3867"/>
      <c r="D258" s="1406">
        <f>E258+F258+G258+H258+I258+J258+K258+L258</f>
        <v>552978</v>
      </c>
      <c r="E258" s="1900">
        <v>0</v>
      </c>
      <c r="F258" s="1917">
        <v>0</v>
      </c>
      <c r="G258" s="1420">
        <f>521599+31379</f>
        <v>552978</v>
      </c>
      <c r="H258" s="1420"/>
      <c r="I258" s="1420"/>
      <c r="J258" s="1420"/>
      <c r="K258" s="1420"/>
      <c r="L258" s="1917"/>
      <c r="M258" s="917">
        <f>SUM(F258:K258)</f>
        <v>552978</v>
      </c>
      <c r="N258" s="917">
        <f>SUM(G258:L258)</f>
        <v>552978</v>
      </c>
      <c r="O258" s="3877"/>
      <c r="P258" s="2031"/>
    </row>
    <row r="259" spans="1:16" s="2032" customFormat="1" ht="13.5" thickBot="1">
      <c r="A259" s="3862"/>
      <c r="B259" s="1410" t="s">
        <v>22</v>
      </c>
      <c r="C259" s="1410"/>
      <c r="D259" s="1426">
        <f>D262+D260</f>
        <v>569200</v>
      </c>
      <c r="E259" s="1920">
        <f t="shared" ref="E259:L259" si="198">E262+E260</f>
        <v>0</v>
      </c>
      <c r="F259" s="1920">
        <f t="shared" si="198"/>
        <v>0</v>
      </c>
      <c r="G259" s="1426">
        <f t="shared" si="198"/>
        <v>569200</v>
      </c>
      <c r="H259" s="1426">
        <f t="shared" si="198"/>
        <v>0</v>
      </c>
      <c r="I259" s="1426">
        <f t="shared" si="198"/>
        <v>0</v>
      </c>
      <c r="J259" s="1426">
        <f t="shared" si="198"/>
        <v>0</v>
      </c>
      <c r="K259" s="1426">
        <f t="shared" si="198"/>
        <v>0</v>
      </c>
      <c r="L259" s="1920">
        <f t="shared" si="198"/>
        <v>0</v>
      </c>
      <c r="M259" s="3869" t="s">
        <v>61</v>
      </c>
      <c r="N259" s="3869" t="s">
        <v>61</v>
      </c>
      <c r="O259" s="3878" t="s">
        <v>438</v>
      </c>
      <c r="P259" s="2031"/>
    </row>
    <row r="260" spans="1:16" s="2032" customFormat="1" ht="12.75" customHeight="1" thickBot="1">
      <c r="A260" s="3863"/>
      <c r="B260" s="1866" t="s">
        <v>24</v>
      </c>
      <c r="C260" s="3874" t="s">
        <v>338</v>
      </c>
      <c r="D260" s="1423">
        <f t="shared" ref="D260:L262" si="199">+D261</f>
        <v>16222</v>
      </c>
      <c r="E260" s="1832">
        <f t="shared" si="199"/>
        <v>0</v>
      </c>
      <c r="F260" s="1832">
        <f t="shared" si="199"/>
        <v>0</v>
      </c>
      <c r="G260" s="1423">
        <f t="shared" si="199"/>
        <v>16222</v>
      </c>
      <c r="H260" s="1423">
        <f t="shared" si="199"/>
        <v>0</v>
      </c>
      <c r="I260" s="1423">
        <f t="shared" si="199"/>
        <v>0</v>
      </c>
      <c r="J260" s="1423">
        <f t="shared" si="199"/>
        <v>0</v>
      </c>
      <c r="K260" s="1423">
        <f t="shared" si="199"/>
        <v>0</v>
      </c>
      <c r="L260" s="1832">
        <f t="shared" si="199"/>
        <v>0</v>
      </c>
      <c r="M260" s="3849"/>
      <c r="N260" s="3849"/>
      <c r="O260" s="3878"/>
      <c r="P260" s="2031"/>
    </row>
    <row r="261" spans="1:16" s="2032" customFormat="1" ht="13.5" thickBot="1">
      <c r="A261" s="3863"/>
      <c r="B261" s="875" t="s">
        <v>13</v>
      </c>
      <c r="C261" s="3875"/>
      <c r="D261" s="1458">
        <f>E261+F261+G261+H261+I261+J261+K261+L261</f>
        <v>16222</v>
      </c>
      <c r="E261" s="1922">
        <v>0</v>
      </c>
      <c r="F261" s="1922">
        <v>0</v>
      </c>
      <c r="G261" s="1923">
        <f>15302+920</f>
        <v>16222</v>
      </c>
      <c r="H261" s="1923"/>
      <c r="I261" s="1923"/>
      <c r="J261" s="1923"/>
      <c r="K261" s="1923"/>
      <c r="L261" s="1922">
        <v>0</v>
      </c>
      <c r="M261" s="3849"/>
      <c r="N261" s="3849"/>
      <c r="O261" s="3878"/>
      <c r="P261" s="2031"/>
    </row>
    <row r="262" spans="1:16" s="2032" customFormat="1">
      <c r="A262" s="3862"/>
      <c r="B262" s="1414" t="s">
        <v>18</v>
      </c>
      <c r="C262" s="3875"/>
      <c r="D262" s="1850">
        <f t="shared" si="199"/>
        <v>552978</v>
      </c>
      <c r="E262" s="1832">
        <f t="shared" si="199"/>
        <v>0</v>
      </c>
      <c r="F262" s="1832">
        <f t="shared" si="199"/>
        <v>0</v>
      </c>
      <c r="G262" s="1423">
        <f t="shared" si="199"/>
        <v>552978</v>
      </c>
      <c r="H262" s="1423">
        <f t="shared" si="199"/>
        <v>0</v>
      </c>
      <c r="I262" s="1423">
        <f t="shared" si="199"/>
        <v>0</v>
      </c>
      <c r="J262" s="1423">
        <f t="shared" si="199"/>
        <v>0</v>
      </c>
      <c r="K262" s="1423">
        <f t="shared" si="199"/>
        <v>0</v>
      </c>
      <c r="L262" s="1832">
        <f t="shared" si="199"/>
        <v>0</v>
      </c>
      <c r="M262" s="3869"/>
      <c r="N262" s="3869"/>
      <c r="O262" s="3879"/>
      <c r="P262" s="2031"/>
    </row>
    <row r="263" spans="1:16" s="2032" customFormat="1" ht="13.5" thickBot="1">
      <c r="A263" s="3864"/>
      <c r="B263" s="575" t="s">
        <v>21</v>
      </c>
      <c r="C263" s="3876"/>
      <c r="D263" s="833">
        <f>E263+F263+G263+H263+I263+J263+K263+L263</f>
        <v>552978</v>
      </c>
      <c r="E263" s="596">
        <v>0</v>
      </c>
      <c r="F263" s="871">
        <v>0</v>
      </c>
      <c r="G263" s="448">
        <f>521599+31379</f>
        <v>552978</v>
      </c>
      <c r="H263" s="448"/>
      <c r="I263" s="448"/>
      <c r="J263" s="448"/>
      <c r="K263" s="448"/>
      <c r="L263" s="871">
        <v>0</v>
      </c>
      <c r="M263" s="3870"/>
      <c r="N263" s="3870"/>
      <c r="O263" s="3873"/>
      <c r="P263" s="2031"/>
    </row>
    <row r="264" spans="1:16" s="2032" customFormat="1" ht="25.5" customHeight="1">
      <c r="A264" s="3859" t="s">
        <v>99</v>
      </c>
      <c r="B264" s="1244" t="s">
        <v>478</v>
      </c>
      <c r="C264" s="1245" t="s">
        <v>109</v>
      </c>
      <c r="D264" s="1159"/>
      <c r="E264" s="3161"/>
      <c r="F264" s="3161"/>
      <c r="G264" s="3161"/>
      <c r="H264" s="3161"/>
      <c r="I264" s="3161"/>
      <c r="J264" s="3161"/>
      <c r="K264" s="3161"/>
      <c r="L264" s="41"/>
      <c r="M264" s="574"/>
      <c r="N264" s="574"/>
      <c r="O264" s="3865" t="s">
        <v>280</v>
      </c>
      <c r="P264" s="2031"/>
    </row>
    <row r="265" spans="1:16" s="2032" customFormat="1">
      <c r="A265" s="3860"/>
      <c r="B265" s="1410" t="s">
        <v>10</v>
      </c>
      <c r="C265" s="1246"/>
      <c r="D265" s="1411">
        <f>+D266+D273</f>
        <v>1113035</v>
      </c>
      <c r="E265" s="1898">
        <f t="shared" ref="E265:N265" si="200">+E266+E273</f>
        <v>0</v>
      </c>
      <c r="F265" s="1898">
        <f t="shared" si="200"/>
        <v>0</v>
      </c>
      <c r="G265" s="1412">
        <f t="shared" si="200"/>
        <v>294044</v>
      </c>
      <c r="H265" s="1412">
        <f t="shared" si="200"/>
        <v>392447</v>
      </c>
      <c r="I265" s="1412">
        <f t="shared" si="200"/>
        <v>351828</v>
      </c>
      <c r="J265" s="1412">
        <f t="shared" si="200"/>
        <v>74716</v>
      </c>
      <c r="K265" s="1898">
        <f t="shared" si="200"/>
        <v>0</v>
      </c>
      <c r="L265" s="1898">
        <f t="shared" si="200"/>
        <v>0</v>
      </c>
      <c r="M265" s="1413">
        <f t="shared" si="200"/>
        <v>938066</v>
      </c>
      <c r="N265" s="1413">
        <f t="shared" si="200"/>
        <v>1113035</v>
      </c>
      <c r="O265" s="3844"/>
      <c r="P265" s="2031"/>
    </row>
    <row r="266" spans="1:16" s="2032" customFormat="1">
      <c r="A266" s="3860"/>
      <c r="B266" s="1414" t="s">
        <v>24</v>
      </c>
      <c r="C266" s="3866" t="s">
        <v>421</v>
      </c>
      <c r="D266" s="1415">
        <f>+D267+D270</f>
        <v>174969</v>
      </c>
      <c r="E266" s="1899">
        <f t="shared" ref="E266:L266" si="201">+E267+E270</f>
        <v>0</v>
      </c>
      <c r="F266" s="1899">
        <f t="shared" si="201"/>
        <v>0</v>
      </c>
      <c r="G266" s="1415">
        <f t="shared" si="201"/>
        <v>46224</v>
      </c>
      <c r="H266" s="1415">
        <f t="shared" si="201"/>
        <v>61693</v>
      </c>
      <c r="I266" s="1415">
        <f t="shared" si="201"/>
        <v>55307</v>
      </c>
      <c r="J266" s="1415">
        <f t="shared" si="201"/>
        <v>11745</v>
      </c>
      <c r="K266" s="1899">
        <f t="shared" si="201"/>
        <v>0</v>
      </c>
      <c r="L266" s="1899">
        <f t="shared" si="201"/>
        <v>0</v>
      </c>
      <c r="M266" s="1416">
        <f t="shared" ref="M266" si="202">+M267</f>
        <v>0</v>
      </c>
      <c r="N266" s="1416">
        <f>+N267+N270</f>
        <v>174969</v>
      </c>
      <c r="O266" s="3844"/>
      <c r="P266" s="2031"/>
    </row>
    <row r="267" spans="1:16" s="2032" customFormat="1" hidden="1">
      <c r="A267" s="3860"/>
      <c r="B267" s="1417" t="s">
        <v>12</v>
      </c>
      <c r="C267" s="3867"/>
      <c r="D267" s="1406">
        <f>E267+F267+G267+H267+I267+J267+K267+L267</f>
        <v>0</v>
      </c>
      <c r="E267" s="1900">
        <v>0</v>
      </c>
      <c r="F267" s="1901">
        <v>0</v>
      </c>
      <c r="G267" s="1419">
        <f>G268+G269</f>
        <v>0</v>
      </c>
      <c r="H267" s="1419">
        <f t="shared" ref="H267:L267" si="203">H268+H269</f>
        <v>0</v>
      </c>
      <c r="I267" s="1419">
        <f t="shared" si="203"/>
        <v>0</v>
      </c>
      <c r="J267" s="1419">
        <f t="shared" si="203"/>
        <v>0</v>
      </c>
      <c r="K267" s="1901">
        <f t="shared" si="203"/>
        <v>0</v>
      </c>
      <c r="L267" s="1901">
        <f t="shared" si="203"/>
        <v>0</v>
      </c>
      <c r="M267" s="897">
        <f>SUM(F267:K267)</f>
        <v>0</v>
      </c>
      <c r="N267" s="897">
        <f>SUM(G267:L267)</f>
        <v>0</v>
      </c>
      <c r="O267" s="3844"/>
      <c r="P267" s="2031"/>
    </row>
    <row r="268" spans="1:16" s="2032" customFormat="1" hidden="1">
      <c r="A268" s="3860"/>
      <c r="B268" s="1902" t="s">
        <v>260</v>
      </c>
      <c r="C268" s="3867"/>
      <c r="D268" s="1903">
        <f>SUM(E268:L268)</f>
        <v>0</v>
      </c>
      <c r="E268" s="1904">
        <v>0</v>
      </c>
      <c r="F268" s="1905">
        <v>0</v>
      </c>
      <c r="G268" s="1906"/>
      <c r="H268" s="1906"/>
      <c r="I268" s="1906"/>
      <c r="J268" s="1906">
        <v>0</v>
      </c>
      <c r="K268" s="1904">
        <v>0</v>
      </c>
      <c r="L268" s="1904">
        <v>0</v>
      </c>
      <c r="M268" s="1907"/>
      <c r="N268" s="1908">
        <f>SUM(G268:L268)</f>
        <v>0</v>
      </c>
      <c r="O268" s="3844"/>
      <c r="P268" s="2031"/>
    </row>
    <row r="269" spans="1:16" s="2032" customFormat="1" hidden="1">
      <c r="A269" s="3860"/>
      <c r="B269" s="1909" t="s">
        <v>275</v>
      </c>
      <c r="C269" s="3867"/>
      <c r="D269" s="1910">
        <f>SUM(E269:L269)</f>
        <v>0</v>
      </c>
      <c r="E269" s="1911">
        <v>0</v>
      </c>
      <c r="F269" s="1912">
        <v>0</v>
      </c>
      <c r="G269" s="1913"/>
      <c r="H269" s="1913"/>
      <c r="I269" s="1913"/>
      <c r="J269" s="1913">
        <v>0</v>
      </c>
      <c r="K269" s="1911">
        <v>0</v>
      </c>
      <c r="L269" s="1911">
        <v>0</v>
      </c>
      <c r="M269" s="1907"/>
      <c r="N269" s="1908">
        <f>SUM(G269:L269)</f>
        <v>0</v>
      </c>
      <c r="O269" s="3844"/>
      <c r="P269" s="2031"/>
    </row>
    <row r="270" spans="1:16" s="2032" customFormat="1">
      <c r="A270" s="3861"/>
      <c r="B270" s="875" t="s">
        <v>13</v>
      </c>
      <c r="C270" s="3868"/>
      <c r="D270" s="1406">
        <f>E270+F270+G270+H270+I270+J270+K270+L270</f>
        <v>174969</v>
      </c>
      <c r="E270" s="1900">
        <v>0</v>
      </c>
      <c r="F270" s="1901">
        <v>0</v>
      </c>
      <c r="G270" s="1419">
        <f>G271+G272</f>
        <v>46224</v>
      </c>
      <c r="H270" s="1419">
        <f t="shared" ref="H270:L270" si="204">H271+H272</f>
        <v>61693</v>
      </c>
      <c r="I270" s="1419">
        <f t="shared" si="204"/>
        <v>55307</v>
      </c>
      <c r="J270" s="1419">
        <f t="shared" si="204"/>
        <v>11745</v>
      </c>
      <c r="K270" s="1901">
        <f t="shared" si="204"/>
        <v>0</v>
      </c>
      <c r="L270" s="1901">
        <f t="shared" si="204"/>
        <v>0</v>
      </c>
      <c r="M270" s="1914"/>
      <c r="N270" s="897">
        <f t="shared" ref="N270:N272" si="205">SUM(G270:L270)</f>
        <v>174969</v>
      </c>
      <c r="O270" s="3844"/>
      <c r="P270" s="2031"/>
    </row>
    <row r="271" spans="1:16" s="2032" customFormat="1" hidden="1">
      <c r="A271" s="3861"/>
      <c r="B271" s="1902" t="s">
        <v>260</v>
      </c>
      <c r="C271" s="3868"/>
      <c r="D271" s="1903">
        <f>SUM(E271:L271)</f>
        <v>115553</v>
      </c>
      <c r="E271" s="1904">
        <v>0</v>
      </c>
      <c r="F271" s="1905">
        <v>0</v>
      </c>
      <c r="G271" s="1906">
        <v>27998</v>
      </c>
      <c r="H271" s="1906">
        <v>38418</v>
      </c>
      <c r="I271" s="1906">
        <v>38208</v>
      </c>
      <c r="J271" s="1906">
        <v>10929</v>
      </c>
      <c r="K271" s="1904">
        <v>0</v>
      </c>
      <c r="L271" s="1904">
        <v>0</v>
      </c>
      <c r="M271" s="1916"/>
      <c r="N271" s="917">
        <f t="shared" si="205"/>
        <v>115553</v>
      </c>
      <c r="O271" s="3844"/>
      <c r="P271" s="2031">
        <f>D270-D279</f>
        <v>0</v>
      </c>
    </row>
    <row r="272" spans="1:16" s="2032" customFormat="1" hidden="1">
      <c r="A272" s="3861"/>
      <c r="B272" s="1909" t="s">
        <v>275</v>
      </c>
      <c r="C272" s="3868"/>
      <c r="D272" s="1910">
        <f>SUM(E272:L272)</f>
        <v>59416</v>
      </c>
      <c r="E272" s="1911">
        <v>0</v>
      </c>
      <c r="F272" s="1912">
        <v>0</v>
      </c>
      <c r="G272" s="1913">
        <v>18226</v>
      </c>
      <c r="H272" s="1913">
        <v>23275</v>
      </c>
      <c r="I272" s="1913">
        <v>17099</v>
      </c>
      <c r="J272" s="1913">
        <v>816</v>
      </c>
      <c r="K272" s="1911">
        <v>0</v>
      </c>
      <c r="L272" s="1911">
        <v>0</v>
      </c>
      <c r="M272" s="1916"/>
      <c r="N272" s="917">
        <f t="shared" si="205"/>
        <v>59416</v>
      </c>
      <c r="O272" s="3844"/>
      <c r="P272" s="2031"/>
    </row>
    <row r="273" spans="1:16" s="2032" customFormat="1">
      <c r="A273" s="3860"/>
      <c r="B273" s="1414" t="s">
        <v>18</v>
      </c>
      <c r="C273" s="3867"/>
      <c r="D273" s="1423">
        <f>+D274</f>
        <v>938066</v>
      </c>
      <c r="E273" s="1832">
        <f t="shared" ref="E273:L273" si="206">+E274</f>
        <v>0</v>
      </c>
      <c r="F273" s="1832">
        <f t="shared" si="206"/>
        <v>0</v>
      </c>
      <c r="G273" s="1423">
        <f t="shared" si="206"/>
        <v>247820</v>
      </c>
      <c r="H273" s="1423">
        <f t="shared" si="206"/>
        <v>330754</v>
      </c>
      <c r="I273" s="1423">
        <f t="shared" si="206"/>
        <v>296521</v>
      </c>
      <c r="J273" s="1423">
        <f t="shared" si="206"/>
        <v>62971</v>
      </c>
      <c r="K273" s="1832">
        <f t="shared" si="206"/>
        <v>0</v>
      </c>
      <c r="L273" s="1832">
        <f t="shared" si="206"/>
        <v>0</v>
      </c>
      <c r="M273" s="1424">
        <f>+M274</f>
        <v>938066</v>
      </c>
      <c r="N273" s="1424">
        <f>+N274</f>
        <v>938066</v>
      </c>
      <c r="O273" s="3844"/>
      <c r="P273" s="2031">
        <f>D274-D281</f>
        <v>0</v>
      </c>
    </row>
    <row r="274" spans="1:16" s="2032" customFormat="1">
      <c r="A274" s="3860"/>
      <c r="B274" s="1417" t="s">
        <v>21</v>
      </c>
      <c r="C274" s="3867"/>
      <c r="D274" s="1406">
        <f>E274+F274+G274+H274+I274+J274+K274+L274</f>
        <v>938066</v>
      </c>
      <c r="E274" s="1900">
        <v>0</v>
      </c>
      <c r="F274" s="1917">
        <v>0</v>
      </c>
      <c r="G274" s="1420">
        <f>G275+G276</f>
        <v>247820</v>
      </c>
      <c r="H274" s="1420">
        <f t="shared" ref="H274:L274" si="207">H275+H276</f>
        <v>330754</v>
      </c>
      <c r="I274" s="1420">
        <f t="shared" si="207"/>
        <v>296521</v>
      </c>
      <c r="J274" s="1420">
        <f t="shared" si="207"/>
        <v>62971</v>
      </c>
      <c r="K274" s="1917">
        <f t="shared" si="207"/>
        <v>0</v>
      </c>
      <c r="L274" s="1917">
        <f t="shared" si="207"/>
        <v>0</v>
      </c>
      <c r="M274" s="917">
        <f>SUM(F274:K274)</f>
        <v>938066</v>
      </c>
      <c r="N274" s="917">
        <f>SUM(G274:L274)</f>
        <v>938066</v>
      </c>
      <c r="O274" s="3844"/>
      <c r="P274" s="2031"/>
    </row>
    <row r="275" spans="1:16" s="2032" customFormat="1" hidden="1">
      <c r="A275" s="3860"/>
      <c r="B275" s="1902" t="s">
        <v>260</v>
      </c>
      <c r="C275" s="1918"/>
      <c r="D275" s="1903">
        <f>SUM(E275:L275)</f>
        <v>619522</v>
      </c>
      <c r="E275" s="1904">
        <v>0</v>
      </c>
      <c r="F275" s="1904">
        <v>0</v>
      </c>
      <c r="G275" s="1906">
        <v>150106</v>
      </c>
      <c r="H275" s="1906">
        <v>205970</v>
      </c>
      <c r="I275" s="1906">
        <v>204850</v>
      </c>
      <c r="J275" s="1906">
        <v>58596</v>
      </c>
      <c r="K275" s="1904">
        <v>0</v>
      </c>
      <c r="L275" s="1904">
        <v>0</v>
      </c>
      <c r="M275" s="1907"/>
      <c r="N275" s="1908">
        <f>SUM(G275:L275)</f>
        <v>619522</v>
      </c>
      <c r="O275" s="3844"/>
      <c r="P275" s="2031"/>
    </row>
    <row r="276" spans="1:16" s="2032" customFormat="1" hidden="1">
      <c r="A276" s="3860"/>
      <c r="B276" s="1909" t="s">
        <v>275</v>
      </c>
      <c r="C276" s="1919"/>
      <c r="D276" s="1910">
        <f>SUM(E276:L276)</f>
        <v>318544</v>
      </c>
      <c r="E276" s="1911">
        <v>0</v>
      </c>
      <c r="F276" s="1911">
        <v>0</v>
      </c>
      <c r="G276" s="1913">
        <v>97714</v>
      </c>
      <c r="H276" s="1913">
        <v>124784</v>
      </c>
      <c r="I276" s="1913">
        <v>91671</v>
      </c>
      <c r="J276" s="1913">
        <v>4375</v>
      </c>
      <c r="K276" s="1911">
        <v>0</v>
      </c>
      <c r="L276" s="1911">
        <v>0</v>
      </c>
      <c r="M276" s="1907"/>
      <c r="N276" s="1908">
        <f>SUM(G276:L276)</f>
        <v>318544</v>
      </c>
      <c r="O276" s="3845"/>
      <c r="P276" s="2031"/>
    </row>
    <row r="277" spans="1:16" s="2032" customFormat="1">
      <c r="A277" s="3862"/>
      <c r="B277" s="1410" t="s">
        <v>22</v>
      </c>
      <c r="C277" s="1410"/>
      <c r="D277" s="1426">
        <f>D280+D278</f>
        <v>1113035</v>
      </c>
      <c r="E277" s="1920">
        <f t="shared" ref="E277:L277" si="208">E280+E278</f>
        <v>0</v>
      </c>
      <c r="F277" s="1920">
        <f t="shared" si="208"/>
        <v>0</v>
      </c>
      <c r="G277" s="1426">
        <f t="shared" si="208"/>
        <v>294044</v>
      </c>
      <c r="H277" s="1426">
        <f t="shared" si="208"/>
        <v>392447</v>
      </c>
      <c r="I277" s="1426">
        <f t="shared" si="208"/>
        <v>351828</v>
      </c>
      <c r="J277" s="1426">
        <f t="shared" si="208"/>
        <v>74716</v>
      </c>
      <c r="K277" s="1920">
        <f t="shared" si="208"/>
        <v>0</v>
      </c>
      <c r="L277" s="1920">
        <f t="shared" si="208"/>
        <v>0</v>
      </c>
      <c r="M277" s="3869" t="s">
        <v>61</v>
      </c>
      <c r="N277" s="3869" t="s">
        <v>61</v>
      </c>
      <c r="O277" s="3871" t="s">
        <v>275</v>
      </c>
      <c r="P277" s="2031"/>
    </row>
    <row r="278" spans="1:16" s="2032" customFormat="1">
      <c r="A278" s="3863"/>
      <c r="B278" s="1866" t="s">
        <v>24</v>
      </c>
      <c r="C278" s="3874" t="s">
        <v>424</v>
      </c>
      <c r="D278" s="1423">
        <f t="shared" ref="D278:L280" si="209">+D279</f>
        <v>174969</v>
      </c>
      <c r="E278" s="1832">
        <f t="shared" si="209"/>
        <v>0</v>
      </c>
      <c r="F278" s="1832">
        <f t="shared" si="209"/>
        <v>0</v>
      </c>
      <c r="G278" s="1423">
        <f t="shared" si="209"/>
        <v>46224</v>
      </c>
      <c r="H278" s="1423">
        <f t="shared" si="209"/>
        <v>61693</v>
      </c>
      <c r="I278" s="1423">
        <f t="shared" si="209"/>
        <v>55307</v>
      </c>
      <c r="J278" s="1423">
        <f t="shared" si="209"/>
        <v>11745</v>
      </c>
      <c r="K278" s="1832">
        <f t="shared" si="209"/>
        <v>0</v>
      </c>
      <c r="L278" s="1832">
        <f t="shared" si="209"/>
        <v>0</v>
      </c>
      <c r="M278" s="3849"/>
      <c r="N278" s="3849"/>
      <c r="O278" s="3872"/>
      <c r="P278" s="2031"/>
    </row>
    <row r="279" spans="1:16" s="2032" customFormat="1">
      <c r="A279" s="3863"/>
      <c r="B279" s="875" t="s">
        <v>13</v>
      </c>
      <c r="C279" s="3875"/>
      <c r="D279" s="2051">
        <f>E279+F279+G279+H279+I279+J279+K279+L279</f>
        <v>174969</v>
      </c>
      <c r="E279" s="1922">
        <v>0</v>
      </c>
      <c r="F279" s="1922">
        <v>0</v>
      </c>
      <c r="G279" s="1923">
        <v>46224</v>
      </c>
      <c r="H279" s="1923">
        <v>61693</v>
      </c>
      <c r="I279" s="1923">
        <v>55307</v>
      </c>
      <c r="J279" s="1923">
        <v>11745</v>
      </c>
      <c r="K279" s="1922">
        <v>0</v>
      </c>
      <c r="L279" s="1922">
        <v>0</v>
      </c>
      <c r="M279" s="3849"/>
      <c r="N279" s="3849"/>
      <c r="O279" s="3872"/>
      <c r="P279" s="2031"/>
    </row>
    <row r="280" spans="1:16" s="2032" customFormat="1">
      <c r="A280" s="3862"/>
      <c r="B280" s="1414" t="s">
        <v>18</v>
      </c>
      <c r="C280" s="3875"/>
      <c r="D280" s="1850">
        <f t="shared" si="209"/>
        <v>938066</v>
      </c>
      <c r="E280" s="1832">
        <f t="shared" si="209"/>
        <v>0</v>
      </c>
      <c r="F280" s="1832">
        <f t="shared" si="209"/>
        <v>0</v>
      </c>
      <c r="G280" s="1850">
        <f t="shared" si="209"/>
        <v>247820</v>
      </c>
      <c r="H280" s="1850">
        <f t="shared" si="209"/>
        <v>330754</v>
      </c>
      <c r="I280" s="1850">
        <f t="shared" si="209"/>
        <v>296521</v>
      </c>
      <c r="J280" s="1850">
        <f t="shared" si="209"/>
        <v>62971</v>
      </c>
      <c r="K280" s="1832">
        <f t="shared" si="209"/>
        <v>0</v>
      </c>
      <c r="L280" s="1832">
        <f t="shared" si="209"/>
        <v>0</v>
      </c>
      <c r="M280" s="3869"/>
      <c r="N280" s="3869"/>
      <c r="O280" s="3872"/>
      <c r="P280" s="2031"/>
    </row>
    <row r="281" spans="1:16" s="2032" customFormat="1" ht="13.5" thickBot="1">
      <c r="A281" s="3864"/>
      <c r="B281" s="575" t="s">
        <v>21</v>
      </c>
      <c r="C281" s="3876"/>
      <c r="D281" s="833">
        <f>E281+F281+G281+H281+I281+J281+K281+L281</f>
        <v>938066</v>
      </c>
      <c r="E281" s="596">
        <v>0</v>
      </c>
      <c r="F281" s="871">
        <v>0</v>
      </c>
      <c r="G281" s="833">
        <v>247820</v>
      </c>
      <c r="H281" s="833">
        <v>330754</v>
      </c>
      <c r="I281" s="833">
        <v>296521</v>
      </c>
      <c r="J281" s="833">
        <v>62971</v>
      </c>
      <c r="K281" s="871">
        <v>0</v>
      </c>
      <c r="L281" s="871">
        <v>0</v>
      </c>
      <c r="M281" s="3870"/>
      <c r="N281" s="3870"/>
      <c r="O281" s="3873"/>
      <c r="P281" s="2031"/>
    </row>
    <row r="282" spans="1:16">
      <c r="B282" s="1202" t="s">
        <v>350</v>
      </c>
      <c r="C282" s="1202"/>
      <c r="D282" s="1202"/>
      <c r="E282" s="1202"/>
      <c r="F282" s="1202"/>
      <c r="G282" s="1202"/>
      <c r="H282" s="1202"/>
      <c r="I282" s="1202"/>
      <c r="J282" s="1202"/>
      <c r="K282" s="1202"/>
      <c r="L282" s="1202"/>
    </row>
    <row r="283" spans="1:16" hidden="1">
      <c r="B283" s="1202" t="s">
        <v>351</v>
      </c>
      <c r="C283" s="1202"/>
      <c r="D283" s="1228">
        <f t="shared" ref="D283:L283" si="210">D38+D55+D68+D92+D132+D144+D170+D200+D215+D233+D248+D277+D117</f>
        <v>123583785</v>
      </c>
      <c r="E283" s="1228">
        <f t="shared" si="210"/>
        <v>8840348</v>
      </c>
      <c r="F283" s="1228">
        <f t="shared" si="210"/>
        <v>9874799</v>
      </c>
      <c r="G283" s="1228">
        <f t="shared" si="210"/>
        <v>29178137</v>
      </c>
      <c r="H283" s="1228">
        <f t="shared" si="210"/>
        <v>26861011</v>
      </c>
      <c r="I283" s="1228">
        <f t="shared" si="210"/>
        <v>20288719</v>
      </c>
      <c r="J283" s="1228">
        <f t="shared" si="210"/>
        <v>12123450</v>
      </c>
      <c r="K283" s="1228">
        <f t="shared" si="210"/>
        <v>8729767</v>
      </c>
      <c r="L283" s="1228">
        <f t="shared" si="210"/>
        <v>7687554</v>
      </c>
      <c r="M283" s="1228" t="e">
        <f>M38+M55+M68+M92+M132+M144+M170+M200+M215+M233+M248+M277</f>
        <v>#VALUE!</v>
      </c>
    </row>
    <row r="284" spans="1:16" hidden="1">
      <c r="B284" s="1202" t="s">
        <v>352</v>
      </c>
      <c r="C284" s="1202"/>
      <c r="D284" s="1228">
        <f t="shared" ref="D284:L284" si="211">D80+D104+D154+D182+D259</f>
        <v>719567</v>
      </c>
      <c r="E284" s="1228">
        <f t="shared" si="211"/>
        <v>21928</v>
      </c>
      <c r="F284" s="1228">
        <f t="shared" si="211"/>
        <v>60263</v>
      </c>
      <c r="G284" s="1228">
        <f t="shared" si="211"/>
        <v>637376</v>
      </c>
      <c r="H284" s="1228">
        <f t="shared" si="211"/>
        <v>0</v>
      </c>
      <c r="I284" s="1228">
        <f t="shared" si="211"/>
        <v>0</v>
      </c>
      <c r="J284" s="1228">
        <f t="shared" si="211"/>
        <v>0</v>
      </c>
      <c r="K284" s="1228">
        <f t="shared" si="211"/>
        <v>0</v>
      </c>
      <c r="L284" s="1228">
        <f t="shared" si="211"/>
        <v>0</v>
      </c>
      <c r="M284" s="1228" t="e">
        <f>M80+M104+M154+M182</f>
        <v>#VALUE!</v>
      </c>
    </row>
    <row r="285" spans="1:16" hidden="1">
      <c r="B285" s="1202" t="s">
        <v>353</v>
      </c>
      <c r="C285" s="1202"/>
      <c r="D285" s="1229">
        <f>D283+D284</f>
        <v>124303352</v>
      </c>
      <c r="E285" s="1229">
        <f t="shared" ref="E285:L285" si="212">E283+E284</f>
        <v>8862276</v>
      </c>
      <c r="F285" s="1229">
        <f t="shared" si="212"/>
        <v>9935062</v>
      </c>
      <c r="G285" s="1229">
        <f t="shared" si="212"/>
        <v>29815513</v>
      </c>
      <c r="H285" s="1229">
        <f t="shared" si="212"/>
        <v>26861011</v>
      </c>
      <c r="I285" s="1229">
        <f t="shared" si="212"/>
        <v>20288719</v>
      </c>
      <c r="J285" s="1229">
        <f t="shared" si="212"/>
        <v>12123450</v>
      </c>
      <c r="K285" s="1229">
        <f t="shared" si="212"/>
        <v>8729767</v>
      </c>
      <c r="L285" s="1229">
        <f t="shared" si="212"/>
        <v>7687554</v>
      </c>
    </row>
    <row r="286" spans="1:16" hidden="1">
      <c r="B286" s="1230" t="s">
        <v>42</v>
      </c>
      <c r="C286" s="1230"/>
      <c r="D286" s="1231">
        <f t="shared" ref="D286:L286" si="213">D285-D18</f>
        <v>0</v>
      </c>
      <c r="E286" s="1231">
        <f t="shared" si="213"/>
        <v>0</v>
      </c>
      <c r="F286" s="1231">
        <f t="shared" si="213"/>
        <v>0</v>
      </c>
      <c r="G286" s="1231">
        <f t="shared" si="213"/>
        <v>0</v>
      </c>
      <c r="H286" s="1231">
        <f t="shared" si="213"/>
        <v>0</v>
      </c>
      <c r="I286" s="1231">
        <f t="shared" si="213"/>
        <v>0</v>
      </c>
      <c r="J286" s="1231">
        <f t="shared" si="213"/>
        <v>0</v>
      </c>
      <c r="K286" s="1231">
        <f t="shared" si="213"/>
        <v>0</v>
      </c>
      <c r="L286" s="1231">
        <f t="shared" si="213"/>
        <v>0</v>
      </c>
    </row>
    <row r="287" spans="1:16" hidden="1">
      <c r="B287" s="1227"/>
      <c r="C287" s="1227"/>
      <c r="D287" s="1227"/>
      <c r="E287" s="1227"/>
      <c r="F287" s="1227"/>
      <c r="G287" s="1227"/>
      <c r="H287" s="1227"/>
      <c r="I287" s="1227"/>
      <c r="J287" s="1227"/>
      <c r="K287" s="1227"/>
      <c r="L287" s="1227"/>
    </row>
    <row r="289" spans="2:2" ht="31.5" customHeight="1">
      <c r="B289" s="2671" t="s">
        <v>497</v>
      </c>
    </row>
    <row r="401" spans="1:15" ht="13.5" thickBot="1">
      <c r="A401" s="2795"/>
    </row>
    <row r="402" spans="1:15" ht="13.5" thickBot="1">
      <c r="A402" s="2796"/>
    </row>
    <row r="403" spans="1:15" ht="13.5" thickBot="1">
      <c r="A403" s="2796"/>
    </row>
    <row r="404" spans="1:15" ht="13.5" thickBot="1">
      <c r="A404" s="2796"/>
    </row>
    <row r="405" spans="1:15" ht="13.5" thickBot="1">
      <c r="A405" s="2796"/>
    </row>
    <row r="406" spans="1:15" ht="13.5" thickBot="1">
      <c r="A406" s="2796"/>
    </row>
    <row r="407" spans="1:15" ht="13.5" thickBot="1">
      <c r="A407" s="2796"/>
      <c r="N407" s="2773"/>
      <c r="O407" s="2773"/>
    </row>
    <row r="408" spans="1:15" ht="13.5" thickBot="1">
      <c r="A408" s="2796"/>
      <c r="C408" s="2773"/>
      <c r="N408" s="2774"/>
      <c r="O408" s="2774"/>
    </row>
    <row r="409" spans="1:15" ht="13.5" thickBot="1">
      <c r="A409" s="2796"/>
      <c r="C409" s="2774"/>
      <c r="D409" s="2773"/>
      <c r="E409" s="2773"/>
      <c r="F409" s="2773"/>
      <c r="G409" s="2773"/>
      <c r="H409" s="2773"/>
      <c r="I409" s="2773"/>
      <c r="J409" s="2773"/>
      <c r="K409" s="2773"/>
      <c r="L409" s="2773"/>
      <c r="N409" s="2774"/>
      <c r="O409" s="2774"/>
    </row>
    <row r="410" spans="1:15" ht="13.5" thickBot="1">
      <c r="A410" s="2796"/>
      <c r="C410" s="2775"/>
      <c r="D410" s="2775"/>
      <c r="E410" s="2775"/>
      <c r="F410" s="2775"/>
      <c r="G410" s="2775"/>
      <c r="H410" s="2775"/>
      <c r="I410" s="2775"/>
      <c r="J410" s="2775"/>
      <c r="K410" s="2775"/>
      <c r="L410" s="2775"/>
      <c r="N410" s="2775"/>
      <c r="O410" s="2774"/>
    </row>
    <row r="411" spans="1:15" ht="13.5" thickBot="1">
      <c r="A411" s="2796"/>
      <c r="O411" s="2774"/>
    </row>
    <row r="412" spans="1:15" ht="13.5" thickBot="1">
      <c r="A412" s="2796"/>
      <c r="O412" s="2774"/>
    </row>
    <row r="413" spans="1:15" ht="13.5" thickBot="1">
      <c r="A413" s="2796"/>
      <c r="O413" s="2774"/>
    </row>
    <row r="414" spans="1:15" ht="13.5" thickBot="1">
      <c r="A414" s="2796"/>
      <c r="O414" s="2774"/>
    </row>
    <row r="415" spans="1:15" ht="13.5" thickBot="1">
      <c r="A415" s="2796"/>
      <c r="O415" s="2775"/>
    </row>
    <row r="416" spans="1:15" ht="13.5" thickBot="1">
      <c r="A416" s="2796"/>
    </row>
    <row r="417" spans="1:1" ht="13.5" thickBot="1">
      <c r="A417" s="2796"/>
    </row>
    <row r="418" spans="1:1">
      <c r="A418" s="2797"/>
    </row>
    <row r="516" spans="1:15" ht="13.5" thickBot="1">
      <c r="O516" s="2773"/>
    </row>
    <row r="517" spans="1:15" ht="13.5" thickBot="1">
      <c r="O517" s="2774"/>
    </row>
    <row r="518" spans="1:15" ht="13.5" thickBot="1">
      <c r="O518" s="2774"/>
    </row>
    <row r="519" spans="1:15" ht="13.5" thickBot="1">
      <c r="O519" s="2774"/>
    </row>
    <row r="520" spans="1:15" ht="13.5" thickBot="1">
      <c r="N520" s="2773"/>
      <c r="O520" s="2774"/>
    </row>
    <row r="521" spans="1:15" ht="13.5" thickBot="1">
      <c r="N521" s="2774"/>
      <c r="O521" s="2774"/>
    </row>
    <row r="522" spans="1:15" ht="13.5" thickBot="1">
      <c r="N522" s="2774"/>
      <c r="O522" s="2774"/>
    </row>
    <row r="523" spans="1:15" ht="13.5" thickBot="1">
      <c r="N523" s="2774"/>
      <c r="O523" s="2774"/>
    </row>
    <row r="524" spans="1:15" ht="13.5" thickBot="1">
      <c r="N524" s="2774"/>
      <c r="O524" s="2774"/>
    </row>
    <row r="525" spans="1:15" ht="13.5" thickBot="1">
      <c r="A525" s="2795"/>
      <c r="B525" s="2773"/>
      <c r="C525" s="2773"/>
      <c r="D525" s="2773"/>
      <c r="E525" s="2773"/>
      <c r="F525" s="2773"/>
      <c r="G525" s="2773"/>
      <c r="H525" s="2773"/>
      <c r="I525" s="2773"/>
      <c r="J525" s="2773"/>
      <c r="K525" s="2773"/>
      <c r="L525" s="2773"/>
      <c r="N525" s="2774"/>
      <c r="O525" s="2774"/>
    </row>
    <row r="526" spans="1:15" ht="13.5" thickBot="1">
      <c r="A526" s="2796"/>
      <c r="B526" s="2775"/>
      <c r="C526" s="2775"/>
      <c r="D526" s="2775"/>
      <c r="E526" s="2775"/>
      <c r="F526" s="2775"/>
      <c r="G526" s="2775"/>
      <c r="H526" s="2775"/>
      <c r="I526" s="2775"/>
      <c r="J526" s="2775"/>
      <c r="K526" s="2775"/>
      <c r="L526" s="2775"/>
      <c r="N526" s="2775"/>
      <c r="O526" s="2774"/>
    </row>
    <row r="527" spans="1:15" ht="13.5" thickBot="1">
      <c r="A527" s="2796"/>
      <c r="O527" s="2774"/>
    </row>
    <row r="528" spans="1:15" ht="13.5" thickBot="1">
      <c r="A528" s="2796"/>
      <c r="O528" s="2774"/>
    </row>
    <row r="529" spans="1:15" ht="13.5" thickBot="1">
      <c r="A529" s="2796"/>
      <c r="O529" s="2774"/>
    </row>
    <row r="530" spans="1:15" ht="13.5" thickBot="1">
      <c r="A530" s="2796"/>
      <c r="O530" s="2774"/>
    </row>
    <row r="531" spans="1:15" ht="13.5" thickBot="1">
      <c r="A531" s="2796"/>
      <c r="O531" s="2774"/>
    </row>
    <row r="532" spans="1:15" ht="13.5" thickBot="1">
      <c r="A532" s="2796"/>
      <c r="O532" s="2774"/>
    </row>
    <row r="533" spans="1:15">
      <c r="A533" s="2797"/>
      <c r="O533" s="2775"/>
    </row>
  </sheetData>
  <mergeCells count="132">
    <mergeCell ref="O175:O181"/>
    <mergeCell ref="O182:O186"/>
    <mergeCell ref="A175:A186"/>
    <mergeCell ref="C177:C181"/>
    <mergeCell ref="M182:M186"/>
    <mergeCell ref="N182:N186"/>
    <mergeCell ref="C183:C186"/>
    <mergeCell ref="O157:O169"/>
    <mergeCell ref="O170:O174"/>
    <mergeCell ref="M104:M108"/>
    <mergeCell ref="A157:A174"/>
    <mergeCell ref="C159:C167"/>
    <mergeCell ref="M170:M174"/>
    <mergeCell ref="N170:N174"/>
    <mergeCell ref="C171:C174"/>
    <mergeCell ref="A147:A156"/>
    <mergeCell ref="A73:A84"/>
    <mergeCell ref="C93:C96"/>
    <mergeCell ref="A97:A108"/>
    <mergeCell ref="C99:C103"/>
    <mergeCell ref="N104:N108"/>
    <mergeCell ref="C105:C108"/>
    <mergeCell ref="C75:C79"/>
    <mergeCell ref="N80:N84"/>
    <mergeCell ref="C81:C84"/>
    <mergeCell ref="A85:A96"/>
    <mergeCell ref="A109:A121"/>
    <mergeCell ref="O122:O129"/>
    <mergeCell ref="O132:O134"/>
    <mergeCell ref="C149:C150"/>
    <mergeCell ref="N154:N156"/>
    <mergeCell ref="C155:C156"/>
    <mergeCell ref="M154:M156"/>
    <mergeCell ref="A135:A146"/>
    <mergeCell ref="N144:N146"/>
    <mergeCell ref="C145:C146"/>
    <mergeCell ref="C137:C143"/>
    <mergeCell ref="M144:M146"/>
    <mergeCell ref="O135:O138"/>
    <mergeCell ref="O147:O150"/>
    <mergeCell ref="O144:O146"/>
    <mergeCell ref="O154:O156"/>
    <mergeCell ref="A122:A134"/>
    <mergeCell ref="C124:C129"/>
    <mergeCell ref="N132:N134"/>
    <mergeCell ref="C133:C134"/>
    <mergeCell ref="M132:M134"/>
    <mergeCell ref="A3:O3"/>
    <mergeCell ref="C4:C5"/>
    <mergeCell ref="D4:D5"/>
    <mergeCell ref="O4:O5"/>
    <mergeCell ref="N4:N5"/>
    <mergeCell ref="B4:B5"/>
    <mergeCell ref="A4:A5"/>
    <mergeCell ref="M4:M5"/>
    <mergeCell ref="A24:A43"/>
    <mergeCell ref="C26:C37"/>
    <mergeCell ref="C39:C43"/>
    <mergeCell ref="N38:N43"/>
    <mergeCell ref="M18:M23"/>
    <mergeCell ref="M38:M43"/>
    <mergeCell ref="N18:N23"/>
    <mergeCell ref="F4:F5"/>
    <mergeCell ref="G4:L4"/>
    <mergeCell ref="O24:O37"/>
    <mergeCell ref="O44:O52"/>
    <mergeCell ref="C87:C91"/>
    <mergeCell ref="N92:N96"/>
    <mergeCell ref="O55:O59"/>
    <mergeCell ref="A61:A72"/>
    <mergeCell ref="C63:C67"/>
    <mergeCell ref="C69:C72"/>
    <mergeCell ref="N68:N72"/>
    <mergeCell ref="A44:A59"/>
    <mergeCell ref="C46:C52"/>
    <mergeCell ref="C56:C59"/>
    <mergeCell ref="N55:N59"/>
    <mergeCell ref="M55:M59"/>
    <mergeCell ref="M68:M72"/>
    <mergeCell ref="O61:O67"/>
    <mergeCell ref="O73:O79"/>
    <mergeCell ref="O85:O91"/>
    <mergeCell ref="M80:M84"/>
    <mergeCell ref="M92:M96"/>
    <mergeCell ref="A205:A219"/>
    <mergeCell ref="O205:O214"/>
    <mergeCell ref="C207:C212"/>
    <mergeCell ref="M215:M219"/>
    <mergeCell ref="N215:N219"/>
    <mergeCell ref="O215:O219"/>
    <mergeCell ref="C216:C219"/>
    <mergeCell ref="A187:A204"/>
    <mergeCell ref="O187:O199"/>
    <mergeCell ref="C189:C197"/>
    <mergeCell ref="M200:M204"/>
    <mergeCell ref="N200:N204"/>
    <mergeCell ref="O200:O204"/>
    <mergeCell ref="C201:C204"/>
    <mergeCell ref="N248:N252"/>
    <mergeCell ref="O248:O252"/>
    <mergeCell ref="C249:C252"/>
    <mergeCell ref="A220:A237"/>
    <mergeCell ref="O220:O232"/>
    <mergeCell ref="C222:C230"/>
    <mergeCell ref="M233:M237"/>
    <mergeCell ref="N233:N237"/>
    <mergeCell ref="O233:O237"/>
    <mergeCell ref="C234:C237"/>
    <mergeCell ref="O109:O116"/>
    <mergeCell ref="C111:C116"/>
    <mergeCell ref="M117:M121"/>
    <mergeCell ref="N117:N121"/>
    <mergeCell ref="C118:C121"/>
    <mergeCell ref="O97:O103"/>
    <mergeCell ref="A264:A281"/>
    <mergeCell ref="O264:O276"/>
    <mergeCell ref="C266:C274"/>
    <mergeCell ref="M277:M281"/>
    <mergeCell ref="N277:N281"/>
    <mergeCell ref="O277:O281"/>
    <mergeCell ref="C278:C281"/>
    <mergeCell ref="A253:A263"/>
    <mergeCell ref="O253:O258"/>
    <mergeCell ref="C255:C258"/>
    <mergeCell ref="M259:M263"/>
    <mergeCell ref="N259:N263"/>
    <mergeCell ref="O259:O263"/>
    <mergeCell ref="C260:C263"/>
    <mergeCell ref="A238:A252"/>
    <mergeCell ref="O238:O247"/>
    <mergeCell ref="C240:C245"/>
    <mergeCell ref="M248:M252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36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</oddHeader>
    <oddFooter>&amp;C&amp;8&amp;P</oddFooter>
  </headerFooter>
  <rowBreaks count="3" manualBreakCount="3">
    <brk id="72" max="14" man="1"/>
    <brk id="186" max="14" man="1"/>
    <brk id="252" max="14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W533"/>
  <sheetViews>
    <sheetView showGridLines="0" view="pageBreakPreview" zoomScaleSheetLayoutView="100" workbookViewId="0">
      <selection activeCell="B107" sqref="B107:B121"/>
    </sheetView>
  </sheetViews>
  <sheetFormatPr defaultColWidth="9.140625" defaultRowHeight="12.75"/>
  <cols>
    <col min="1" max="1" width="3.7109375" style="301" customWidth="1"/>
    <col min="2" max="2" width="54.7109375" style="302" customWidth="1"/>
    <col min="3" max="3" width="9.85546875" style="302" customWidth="1"/>
    <col min="4" max="4" width="13.7109375" style="302" customWidth="1"/>
    <col min="5" max="5" width="11.85546875" style="302" customWidth="1"/>
    <col min="6" max="6" width="10.140625" style="302" customWidth="1"/>
    <col min="7" max="7" width="10.85546875" style="302" customWidth="1"/>
    <col min="8" max="8" width="10.28515625" style="302" customWidth="1"/>
    <col min="9" max="9" width="10.85546875" style="302" customWidth="1"/>
    <col min="10" max="10" width="10.5703125" style="302" customWidth="1"/>
    <col min="11" max="11" width="10" style="302" customWidth="1"/>
    <col min="12" max="12" width="10.140625" style="302" customWidth="1"/>
    <col min="13" max="13" width="13.42578125" style="302" hidden="1" customWidth="1"/>
    <col min="14" max="14" width="13" style="302" customWidth="1"/>
    <col min="15" max="15" width="14.28515625" style="368" customWidth="1"/>
    <col min="16" max="16" width="11.5703125" style="367" hidden="1" customWidth="1"/>
    <col min="17" max="17" width="10.140625" style="367" hidden="1" customWidth="1"/>
    <col min="18" max="18" width="10.7109375" style="367" hidden="1" customWidth="1"/>
    <col min="19" max="19" width="0" style="367" hidden="1" customWidth="1"/>
    <col min="20" max="20" width="10.140625" style="367" customWidth="1"/>
    <col min="21" max="21" width="9.140625" style="367"/>
    <col min="22" max="22" width="10.7109375" style="367" customWidth="1"/>
    <col min="23" max="23" width="10.140625" style="367" bestFit="1" customWidth="1"/>
    <col min="24" max="31" width="9.140625" style="367"/>
    <col min="32" max="32" width="8.5703125" style="367" customWidth="1"/>
    <col min="33" max="44" width="9.140625" style="367"/>
    <col min="45" max="45" width="8.7109375" style="367" customWidth="1"/>
    <col min="46" max="55" width="9.140625" style="367"/>
    <col min="56" max="56" width="4.28515625" style="367" customWidth="1"/>
    <col min="57" max="66" width="9.140625" style="367"/>
    <col min="67" max="67" width="5" style="367" customWidth="1"/>
    <col min="68" max="77" width="9.140625" style="367"/>
    <col min="78" max="78" width="3.85546875" style="367" customWidth="1"/>
    <col min="79" max="90" width="9.140625" style="367"/>
    <col min="91" max="91" width="5.28515625" style="367" customWidth="1"/>
    <col min="92" max="103" width="9.140625" style="367"/>
    <col min="104" max="104" width="1.5703125" style="367" customWidth="1"/>
    <col min="105" max="117" width="9.140625" style="367"/>
    <col min="118" max="118" width="0.7109375" style="367" customWidth="1"/>
    <col min="119" max="130" width="9.140625" style="367"/>
    <col min="131" max="131" width="8.28515625" style="367" customWidth="1"/>
    <col min="132" max="140" width="9.140625" style="367"/>
    <col min="141" max="141" width="0.28515625" style="367" customWidth="1"/>
    <col min="142" max="167" width="9.140625" style="367"/>
    <col min="168" max="168" width="0.7109375" style="367" customWidth="1"/>
    <col min="169" max="16384" width="9.140625" style="367"/>
  </cols>
  <sheetData>
    <row r="1" spans="1:19" ht="17.25" customHeight="1">
      <c r="D1" s="305"/>
      <c r="E1" s="305"/>
      <c r="H1" s="307" t="s">
        <v>498</v>
      </c>
      <c r="I1" s="6"/>
      <c r="J1" s="6"/>
      <c r="K1" s="6"/>
      <c r="L1" s="6"/>
      <c r="M1" s="6"/>
      <c r="N1" s="6"/>
      <c r="O1" s="7"/>
    </row>
    <row r="2" spans="1:19" ht="36.75" customHeight="1" thickBot="1">
      <c r="A2" s="3912" t="s">
        <v>540</v>
      </c>
      <c r="B2" s="3913"/>
      <c r="C2" s="3913"/>
      <c r="D2" s="3913"/>
      <c r="E2" s="3913"/>
      <c r="F2" s="3913"/>
      <c r="G2" s="3913"/>
      <c r="H2" s="3913"/>
      <c r="I2" s="3913"/>
      <c r="J2" s="3913"/>
      <c r="K2" s="3913"/>
      <c r="L2" s="3913"/>
      <c r="M2" s="3913"/>
      <c r="N2" s="3913"/>
      <c r="O2" s="3914"/>
    </row>
    <row r="3" spans="1:19" s="226" customFormat="1" ht="75.75" customHeight="1">
      <c r="A3" s="3796" t="s">
        <v>74</v>
      </c>
      <c r="B3" s="3798" t="s">
        <v>75</v>
      </c>
      <c r="C3" s="3774" t="s">
        <v>71</v>
      </c>
      <c r="D3" s="3776" t="s">
        <v>72</v>
      </c>
      <c r="E3" s="3078" t="s">
        <v>229</v>
      </c>
      <c r="F3" s="3794" t="s">
        <v>436</v>
      </c>
      <c r="G3" s="3791" t="s">
        <v>392</v>
      </c>
      <c r="H3" s="3792"/>
      <c r="I3" s="3792"/>
      <c r="J3" s="3792"/>
      <c r="K3" s="3792"/>
      <c r="L3" s="3793"/>
      <c r="M3" s="3783" t="s">
        <v>406</v>
      </c>
      <c r="N3" s="3783" t="s">
        <v>450</v>
      </c>
      <c r="O3" s="3778" t="s">
        <v>73</v>
      </c>
    </row>
    <row r="4" spans="1:19" s="226" customFormat="1" ht="18.75" customHeight="1" thickBot="1">
      <c r="A4" s="3797"/>
      <c r="B4" s="3799"/>
      <c r="C4" s="3775"/>
      <c r="D4" s="3777"/>
      <c r="E4" s="2614" t="s">
        <v>381</v>
      </c>
      <c r="F4" s="3795"/>
      <c r="G4" s="3063" t="s">
        <v>6</v>
      </c>
      <c r="H4" s="3063" t="s">
        <v>179</v>
      </c>
      <c r="I4" s="3063" t="s">
        <v>181</v>
      </c>
      <c r="J4" s="3063" t="s">
        <v>220</v>
      </c>
      <c r="K4" s="3063" t="s">
        <v>221</v>
      </c>
      <c r="L4" s="3063" t="s">
        <v>219</v>
      </c>
      <c r="M4" s="3784"/>
      <c r="N4" s="3784"/>
      <c r="O4" s="3779"/>
      <c r="P4" s="426"/>
      <c r="Q4" s="426"/>
    </row>
    <row r="5" spans="1:19" s="250" customFormat="1" ht="12.75" customHeight="1" thickBot="1">
      <c r="A5" s="8">
        <v>1</v>
      </c>
      <c r="B5" s="9">
        <v>2</v>
      </c>
      <c r="C5" s="10">
        <v>3</v>
      </c>
      <c r="D5" s="11">
        <v>4</v>
      </c>
      <c r="E5" s="13">
        <v>5</v>
      </c>
      <c r="F5" s="12">
        <v>6</v>
      </c>
      <c r="G5" s="13">
        <v>7</v>
      </c>
      <c r="H5" s="13">
        <v>8</v>
      </c>
      <c r="I5" s="13">
        <v>9</v>
      </c>
      <c r="J5" s="13">
        <v>10</v>
      </c>
      <c r="K5" s="13">
        <v>11</v>
      </c>
      <c r="L5" s="13">
        <v>12</v>
      </c>
      <c r="M5" s="14">
        <v>13</v>
      </c>
      <c r="N5" s="14">
        <v>13</v>
      </c>
      <c r="O5" s="15">
        <v>14</v>
      </c>
      <c r="P5" s="249"/>
      <c r="Q5" s="249"/>
    </row>
    <row r="6" spans="1:19" s="226" customFormat="1" ht="16.5" customHeight="1">
      <c r="A6" s="371"/>
      <c r="B6" s="229" t="s">
        <v>76</v>
      </c>
      <c r="C6" s="205"/>
      <c r="D6" s="206">
        <f>+D7+D8</f>
        <v>38992820</v>
      </c>
      <c r="E6" s="206">
        <f>+E7+E8</f>
        <v>0</v>
      </c>
      <c r="F6" s="206">
        <f t="shared" ref="F6:L6" si="0">+F7+F8</f>
        <v>0</v>
      </c>
      <c r="G6" s="206">
        <f t="shared" si="0"/>
        <v>5697680</v>
      </c>
      <c r="H6" s="206">
        <f t="shared" si="0"/>
        <v>15526840</v>
      </c>
      <c r="I6" s="206">
        <f t="shared" si="0"/>
        <v>15502869</v>
      </c>
      <c r="J6" s="206">
        <f t="shared" si="0"/>
        <v>2265431</v>
      </c>
      <c r="K6" s="206">
        <f t="shared" si="0"/>
        <v>0</v>
      </c>
      <c r="L6" s="206">
        <f t="shared" si="0"/>
        <v>0</v>
      </c>
      <c r="M6" s="16">
        <f>+M7+M8</f>
        <v>38992820</v>
      </c>
      <c r="N6" s="16">
        <f>+N7+N8</f>
        <v>38992820</v>
      </c>
      <c r="O6" s="728"/>
      <c r="P6" s="426"/>
    </row>
    <row r="7" spans="1:19" s="226" customFormat="1" ht="16.5" customHeight="1">
      <c r="A7" s="375"/>
      <c r="B7" s="220" t="s">
        <v>77</v>
      </c>
      <c r="C7" s="208"/>
      <c r="D7" s="209">
        <f>+D35</f>
        <v>1266343</v>
      </c>
      <c r="E7" s="209">
        <f>+E438+E456+E374+E389</f>
        <v>0</v>
      </c>
      <c r="F7" s="209">
        <f t="shared" ref="F7" si="1">+F438+F456+F374+F389</f>
        <v>0</v>
      </c>
      <c r="G7" s="209">
        <f>+G35</f>
        <v>189594</v>
      </c>
      <c r="H7" s="209">
        <f t="shared" ref="H7:J7" si="2">+H35</f>
        <v>514124</v>
      </c>
      <c r="I7" s="209">
        <f t="shared" si="2"/>
        <v>490892</v>
      </c>
      <c r="J7" s="209">
        <f t="shared" si="2"/>
        <v>71733</v>
      </c>
      <c r="K7" s="209">
        <f t="shared" ref="K7:L7" si="3">+K438+K456+K374</f>
        <v>0</v>
      </c>
      <c r="L7" s="209">
        <f t="shared" si="3"/>
        <v>0</v>
      </c>
      <c r="M7" s="894">
        <f>SUM(F7:K7)</f>
        <v>1266343</v>
      </c>
      <c r="N7" s="894">
        <f>SUM(G7:L7)</f>
        <v>1266343</v>
      </c>
      <c r="O7" s="729"/>
    </row>
    <row r="8" spans="1:19" s="226" customFormat="1" ht="16.5" customHeight="1" thickBot="1">
      <c r="A8" s="375"/>
      <c r="B8" s="2709" t="s">
        <v>9</v>
      </c>
      <c r="C8" s="731"/>
      <c r="D8" s="732">
        <f>+D24+D26+D28</f>
        <v>37726477</v>
      </c>
      <c r="E8" s="732">
        <f t="shared" ref="E8:L8" si="4">+E24+E26+E28</f>
        <v>0</v>
      </c>
      <c r="F8" s="732">
        <f t="shared" si="4"/>
        <v>0</v>
      </c>
      <c r="G8" s="732">
        <f t="shared" si="4"/>
        <v>5508086</v>
      </c>
      <c r="H8" s="732">
        <f t="shared" si="4"/>
        <v>15012716</v>
      </c>
      <c r="I8" s="732">
        <f t="shared" si="4"/>
        <v>15011977</v>
      </c>
      <c r="J8" s="732">
        <f t="shared" si="4"/>
        <v>2193698</v>
      </c>
      <c r="K8" s="732">
        <f t="shared" si="4"/>
        <v>0</v>
      </c>
      <c r="L8" s="732">
        <f t="shared" si="4"/>
        <v>0</v>
      </c>
      <c r="M8" s="148">
        <f>SUM(F8:K8)</f>
        <v>37726477</v>
      </c>
      <c r="N8" s="148">
        <f>+J8+I8+H8+G8</f>
        <v>37726477</v>
      </c>
      <c r="O8" s="729"/>
    </row>
    <row r="9" spans="1:19" s="226" customFormat="1" ht="14.25" customHeight="1">
      <c r="A9" s="375"/>
      <c r="B9" s="177" t="s">
        <v>10</v>
      </c>
      <c r="C9" s="20"/>
      <c r="D9" s="733">
        <f t="shared" ref="D9:N9" si="5">+D10+D14</f>
        <v>39992442</v>
      </c>
      <c r="E9" s="733">
        <f t="shared" si="5"/>
        <v>0</v>
      </c>
      <c r="F9" s="733">
        <f t="shared" si="5"/>
        <v>0</v>
      </c>
      <c r="G9" s="733">
        <f t="shared" si="5"/>
        <v>5987579</v>
      </c>
      <c r="H9" s="733">
        <f t="shared" si="5"/>
        <v>16236563</v>
      </c>
      <c r="I9" s="733">
        <f t="shared" si="5"/>
        <v>15502869</v>
      </c>
      <c r="J9" s="733">
        <f t="shared" si="5"/>
        <v>2265431</v>
      </c>
      <c r="K9" s="733">
        <f t="shared" si="5"/>
        <v>0</v>
      </c>
      <c r="L9" s="733">
        <f t="shared" si="5"/>
        <v>0</v>
      </c>
      <c r="M9" s="734">
        <f t="shared" si="5"/>
        <v>39992442</v>
      </c>
      <c r="N9" s="734">
        <f t="shared" si="5"/>
        <v>39992442</v>
      </c>
      <c r="O9" s="659"/>
      <c r="P9" s="735"/>
      <c r="Q9" s="426"/>
      <c r="S9" s="426"/>
    </row>
    <row r="10" spans="1:19" s="738" customFormat="1" ht="14.25" customHeight="1">
      <c r="A10" s="375"/>
      <c r="B10" s="2710" t="s">
        <v>11</v>
      </c>
      <c r="C10" s="2433"/>
      <c r="D10" s="895">
        <f>+D11+D12+D13</f>
        <v>5998866</v>
      </c>
      <c r="E10" s="895">
        <f t="shared" ref="E10:L10" si="6">+E11+E12+E13</f>
        <v>0</v>
      </c>
      <c r="F10" s="895">
        <f t="shared" si="6"/>
        <v>0</v>
      </c>
      <c r="G10" s="895">
        <f t="shared" si="6"/>
        <v>898137</v>
      </c>
      <c r="H10" s="895">
        <f t="shared" si="6"/>
        <v>2435485</v>
      </c>
      <c r="I10" s="895">
        <f t="shared" si="6"/>
        <v>2325430</v>
      </c>
      <c r="J10" s="895">
        <f t="shared" si="6"/>
        <v>339814</v>
      </c>
      <c r="K10" s="895">
        <f t="shared" si="6"/>
        <v>0</v>
      </c>
      <c r="L10" s="895">
        <f t="shared" si="6"/>
        <v>0</v>
      </c>
      <c r="M10" s="2434">
        <f>SUM(M11:M13)</f>
        <v>5998866</v>
      </c>
      <c r="N10" s="2434">
        <f>SUM(N11:N13)</f>
        <v>5998866</v>
      </c>
      <c r="O10" s="736"/>
      <c r="P10" s="737"/>
      <c r="Q10" s="735"/>
    </row>
    <row r="11" spans="1:19" s="226" customFormat="1" ht="14.25" customHeight="1">
      <c r="A11" s="375"/>
      <c r="B11" s="2439" t="s">
        <v>127</v>
      </c>
      <c r="C11" s="739"/>
      <c r="D11" s="896">
        <f>+D24+D37</f>
        <v>1000000</v>
      </c>
      <c r="E11" s="896">
        <f t="shared" ref="E11:L11" si="7">+E24</f>
        <v>0</v>
      </c>
      <c r="F11" s="896">
        <f t="shared" si="7"/>
        <v>0</v>
      </c>
      <c r="G11" s="896">
        <f>+G24+G37</f>
        <v>9480</v>
      </c>
      <c r="H11" s="896">
        <f>+H24+H37</f>
        <v>102106</v>
      </c>
      <c r="I11" s="896">
        <f>+I24+I37</f>
        <v>775143</v>
      </c>
      <c r="J11" s="896">
        <f>+J24+J37</f>
        <v>113271</v>
      </c>
      <c r="K11" s="896">
        <f t="shared" si="7"/>
        <v>0</v>
      </c>
      <c r="L11" s="896">
        <f t="shared" si="7"/>
        <v>0</v>
      </c>
      <c r="M11" s="2435">
        <f>SUM(F11:K11)</f>
        <v>1000000</v>
      </c>
      <c r="N11" s="2435">
        <f>SUM(G11:L11)</f>
        <v>1000000</v>
      </c>
      <c r="O11" s="659"/>
      <c r="P11" s="426"/>
      <c r="Q11" s="426"/>
      <c r="S11" s="426"/>
    </row>
    <row r="12" spans="1:19" s="226" customFormat="1" ht="14.25" customHeight="1">
      <c r="A12" s="375"/>
      <c r="B12" s="2439" t="s">
        <v>32</v>
      </c>
      <c r="C12" s="2436"/>
      <c r="D12" s="896">
        <f>+D25</f>
        <v>999622</v>
      </c>
      <c r="E12" s="896">
        <f t="shared" ref="E12:L12" si="8">+E25</f>
        <v>0</v>
      </c>
      <c r="F12" s="896">
        <f t="shared" si="8"/>
        <v>0</v>
      </c>
      <c r="G12" s="896">
        <f t="shared" si="8"/>
        <v>289899</v>
      </c>
      <c r="H12" s="896">
        <f t="shared" si="8"/>
        <v>709723</v>
      </c>
      <c r="I12" s="896">
        <f t="shared" si="8"/>
        <v>0</v>
      </c>
      <c r="J12" s="896">
        <f t="shared" si="8"/>
        <v>0</v>
      </c>
      <c r="K12" s="896">
        <f t="shared" si="8"/>
        <v>0</v>
      </c>
      <c r="L12" s="896">
        <f t="shared" si="8"/>
        <v>0</v>
      </c>
      <c r="M12" s="2435">
        <f>SUM(E12:K12)</f>
        <v>999622</v>
      </c>
      <c r="N12" s="2435">
        <f>SUM(F12:L12)</f>
        <v>999622</v>
      </c>
      <c r="O12" s="742"/>
      <c r="P12" s="426"/>
    </row>
    <row r="13" spans="1:19" s="226" customFormat="1" ht="15.75" customHeight="1">
      <c r="A13" s="375"/>
      <c r="B13" s="2439" t="s">
        <v>537</v>
      </c>
      <c r="C13" s="739"/>
      <c r="D13" s="896">
        <f>+D26+D38</f>
        <v>3999244</v>
      </c>
      <c r="E13" s="896">
        <f t="shared" ref="E13:L13" si="9">+E26</f>
        <v>0</v>
      </c>
      <c r="F13" s="896">
        <f t="shared" si="9"/>
        <v>0</v>
      </c>
      <c r="G13" s="896">
        <f>+G26+G38</f>
        <v>598758</v>
      </c>
      <c r="H13" s="896">
        <f t="shared" ref="H13:J13" si="10">+H26+H38</f>
        <v>1623656</v>
      </c>
      <c r="I13" s="896">
        <f t="shared" si="10"/>
        <v>1550287</v>
      </c>
      <c r="J13" s="896">
        <f t="shared" si="10"/>
        <v>226543</v>
      </c>
      <c r="K13" s="896">
        <f t="shared" si="9"/>
        <v>0</v>
      </c>
      <c r="L13" s="896">
        <f t="shared" si="9"/>
        <v>0</v>
      </c>
      <c r="M13" s="862">
        <f>SUM(F13:K13)</f>
        <v>3999244</v>
      </c>
      <c r="N13" s="862">
        <f>SUM(G13:L13)</f>
        <v>3999244</v>
      </c>
      <c r="O13" s="742"/>
      <c r="P13" s="426"/>
    </row>
    <row r="14" spans="1:19" s="738" customFormat="1" ht="14.25" customHeight="1">
      <c r="A14" s="375"/>
      <c r="B14" s="2710" t="s">
        <v>18</v>
      </c>
      <c r="C14" s="743"/>
      <c r="D14" s="895">
        <f>+D15</f>
        <v>33993576</v>
      </c>
      <c r="E14" s="895">
        <f t="shared" ref="E14:K14" si="11">+E15</f>
        <v>0</v>
      </c>
      <c r="F14" s="895">
        <f t="shared" si="11"/>
        <v>0</v>
      </c>
      <c r="G14" s="895">
        <f t="shared" si="11"/>
        <v>5089442</v>
      </c>
      <c r="H14" s="895">
        <f t="shared" si="11"/>
        <v>13801078</v>
      </c>
      <c r="I14" s="895">
        <f t="shared" si="11"/>
        <v>13177439</v>
      </c>
      <c r="J14" s="895">
        <f t="shared" si="11"/>
        <v>1925617</v>
      </c>
      <c r="K14" s="895">
        <f t="shared" si="11"/>
        <v>0</v>
      </c>
      <c r="L14" s="895">
        <f>+L15</f>
        <v>0</v>
      </c>
      <c r="M14" s="2437">
        <f>+M15</f>
        <v>33993576</v>
      </c>
      <c r="N14" s="2437">
        <f>+N15</f>
        <v>33993576</v>
      </c>
      <c r="O14" s="744"/>
      <c r="P14" s="737"/>
      <c r="Q14" s="735"/>
    </row>
    <row r="15" spans="1:19" s="226" customFormat="1" ht="14.25" customHeight="1">
      <c r="A15" s="375"/>
      <c r="B15" s="2439" t="s">
        <v>21</v>
      </c>
      <c r="C15" s="2438"/>
      <c r="D15" s="896">
        <f>+D28+D40</f>
        <v>33993576</v>
      </c>
      <c r="E15" s="896">
        <f t="shared" ref="E15:L15" si="12">+E28</f>
        <v>0</v>
      </c>
      <c r="F15" s="896">
        <f t="shared" si="12"/>
        <v>0</v>
      </c>
      <c r="G15" s="896">
        <f>+G28+G40</f>
        <v>5089442</v>
      </c>
      <c r="H15" s="896">
        <f t="shared" ref="H15:J15" si="13">+H28+H40</f>
        <v>13801078</v>
      </c>
      <c r="I15" s="896">
        <f t="shared" si="13"/>
        <v>13177439</v>
      </c>
      <c r="J15" s="896">
        <f t="shared" si="13"/>
        <v>1925617</v>
      </c>
      <c r="K15" s="896">
        <f t="shared" si="12"/>
        <v>0</v>
      </c>
      <c r="L15" s="896">
        <f t="shared" si="12"/>
        <v>0</v>
      </c>
      <c r="M15" s="862">
        <f>SUM(F15:K15)</f>
        <v>33993576</v>
      </c>
      <c r="N15" s="862">
        <f>SUM(G15:L15)</f>
        <v>33993576</v>
      </c>
      <c r="O15" s="659"/>
      <c r="P15" s="426"/>
      <c r="Q15" s="426"/>
    </row>
    <row r="16" spans="1:19" s="226" customFormat="1" ht="14.25" customHeight="1">
      <c r="A16" s="375"/>
      <c r="B16" s="2440" t="s">
        <v>22</v>
      </c>
      <c r="C16" s="1475"/>
      <c r="D16" s="640">
        <f>+D17+D19</f>
        <v>37992820</v>
      </c>
      <c r="E16" s="640">
        <f t="shared" ref="E16:L16" si="14">+E17+E19</f>
        <v>0</v>
      </c>
      <c r="F16" s="640">
        <f t="shared" si="14"/>
        <v>0</v>
      </c>
      <c r="G16" s="640">
        <f t="shared" si="14"/>
        <v>5688200</v>
      </c>
      <c r="H16" s="640">
        <f t="shared" si="14"/>
        <v>15424734</v>
      </c>
      <c r="I16" s="640">
        <f t="shared" si="14"/>
        <v>14727726</v>
      </c>
      <c r="J16" s="640">
        <f t="shared" si="14"/>
        <v>2152160</v>
      </c>
      <c r="K16" s="640">
        <f t="shared" si="14"/>
        <v>0</v>
      </c>
      <c r="L16" s="640">
        <f t="shared" si="14"/>
        <v>0</v>
      </c>
      <c r="M16" s="3964"/>
      <c r="N16" s="3964" t="s">
        <v>61</v>
      </c>
      <c r="O16" s="659"/>
      <c r="P16" s="426"/>
      <c r="S16" s="735"/>
    </row>
    <row r="17" spans="1:17" s="226" customFormat="1" ht="14.25" customHeight="1">
      <c r="A17" s="375"/>
      <c r="B17" s="2441" t="s">
        <v>24</v>
      </c>
      <c r="C17" s="2442"/>
      <c r="D17" s="902">
        <f>+D18</f>
        <v>3999244</v>
      </c>
      <c r="E17" s="902">
        <f t="shared" ref="E17:L17" si="15">+E18</f>
        <v>0</v>
      </c>
      <c r="F17" s="902">
        <f t="shared" si="15"/>
        <v>0</v>
      </c>
      <c r="G17" s="902">
        <f t="shared" si="15"/>
        <v>598758</v>
      </c>
      <c r="H17" s="902">
        <f t="shared" si="15"/>
        <v>1623656</v>
      </c>
      <c r="I17" s="902">
        <f t="shared" si="15"/>
        <v>1550287</v>
      </c>
      <c r="J17" s="902">
        <f t="shared" si="15"/>
        <v>226543</v>
      </c>
      <c r="K17" s="902">
        <f t="shared" si="15"/>
        <v>0</v>
      </c>
      <c r="L17" s="902">
        <f t="shared" si="15"/>
        <v>0</v>
      </c>
      <c r="M17" s="3965"/>
      <c r="N17" s="3965"/>
      <c r="O17" s="659"/>
    </row>
    <row r="18" spans="1:17" s="226" customFormat="1" ht="14.25" customHeight="1">
      <c r="A18" s="375"/>
      <c r="B18" s="2711" t="s">
        <v>17</v>
      </c>
      <c r="C18" s="25"/>
      <c r="D18" s="896">
        <f>+D43+D31</f>
        <v>3999244</v>
      </c>
      <c r="E18" s="896">
        <f t="shared" ref="E18:L18" si="16">+E31</f>
        <v>0</v>
      </c>
      <c r="F18" s="896">
        <f t="shared" si="16"/>
        <v>0</v>
      </c>
      <c r="G18" s="896">
        <f>+G31+G43</f>
        <v>598758</v>
      </c>
      <c r="H18" s="896">
        <f t="shared" ref="H18:J18" si="17">+H31+H43</f>
        <v>1623656</v>
      </c>
      <c r="I18" s="896">
        <f t="shared" si="17"/>
        <v>1550287</v>
      </c>
      <c r="J18" s="896">
        <f t="shared" si="17"/>
        <v>226543</v>
      </c>
      <c r="K18" s="896">
        <f t="shared" si="16"/>
        <v>0</v>
      </c>
      <c r="L18" s="896">
        <f t="shared" si="16"/>
        <v>0</v>
      </c>
      <c r="M18" s="3965"/>
      <c r="N18" s="3965"/>
      <c r="O18" s="742"/>
      <c r="P18" s="426"/>
    </row>
    <row r="19" spans="1:17" s="226" customFormat="1" ht="14.25" customHeight="1">
      <c r="A19" s="375"/>
      <c r="B19" s="2443" t="s">
        <v>18</v>
      </c>
      <c r="C19" s="2444"/>
      <c r="D19" s="902">
        <f>+D20</f>
        <v>33993576</v>
      </c>
      <c r="E19" s="902">
        <f t="shared" ref="E19:L19" si="18">+E20</f>
        <v>0</v>
      </c>
      <c r="F19" s="902">
        <f t="shared" si="18"/>
        <v>0</v>
      </c>
      <c r="G19" s="902">
        <f t="shared" si="18"/>
        <v>5089442</v>
      </c>
      <c r="H19" s="902">
        <f t="shared" si="18"/>
        <v>13801078</v>
      </c>
      <c r="I19" s="902">
        <f t="shared" si="18"/>
        <v>13177439</v>
      </c>
      <c r="J19" s="902">
        <f t="shared" si="18"/>
        <v>1925617</v>
      </c>
      <c r="K19" s="902">
        <f t="shared" si="18"/>
        <v>0</v>
      </c>
      <c r="L19" s="902">
        <f t="shared" si="18"/>
        <v>0</v>
      </c>
      <c r="M19" s="3965"/>
      <c r="N19" s="3965"/>
      <c r="O19" s="742"/>
      <c r="P19" s="426"/>
    </row>
    <row r="20" spans="1:17" s="226" customFormat="1" ht="15" customHeight="1" thickBot="1">
      <c r="A20" s="377"/>
      <c r="B20" s="2712" t="s">
        <v>21</v>
      </c>
      <c r="C20" s="2713"/>
      <c r="D20" s="2714">
        <f>+D33+D45</f>
        <v>33993576</v>
      </c>
      <c r="E20" s="2714">
        <f t="shared" ref="E20:L20" si="19">+E33</f>
        <v>0</v>
      </c>
      <c r="F20" s="2714">
        <f t="shared" si="19"/>
        <v>0</v>
      </c>
      <c r="G20" s="2714">
        <f>+G33+G45</f>
        <v>5089442</v>
      </c>
      <c r="H20" s="2714">
        <f t="shared" ref="H20:J20" si="20">+H33+H45</f>
        <v>13801078</v>
      </c>
      <c r="I20" s="2714">
        <f t="shared" si="20"/>
        <v>13177439</v>
      </c>
      <c r="J20" s="2714">
        <f t="shared" si="20"/>
        <v>1925617</v>
      </c>
      <c r="K20" s="2714">
        <f t="shared" si="19"/>
        <v>0</v>
      </c>
      <c r="L20" s="2714">
        <f t="shared" si="19"/>
        <v>0</v>
      </c>
      <c r="M20" s="3966"/>
      <c r="N20" s="3966"/>
      <c r="O20" s="2447"/>
    </row>
    <row r="21" spans="1:17" ht="27.75" customHeight="1">
      <c r="A21" s="3967" t="s">
        <v>63</v>
      </c>
      <c r="B21" s="180" t="s">
        <v>549</v>
      </c>
      <c r="C21" s="584" t="s">
        <v>81</v>
      </c>
      <c r="D21" s="3239"/>
      <c r="E21" s="3176"/>
      <c r="F21" s="3176"/>
      <c r="G21" s="3176"/>
      <c r="H21" s="3240"/>
      <c r="I21" s="3240"/>
      <c r="J21" s="3240"/>
      <c r="K21" s="3176"/>
      <c r="L21" s="3241"/>
      <c r="M21" s="3242"/>
      <c r="N21" s="3242"/>
      <c r="O21" s="3961" t="s">
        <v>538</v>
      </c>
    </row>
    <row r="22" spans="1:17" ht="12" customHeight="1">
      <c r="A22" s="3968"/>
      <c r="B22" s="2422" t="s">
        <v>10</v>
      </c>
      <c r="C22" s="3243"/>
      <c r="D22" s="3244">
        <f>+D23+D27</f>
        <v>38726099</v>
      </c>
      <c r="E22" s="3245">
        <v>0</v>
      </c>
      <c r="F22" s="3245">
        <v>0</v>
      </c>
      <c r="G22" s="586">
        <f>+G23+G27</f>
        <v>5797985</v>
      </c>
      <c r="H22" s="586">
        <f>+H23+H27</f>
        <v>15722439</v>
      </c>
      <c r="I22" s="586">
        <f>+I23+I27</f>
        <v>15011977</v>
      </c>
      <c r="J22" s="586">
        <f>+J23+J27</f>
        <v>2193698</v>
      </c>
      <c r="K22" s="3245">
        <v>0</v>
      </c>
      <c r="L22" s="3245">
        <v>0</v>
      </c>
      <c r="M22" s="3246">
        <f>+M23+M27</f>
        <v>3872611</v>
      </c>
      <c r="N22" s="3246">
        <f>+N23+N27</f>
        <v>37726477</v>
      </c>
      <c r="O22" s="3962"/>
      <c r="P22" s="2715"/>
    </row>
    <row r="23" spans="1:17" ht="12" customHeight="1">
      <c r="A23" s="3968"/>
      <c r="B23" s="3247" t="s">
        <v>24</v>
      </c>
      <c r="C23" s="3970" t="s">
        <v>536</v>
      </c>
      <c r="D23" s="3248">
        <f>+D24+D25+D26</f>
        <v>5808915</v>
      </c>
      <c r="E23" s="3249">
        <v>0</v>
      </c>
      <c r="F23" s="3249">
        <v>0</v>
      </c>
      <c r="G23" s="3250">
        <f>+G24+G25+G26</f>
        <v>869698</v>
      </c>
      <c r="H23" s="3250">
        <f>+H24+H25+H26</f>
        <v>2358366</v>
      </c>
      <c r="I23" s="3250">
        <f>+I24+I25+I26</f>
        <v>2251796</v>
      </c>
      <c r="J23" s="3250">
        <f>+J24+J25+J26</f>
        <v>329055</v>
      </c>
      <c r="K23" s="3249">
        <v>0</v>
      </c>
      <c r="L23" s="3249">
        <v>0</v>
      </c>
      <c r="M23" s="3251">
        <f>+M26</f>
        <v>3872611</v>
      </c>
      <c r="N23" s="3251">
        <f>+N24+N26</f>
        <v>4809293</v>
      </c>
      <c r="O23" s="3962"/>
    </row>
    <row r="24" spans="1:17" ht="12" customHeight="1">
      <c r="A24" s="3968"/>
      <c r="B24" s="3252" t="s">
        <v>127</v>
      </c>
      <c r="C24" s="3971"/>
      <c r="D24" s="1458">
        <f>+G24+H24+I24+J24</f>
        <v>936682</v>
      </c>
      <c r="E24" s="3249">
        <v>0</v>
      </c>
      <c r="F24" s="3249">
        <v>0</v>
      </c>
      <c r="G24" s="1575">
        <v>0</v>
      </c>
      <c r="H24" s="1575">
        <v>76399</v>
      </c>
      <c r="I24" s="1575">
        <v>750598</v>
      </c>
      <c r="J24" s="1575">
        <v>109685</v>
      </c>
      <c r="K24" s="3249">
        <v>0</v>
      </c>
      <c r="L24" s="3249">
        <v>0</v>
      </c>
      <c r="M24" s="3251"/>
      <c r="N24" s="3253">
        <f>+J24+I24+H24+G24</f>
        <v>936682</v>
      </c>
      <c r="O24" s="3962"/>
    </row>
    <row r="25" spans="1:17" ht="12" customHeight="1">
      <c r="A25" s="3968"/>
      <c r="B25" s="3254" t="s">
        <v>32</v>
      </c>
      <c r="C25" s="3971"/>
      <c r="D25" s="1458">
        <f>+G25+H25+I25+J25</f>
        <v>999622</v>
      </c>
      <c r="E25" s="3255">
        <v>0</v>
      </c>
      <c r="F25" s="2159">
        <v>0</v>
      </c>
      <c r="G25" s="1575">
        <v>289899</v>
      </c>
      <c r="H25" s="1575">
        <v>709723</v>
      </c>
      <c r="I25" s="1575">
        <v>0</v>
      </c>
      <c r="J25" s="1575">
        <v>0</v>
      </c>
      <c r="K25" s="2159">
        <v>0</v>
      </c>
      <c r="L25" s="2159">
        <v>0</v>
      </c>
      <c r="M25" s="3256" t="s">
        <v>61</v>
      </c>
      <c r="N25" s="3256" t="s">
        <v>61</v>
      </c>
      <c r="O25" s="3962"/>
      <c r="Q25" s="2715"/>
    </row>
    <row r="26" spans="1:17" ht="12" customHeight="1">
      <c r="A26" s="3968"/>
      <c r="B26" s="3257" t="s">
        <v>537</v>
      </c>
      <c r="C26" s="3971"/>
      <c r="D26" s="1458">
        <f>E26+F26+G26+H26+I26+J26+K26+L26</f>
        <v>3872611</v>
      </c>
      <c r="E26" s="3255">
        <v>0</v>
      </c>
      <c r="F26" s="2159">
        <v>0</v>
      </c>
      <c r="G26" s="1575">
        <v>579799</v>
      </c>
      <c r="H26" s="1575">
        <v>1572244</v>
      </c>
      <c r="I26" s="1575">
        <v>1501198</v>
      </c>
      <c r="J26" s="1575">
        <v>219370</v>
      </c>
      <c r="K26" s="2159">
        <v>0</v>
      </c>
      <c r="L26" s="2159">
        <v>0</v>
      </c>
      <c r="M26" s="3258">
        <f>SUM(F26:K26)</f>
        <v>3872611</v>
      </c>
      <c r="N26" s="3258">
        <f t="shared" ref="N26" si="21">SUM(G26:L26)</f>
        <v>3872611</v>
      </c>
      <c r="O26" s="3962"/>
    </row>
    <row r="27" spans="1:17" ht="12" customHeight="1">
      <c r="A27" s="3968"/>
      <c r="B27" s="3247" t="s">
        <v>18</v>
      </c>
      <c r="C27" s="3971"/>
      <c r="D27" s="3250">
        <f>+D28</f>
        <v>32917184</v>
      </c>
      <c r="E27" s="3255">
        <v>0</v>
      </c>
      <c r="F27" s="2159">
        <v>0</v>
      </c>
      <c r="G27" s="3250">
        <f>+G28</f>
        <v>4928287</v>
      </c>
      <c r="H27" s="3250">
        <f t="shared" ref="H27:J27" si="22">+H28</f>
        <v>13364073</v>
      </c>
      <c r="I27" s="3250">
        <f t="shared" si="22"/>
        <v>12760181</v>
      </c>
      <c r="J27" s="3250">
        <f t="shared" si="22"/>
        <v>1864643</v>
      </c>
      <c r="K27" s="3259">
        <v>0</v>
      </c>
      <c r="L27" s="3259">
        <v>0</v>
      </c>
      <c r="M27" s="3260"/>
      <c r="N27" s="3260">
        <f>+N28</f>
        <v>32917184</v>
      </c>
      <c r="O27" s="3962"/>
    </row>
    <row r="28" spans="1:17" ht="12" customHeight="1">
      <c r="A28" s="3968"/>
      <c r="B28" s="3257" t="s">
        <v>539</v>
      </c>
      <c r="C28" s="3972"/>
      <c r="D28" s="1458">
        <f>+E28+F28+G28+H28+I28+J28</f>
        <v>32917184</v>
      </c>
      <c r="E28" s="3255">
        <v>0</v>
      </c>
      <c r="F28" s="2159">
        <v>0</v>
      </c>
      <c r="G28" s="1575">
        <v>4928287</v>
      </c>
      <c r="H28" s="1575">
        <v>13364073</v>
      </c>
      <c r="I28" s="1575">
        <v>12760181</v>
      </c>
      <c r="J28" s="1575">
        <v>1864643</v>
      </c>
      <c r="K28" s="3259">
        <v>0</v>
      </c>
      <c r="L28" s="3259">
        <v>0</v>
      </c>
      <c r="M28" s="3261"/>
      <c r="N28" s="3261">
        <f>+J28+I28+H28+G28</f>
        <v>32917184</v>
      </c>
      <c r="O28" s="3962"/>
    </row>
    <row r="29" spans="1:17" ht="12" customHeight="1">
      <c r="A29" s="3968"/>
      <c r="B29" s="2422" t="s">
        <v>22</v>
      </c>
      <c r="C29" s="3243"/>
      <c r="D29" s="586">
        <f>+D30+D32</f>
        <v>36789795</v>
      </c>
      <c r="E29" s="3245">
        <f>+E30+E32</f>
        <v>0</v>
      </c>
      <c r="F29" s="3245">
        <f>+F30+F32</f>
        <v>0</v>
      </c>
      <c r="G29" s="1334">
        <f>+G30+G32</f>
        <v>5508086</v>
      </c>
      <c r="H29" s="1334">
        <f t="shared" ref="H29:J29" si="23">+H30+H32</f>
        <v>14936317</v>
      </c>
      <c r="I29" s="1334">
        <f t="shared" si="23"/>
        <v>14261379</v>
      </c>
      <c r="J29" s="1334">
        <f t="shared" si="23"/>
        <v>2084013</v>
      </c>
      <c r="K29" s="3245">
        <v>0</v>
      </c>
      <c r="L29" s="3245">
        <v>0</v>
      </c>
      <c r="M29" s="3973" t="s">
        <v>61</v>
      </c>
      <c r="N29" s="3973" t="s">
        <v>61</v>
      </c>
      <c r="O29" s="3962" t="s">
        <v>541</v>
      </c>
    </row>
    <row r="30" spans="1:17" ht="12" customHeight="1">
      <c r="A30" s="3968"/>
      <c r="B30" s="2478" t="s">
        <v>24</v>
      </c>
      <c r="C30" s="3974" t="s">
        <v>191</v>
      </c>
      <c r="D30" s="1563">
        <f>+D31</f>
        <v>3872611</v>
      </c>
      <c r="E30" s="2342">
        <f>+E31</f>
        <v>0</v>
      </c>
      <c r="F30" s="2342">
        <f>+F31</f>
        <v>0</v>
      </c>
      <c r="G30" s="3250">
        <f>+G31</f>
        <v>579799</v>
      </c>
      <c r="H30" s="3250">
        <f t="shared" ref="H30:J30" si="24">+H31</f>
        <v>1572244</v>
      </c>
      <c r="I30" s="3250">
        <f t="shared" si="24"/>
        <v>1501198</v>
      </c>
      <c r="J30" s="3250">
        <f t="shared" si="24"/>
        <v>219370</v>
      </c>
      <c r="K30" s="2342">
        <v>0</v>
      </c>
      <c r="L30" s="2342">
        <v>0</v>
      </c>
      <c r="M30" s="3973"/>
      <c r="N30" s="3973"/>
      <c r="O30" s="3962"/>
    </row>
    <row r="31" spans="1:17" ht="12" customHeight="1">
      <c r="A31" s="3968"/>
      <c r="B31" s="3257" t="s">
        <v>537</v>
      </c>
      <c r="C31" s="3975"/>
      <c r="D31" s="1458">
        <f>+G31+H31+I31+J31</f>
        <v>3872611</v>
      </c>
      <c r="E31" s="3255">
        <v>0</v>
      </c>
      <c r="F31" s="3255">
        <v>0</v>
      </c>
      <c r="G31" s="1575">
        <v>579799</v>
      </c>
      <c r="H31" s="1575">
        <v>1572244</v>
      </c>
      <c r="I31" s="1575">
        <v>1501198</v>
      </c>
      <c r="J31" s="1575">
        <v>219370</v>
      </c>
      <c r="K31" s="2159">
        <v>0</v>
      </c>
      <c r="L31" s="2159">
        <v>0</v>
      </c>
      <c r="M31" s="3973"/>
      <c r="N31" s="3973"/>
      <c r="O31" s="3962"/>
      <c r="Q31" s="2715">
        <f>+D26+D38</f>
        <v>3999244</v>
      </c>
    </row>
    <row r="32" spans="1:17" ht="12" customHeight="1">
      <c r="A32" s="3968"/>
      <c r="B32" s="2480" t="s">
        <v>18</v>
      </c>
      <c r="C32" s="3975"/>
      <c r="D32" s="3250">
        <f t="shared" ref="D32:J32" si="25">+D33</f>
        <v>32917184</v>
      </c>
      <c r="E32" s="3255">
        <f t="shared" si="25"/>
        <v>0</v>
      </c>
      <c r="F32" s="1791">
        <f t="shared" si="25"/>
        <v>0</v>
      </c>
      <c r="G32" s="3250">
        <f t="shared" si="25"/>
        <v>4928287</v>
      </c>
      <c r="H32" s="3250">
        <f t="shared" si="25"/>
        <v>13364073</v>
      </c>
      <c r="I32" s="3250">
        <f t="shared" si="25"/>
        <v>12760181</v>
      </c>
      <c r="J32" s="3250">
        <f t="shared" si="25"/>
        <v>1864643</v>
      </c>
      <c r="K32" s="1371">
        <v>0</v>
      </c>
      <c r="L32" s="1371">
        <v>0</v>
      </c>
      <c r="M32" s="3258"/>
      <c r="N32" s="3258"/>
      <c r="O32" s="3962"/>
      <c r="Q32" s="2715">
        <f>+D33+D45</f>
        <v>33993576</v>
      </c>
    </row>
    <row r="33" spans="1:17" ht="12" customHeight="1" thickBot="1">
      <c r="A33" s="3969"/>
      <c r="B33" s="344" t="s">
        <v>21</v>
      </c>
      <c r="C33" s="3976"/>
      <c r="D33" s="1766">
        <f>+E33+F33+G33+H33+I33+J33</f>
        <v>32917184</v>
      </c>
      <c r="E33" s="3262"/>
      <c r="F33" s="1792"/>
      <c r="G33" s="1579">
        <v>4928287</v>
      </c>
      <c r="H33" s="1579">
        <v>13364073</v>
      </c>
      <c r="I33" s="1579">
        <v>12760181</v>
      </c>
      <c r="J33" s="1579">
        <v>1864643</v>
      </c>
      <c r="K33" s="1792">
        <v>0</v>
      </c>
      <c r="L33" s="1792">
        <v>0</v>
      </c>
      <c r="M33" s="3263"/>
      <c r="N33" s="3263"/>
      <c r="O33" s="3963"/>
      <c r="Q33" s="2715">
        <f>+Q31+Q32</f>
        <v>37992820</v>
      </c>
    </row>
    <row r="34" spans="1:17" ht="31.5" customHeight="1">
      <c r="A34" s="3967" t="s">
        <v>64</v>
      </c>
      <c r="B34" s="180" t="s">
        <v>550</v>
      </c>
      <c r="C34" s="584" t="s">
        <v>109</v>
      </c>
      <c r="D34" s="3239"/>
      <c r="E34" s="3176"/>
      <c r="F34" s="3176"/>
      <c r="G34" s="3176"/>
      <c r="H34" s="3176"/>
      <c r="I34" s="3176"/>
      <c r="J34" s="3176"/>
      <c r="K34" s="3176"/>
      <c r="L34" s="3241"/>
      <c r="M34" s="3242"/>
      <c r="N34" s="3242"/>
      <c r="O34" s="3961" t="s">
        <v>542</v>
      </c>
    </row>
    <row r="35" spans="1:17" ht="12" customHeight="1">
      <c r="A35" s="3968"/>
      <c r="B35" s="2422" t="s">
        <v>10</v>
      </c>
      <c r="C35" s="3243"/>
      <c r="D35" s="3244">
        <f>+D36+D39</f>
        <v>1266343</v>
      </c>
      <c r="E35" s="3245">
        <v>0</v>
      </c>
      <c r="F35" s="3245">
        <v>0</v>
      </c>
      <c r="G35" s="586">
        <f>+G36+G39</f>
        <v>189594</v>
      </c>
      <c r="H35" s="586">
        <f>+H36+H39</f>
        <v>514124</v>
      </c>
      <c r="I35" s="586">
        <f>+I36+I39</f>
        <v>490892</v>
      </c>
      <c r="J35" s="586">
        <f>+J36+J39</f>
        <v>71733</v>
      </c>
      <c r="K35" s="3245">
        <v>0</v>
      </c>
      <c r="L35" s="3245">
        <v>0</v>
      </c>
      <c r="M35" s="3246" t="e">
        <f>+M36+M39</f>
        <v>#REF!</v>
      </c>
      <c r="N35" s="3246">
        <f>+N36+N39</f>
        <v>1266343</v>
      </c>
      <c r="O35" s="3962"/>
    </row>
    <row r="36" spans="1:17" ht="12" customHeight="1">
      <c r="A36" s="3968"/>
      <c r="B36" s="3247" t="s">
        <v>24</v>
      </c>
      <c r="C36" s="3970" t="s">
        <v>148</v>
      </c>
      <c r="D36" s="3248">
        <f>+D37+D38</f>
        <v>189951</v>
      </c>
      <c r="E36" s="3249">
        <v>0</v>
      </c>
      <c r="F36" s="3249">
        <v>0</v>
      </c>
      <c r="G36" s="3250">
        <f>+G37+G38</f>
        <v>28439</v>
      </c>
      <c r="H36" s="3250">
        <f t="shared" ref="H36:J36" si="26">+H37+H38</f>
        <v>77119</v>
      </c>
      <c r="I36" s="3250">
        <f t="shared" si="26"/>
        <v>73634</v>
      </c>
      <c r="J36" s="3250">
        <f t="shared" si="26"/>
        <v>10759</v>
      </c>
      <c r="K36" s="3249">
        <v>0</v>
      </c>
      <c r="L36" s="3249">
        <v>0</v>
      </c>
      <c r="M36" s="3251" t="e">
        <f>+#REF!+M38+#REF!</f>
        <v>#REF!</v>
      </c>
      <c r="N36" s="3251">
        <f>+N37+N38</f>
        <v>189951</v>
      </c>
      <c r="O36" s="3962"/>
    </row>
    <row r="37" spans="1:17" ht="12" customHeight="1">
      <c r="A37" s="3968"/>
      <c r="B37" s="3252" t="s">
        <v>127</v>
      </c>
      <c r="C37" s="3971"/>
      <c r="D37" s="1458">
        <f>+G37+H37+I37+J37</f>
        <v>63318</v>
      </c>
      <c r="E37" s="3249">
        <v>0</v>
      </c>
      <c r="F37" s="3249">
        <v>0</v>
      </c>
      <c r="G37" s="1575">
        <v>9480</v>
      </c>
      <c r="H37" s="1575">
        <v>25707</v>
      </c>
      <c r="I37" s="1575">
        <v>24545</v>
      </c>
      <c r="J37" s="1575">
        <v>3586</v>
      </c>
      <c r="K37" s="3249">
        <v>0</v>
      </c>
      <c r="L37" s="3249">
        <v>0</v>
      </c>
      <c r="M37" s="3251"/>
      <c r="N37" s="3253">
        <f>+J37+I37+H37+G37</f>
        <v>63318</v>
      </c>
      <c r="O37" s="3962"/>
      <c r="Q37" s="2715"/>
    </row>
    <row r="38" spans="1:17" ht="12" customHeight="1">
      <c r="A38" s="3968"/>
      <c r="B38" s="3257" t="s">
        <v>537</v>
      </c>
      <c r="C38" s="3971"/>
      <c r="D38" s="1458">
        <f>E38+F38+G38+H38+I38+J38+K38+L38</f>
        <v>126633</v>
      </c>
      <c r="E38" s="3255">
        <v>0</v>
      </c>
      <c r="F38" s="2159">
        <v>0</v>
      </c>
      <c r="G38" s="1575">
        <v>18959</v>
      </c>
      <c r="H38" s="1575">
        <v>51412</v>
      </c>
      <c r="I38" s="1575">
        <v>49089</v>
      </c>
      <c r="J38" s="1575">
        <v>7173</v>
      </c>
      <c r="K38" s="2159">
        <v>0</v>
      </c>
      <c r="L38" s="2159">
        <v>0</v>
      </c>
      <c r="M38" s="3258">
        <f>SUM(F38:K38)</f>
        <v>126633</v>
      </c>
      <c r="N38" s="3258">
        <f t="shared" ref="N38" si="27">SUM(G38:L38)</f>
        <v>126633</v>
      </c>
      <c r="O38" s="3962"/>
    </row>
    <row r="39" spans="1:17" ht="12" customHeight="1">
      <c r="A39" s="3968"/>
      <c r="B39" s="3247" t="s">
        <v>18</v>
      </c>
      <c r="C39" s="3971"/>
      <c r="D39" s="3250">
        <f>+D40</f>
        <v>1076392</v>
      </c>
      <c r="E39" s="3255">
        <v>0</v>
      </c>
      <c r="F39" s="2159">
        <v>0</v>
      </c>
      <c r="G39" s="3250">
        <f>+G40</f>
        <v>161155</v>
      </c>
      <c r="H39" s="3250">
        <f t="shared" ref="H39:J39" si="28">+H40</f>
        <v>437005</v>
      </c>
      <c r="I39" s="3250">
        <f t="shared" si="28"/>
        <v>417258</v>
      </c>
      <c r="J39" s="3250">
        <f t="shared" si="28"/>
        <v>60974</v>
      </c>
      <c r="K39" s="3259">
        <v>0</v>
      </c>
      <c r="L39" s="3259">
        <v>0</v>
      </c>
      <c r="M39" s="3260"/>
      <c r="N39" s="3260">
        <f>+N40</f>
        <v>1076392</v>
      </c>
      <c r="O39" s="3962"/>
    </row>
    <row r="40" spans="1:17" ht="12" customHeight="1">
      <c r="A40" s="3968"/>
      <c r="B40" s="3257" t="s">
        <v>539</v>
      </c>
      <c r="C40" s="3972"/>
      <c r="D40" s="1458">
        <f>+E40+F40+G40+H40+I40+J40</f>
        <v>1076392</v>
      </c>
      <c r="E40" s="3255">
        <v>0</v>
      </c>
      <c r="F40" s="2159">
        <v>0</v>
      </c>
      <c r="G40" s="1575">
        <v>161155</v>
      </c>
      <c r="H40" s="1575">
        <v>437005</v>
      </c>
      <c r="I40" s="1575">
        <v>417258</v>
      </c>
      <c r="J40" s="1575">
        <v>60974</v>
      </c>
      <c r="K40" s="3259">
        <v>0</v>
      </c>
      <c r="L40" s="3259">
        <v>0</v>
      </c>
      <c r="M40" s="3261"/>
      <c r="N40" s="3261">
        <f>+J40+I40+H40+G40</f>
        <v>1076392</v>
      </c>
      <c r="O40" s="3962"/>
    </row>
    <row r="41" spans="1:17" ht="12" customHeight="1">
      <c r="A41" s="3968"/>
      <c r="B41" s="2422" t="s">
        <v>22</v>
      </c>
      <c r="C41" s="3243"/>
      <c r="D41" s="586">
        <f>+D42+D44</f>
        <v>1203025</v>
      </c>
      <c r="E41" s="3245">
        <f>+E42+E44</f>
        <v>0</v>
      </c>
      <c r="F41" s="3245">
        <f>+F42+F44</f>
        <v>0</v>
      </c>
      <c r="G41" s="3244">
        <f>+G42+G44</f>
        <v>180114</v>
      </c>
      <c r="H41" s="3244">
        <f t="shared" ref="H41:J41" si="29">+H42+H44</f>
        <v>488417</v>
      </c>
      <c r="I41" s="3244">
        <f t="shared" si="29"/>
        <v>466347</v>
      </c>
      <c r="J41" s="3244">
        <f t="shared" si="29"/>
        <v>68147</v>
      </c>
      <c r="K41" s="3245">
        <v>0</v>
      </c>
      <c r="L41" s="3245">
        <v>0</v>
      </c>
      <c r="M41" s="3973" t="s">
        <v>61</v>
      </c>
      <c r="N41" s="3973" t="s">
        <v>61</v>
      </c>
      <c r="O41" s="3962" t="s">
        <v>541</v>
      </c>
    </row>
    <row r="42" spans="1:17" ht="12" customHeight="1">
      <c r="A42" s="3968"/>
      <c r="B42" s="2478" t="s">
        <v>24</v>
      </c>
      <c r="C42" s="3974" t="s">
        <v>191</v>
      </c>
      <c r="D42" s="1563">
        <f>+D43</f>
        <v>126633</v>
      </c>
      <c r="E42" s="2342">
        <f>+E43</f>
        <v>0</v>
      </c>
      <c r="F42" s="2342">
        <f>+F43</f>
        <v>0</v>
      </c>
      <c r="G42" s="3250">
        <f>+G43</f>
        <v>18959</v>
      </c>
      <c r="H42" s="3250">
        <f t="shared" ref="H42:J42" si="30">+H43</f>
        <v>51412</v>
      </c>
      <c r="I42" s="3250">
        <f t="shared" si="30"/>
        <v>49089</v>
      </c>
      <c r="J42" s="3250">
        <f t="shared" si="30"/>
        <v>7173</v>
      </c>
      <c r="K42" s="2342">
        <v>0</v>
      </c>
      <c r="L42" s="2342">
        <v>0</v>
      </c>
      <c r="M42" s="3973"/>
      <c r="N42" s="3973"/>
      <c r="O42" s="3962"/>
    </row>
    <row r="43" spans="1:17" ht="12" customHeight="1">
      <c r="A43" s="3968"/>
      <c r="B43" s="3257" t="s">
        <v>537</v>
      </c>
      <c r="C43" s="3975"/>
      <c r="D43" s="1458">
        <f>+G43+H43+I43+J43</f>
        <v>126633</v>
      </c>
      <c r="E43" s="3255">
        <v>0</v>
      </c>
      <c r="F43" s="3255">
        <v>0</v>
      </c>
      <c r="G43" s="1575">
        <v>18959</v>
      </c>
      <c r="H43" s="1575">
        <v>51412</v>
      </c>
      <c r="I43" s="1575">
        <v>49089</v>
      </c>
      <c r="J43" s="1575">
        <v>7173</v>
      </c>
      <c r="K43" s="2159">
        <v>0</v>
      </c>
      <c r="L43" s="2159">
        <v>0</v>
      </c>
      <c r="M43" s="3973"/>
      <c r="N43" s="3973"/>
      <c r="O43" s="3962"/>
    </row>
    <row r="44" spans="1:17" ht="12" customHeight="1">
      <c r="A44" s="3968"/>
      <c r="B44" s="2480" t="s">
        <v>18</v>
      </c>
      <c r="C44" s="3975"/>
      <c r="D44" s="3250">
        <f t="shared" ref="D44:J44" si="31">+D45</f>
        <v>1076392</v>
      </c>
      <c r="E44" s="3255">
        <f t="shared" si="31"/>
        <v>0</v>
      </c>
      <c r="F44" s="1791">
        <f t="shared" si="31"/>
        <v>0</v>
      </c>
      <c r="G44" s="3250">
        <f t="shared" si="31"/>
        <v>161155</v>
      </c>
      <c r="H44" s="3250">
        <f t="shared" si="31"/>
        <v>437005</v>
      </c>
      <c r="I44" s="3250">
        <f t="shared" si="31"/>
        <v>417258</v>
      </c>
      <c r="J44" s="3250">
        <f t="shared" si="31"/>
        <v>60974</v>
      </c>
      <c r="K44" s="1371">
        <v>0</v>
      </c>
      <c r="L44" s="1371">
        <v>0</v>
      </c>
      <c r="M44" s="3258"/>
      <c r="N44" s="3258"/>
      <c r="O44" s="3962"/>
    </row>
    <row r="45" spans="1:17" ht="12" customHeight="1" thickBot="1">
      <c r="A45" s="3969"/>
      <c r="B45" s="344" t="s">
        <v>21</v>
      </c>
      <c r="C45" s="3976"/>
      <c r="D45" s="1766">
        <f>+E45+F45+G45+H45+I45+J45</f>
        <v>1076392</v>
      </c>
      <c r="E45" s="3255">
        <v>0</v>
      </c>
      <c r="F45" s="3255">
        <v>0</v>
      </c>
      <c r="G45" s="1579">
        <v>161155</v>
      </c>
      <c r="H45" s="1579">
        <v>437005</v>
      </c>
      <c r="I45" s="1579">
        <v>417258</v>
      </c>
      <c r="J45" s="1579">
        <v>60974</v>
      </c>
      <c r="K45" s="1792">
        <v>0</v>
      </c>
      <c r="L45" s="1792">
        <v>0</v>
      </c>
      <c r="M45" s="3263"/>
      <c r="N45" s="3263"/>
      <c r="O45" s="3963"/>
    </row>
    <row r="46" spans="1:17" s="309" customFormat="1" ht="18.75" thickBot="1">
      <c r="A46" s="3977" t="s">
        <v>196</v>
      </c>
      <c r="B46" s="3977"/>
      <c r="C46" s="3977"/>
      <c r="D46" s="3977"/>
      <c r="E46" s="3977"/>
      <c r="F46" s="1318"/>
      <c r="G46" s="1318"/>
      <c r="H46" s="1319"/>
      <c r="I46" s="1319"/>
      <c r="J46" s="1319"/>
      <c r="K46" s="1319"/>
      <c r="L46" s="1319"/>
      <c r="M46" s="1319"/>
      <c r="N46" s="1319"/>
      <c r="O46" s="1319"/>
    </row>
    <row r="47" spans="1:17" ht="36.75" customHeight="1">
      <c r="A47" s="1320"/>
      <c r="B47" s="1320"/>
      <c r="C47" s="3774" t="s">
        <v>71</v>
      </c>
      <c r="D47" s="3980" t="s">
        <v>72</v>
      </c>
      <c r="E47" s="3983" t="s">
        <v>395</v>
      </c>
      <c r="F47" s="3794" t="s">
        <v>436</v>
      </c>
      <c r="G47" s="3791" t="s">
        <v>392</v>
      </c>
      <c r="H47" s="3792"/>
      <c r="I47" s="3792"/>
      <c r="J47" s="3792"/>
      <c r="K47" s="3792"/>
      <c r="L47" s="3793"/>
      <c r="M47" s="3783" t="s">
        <v>406</v>
      </c>
      <c r="N47" s="3783" t="s">
        <v>393</v>
      </c>
      <c r="O47" s="4009" t="s">
        <v>73</v>
      </c>
    </row>
    <row r="48" spans="1:17" ht="45.75" customHeight="1">
      <c r="A48" s="3087" t="s">
        <v>74</v>
      </c>
      <c r="B48" s="1321" t="s">
        <v>75</v>
      </c>
      <c r="C48" s="3978"/>
      <c r="D48" s="3981"/>
      <c r="E48" s="3984"/>
      <c r="F48" s="4031"/>
      <c r="G48" s="3989" t="s">
        <v>6</v>
      </c>
      <c r="H48" s="3989" t="s">
        <v>179</v>
      </c>
      <c r="I48" s="3989" t="s">
        <v>181</v>
      </c>
      <c r="J48" s="3989" t="s">
        <v>220</v>
      </c>
      <c r="K48" s="3989" t="s">
        <v>221</v>
      </c>
      <c r="L48" s="3989" t="s">
        <v>219</v>
      </c>
      <c r="M48" s="4012"/>
      <c r="N48" s="4012"/>
      <c r="O48" s="4010"/>
    </row>
    <row r="49" spans="1:18" ht="15.75" customHeight="1" thickBot="1">
      <c r="A49" s="1322"/>
      <c r="B49" s="1323"/>
      <c r="C49" s="3979"/>
      <c r="D49" s="3982"/>
      <c r="E49" s="3985"/>
      <c r="F49" s="4032"/>
      <c r="G49" s="3795"/>
      <c r="H49" s="3795"/>
      <c r="I49" s="3795"/>
      <c r="J49" s="3795"/>
      <c r="K49" s="3795"/>
      <c r="L49" s="3795"/>
      <c r="M49" s="4013"/>
      <c r="N49" s="4013"/>
      <c r="O49" s="4011"/>
    </row>
    <row r="50" spans="1:18" s="310" customFormat="1" ht="12" customHeight="1" thickBot="1">
      <c r="A50" s="911">
        <v>1</v>
      </c>
      <c r="B50" s="912">
        <v>2</v>
      </c>
      <c r="C50" s="913" t="s">
        <v>118</v>
      </c>
      <c r="D50" s="913" t="s">
        <v>119</v>
      </c>
      <c r="E50" s="913">
        <v>5</v>
      </c>
      <c r="F50" s="913">
        <v>6</v>
      </c>
      <c r="G50" s="913">
        <v>7</v>
      </c>
      <c r="H50" s="913">
        <v>8</v>
      </c>
      <c r="I50" s="913">
        <v>9</v>
      </c>
      <c r="J50" s="913">
        <v>10</v>
      </c>
      <c r="K50" s="913">
        <v>11</v>
      </c>
      <c r="L50" s="913">
        <v>12</v>
      </c>
      <c r="M50" s="914">
        <v>13</v>
      </c>
      <c r="N50" s="914">
        <v>13</v>
      </c>
      <c r="O50" s="915">
        <v>14</v>
      </c>
      <c r="Q50" s="1324"/>
    </row>
    <row r="51" spans="1:18" s="1508" customFormat="1" ht="15.75" customHeight="1">
      <c r="A51" s="1325"/>
      <c r="B51" s="229" t="s">
        <v>76</v>
      </c>
      <c r="C51" s="205"/>
      <c r="D51" s="206">
        <f>+D52+D53</f>
        <v>74006029</v>
      </c>
      <c r="E51" s="206">
        <f t="shared" ref="E51" si="32">+E52+E53</f>
        <v>0</v>
      </c>
      <c r="F51" s="206">
        <f t="shared" ref="F51" si="33">+F52+F53</f>
        <v>0</v>
      </c>
      <c r="G51" s="206">
        <f t="shared" ref="G51:N51" si="34">+G52+G53</f>
        <v>2354619</v>
      </c>
      <c r="H51" s="206">
        <f t="shared" si="34"/>
        <v>9647017</v>
      </c>
      <c r="I51" s="206">
        <f t="shared" si="34"/>
        <v>9647017</v>
      </c>
      <c r="J51" s="206">
        <f t="shared" si="34"/>
        <v>9647017</v>
      </c>
      <c r="K51" s="206">
        <f t="shared" si="34"/>
        <v>5007017</v>
      </c>
      <c r="L51" s="1326">
        <f t="shared" si="34"/>
        <v>4067017</v>
      </c>
      <c r="M51" s="1327">
        <f t="shared" ref="M51" si="35">+M52+M53</f>
        <v>60506029</v>
      </c>
      <c r="N51" s="1327">
        <f t="shared" si="34"/>
        <v>74006029</v>
      </c>
      <c r="O51" s="1328"/>
      <c r="Q51" s="313"/>
      <c r="R51" s="313"/>
    </row>
    <row r="52" spans="1:18" s="1508" customFormat="1" ht="15.75" customHeight="1">
      <c r="A52" s="185"/>
      <c r="B52" s="220" t="s">
        <v>77</v>
      </c>
      <c r="C52" s="208"/>
      <c r="D52" s="209">
        <f>+D87+D92+D97</f>
        <v>60506029</v>
      </c>
      <c r="E52" s="1768">
        <f t="shared" ref="E52:N52" si="36">+E87+E92+E97</f>
        <v>0</v>
      </c>
      <c r="F52" s="1769">
        <f t="shared" si="36"/>
        <v>0</v>
      </c>
      <c r="G52" s="1769">
        <f t="shared" si="36"/>
        <v>2354619</v>
      </c>
      <c r="H52" s="1769">
        <f t="shared" si="36"/>
        <v>5147017</v>
      </c>
      <c r="I52" s="1769">
        <f t="shared" si="36"/>
        <v>5147017</v>
      </c>
      <c r="J52" s="1769">
        <f t="shared" si="36"/>
        <v>5147017</v>
      </c>
      <c r="K52" s="1769">
        <f t="shared" si="36"/>
        <v>5007017</v>
      </c>
      <c r="L52" s="1769">
        <f t="shared" si="36"/>
        <v>4067017</v>
      </c>
      <c r="M52" s="1854">
        <f t="shared" si="36"/>
        <v>60506029</v>
      </c>
      <c r="N52" s="1771">
        <f t="shared" si="36"/>
        <v>60506029</v>
      </c>
      <c r="O52" s="1329"/>
    </row>
    <row r="53" spans="1:18" s="1508" customFormat="1" ht="15.75" customHeight="1" thickBot="1">
      <c r="A53" s="185"/>
      <c r="B53" s="221" t="s">
        <v>9</v>
      </c>
      <c r="C53" s="577"/>
      <c r="D53" s="219">
        <f>+D101</f>
        <v>13500000</v>
      </c>
      <c r="E53" s="1770">
        <f t="shared" ref="E53:M53" si="37">+E74+E75+E76</f>
        <v>0</v>
      </c>
      <c r="F53" s="219">
        <f t="shared" si="37"/>
        <v>0</v>
      </c>
      <c r="G53" s="219">
        <f t="shared" si="37"/>
        <v>0</v>
      </c>
      <c r="H53" s="219">
        <f>+H101</f>
        <v>4500000</v>
      </c>
      <c r="I53" s="219">
        <f t="shared" ref="I53:J53" si="38">+I101</f>
        <v>4500000</v>
      </c>
      <c r="J53" s="219">
        <f t="shared" si="38"/>
        <v>4500000</v>
      </c>
      <c r="K53" s="219">
        <f t="shared" si="37"/>
        <v>0</v>
      </c>
      <c r="L53" s="219">
        <f t="shared" si="37"/>
        <v>0</v>
      </c>
      <c r="M53" s="1853">
        <f t="shared" si="37"/>
        <v>0</v>
      </c>
      <c r="N53" s="1330">
        <f>+N101</f>
        <v>13500000</v>
      </c>
      <c r="O53" s="1329"/>
    </row>
    <row r="54" spans="1:18" s="310" customFormat="1" ht="15" customHeight="1">
      <c r="A54" s="185"/>
      <c r="B54" s="1331" t="s">
        <v>10</v>
      </c>
      <c r="C54" s="1332"/>
      <c r="D54" s="1333">
        <f>+D55+D62</f>
        <v>78989222.640000001</v>
      </c>
      <c r="E54" s="1334">
        <f t="shared" ref="E54:L54" si="39">+E55+E62</f>
        <v>1776666.64</v>
      </c>
      <c r="F54" s="1334">
        <f t="shared" si="39"/>
        <v>1313333</v>
      </c>
      <c r="G54" s="1334">
        <f t="shared" si="39"/>
        <v>4247813</v>
      </c>
      <c r="H54" s="1334">
        <f t="shared" si="39"/>
        <v>9647017</v>
      </c>
      <c r="I54" s="1334">
        <f t="shared" si="39"/>
        <v>9647017</v>
      </c>
      <c r="J54" s="1334">
        <f t="shared" si="39"/>
        <v>9647017</v>
      </c>
      <c r="K54" s="1334">
        <f t="shared" si="39"/>
        <v>5007017</v>
      </c>
      <c r="L54" s="1334">
        <f t="shared" si="39"/>
        <v>4067017</v>
      </c>
      <c r="M54" s="1335">
        <f>SUM(M55,M62)</f>
        <v>60506029</v>
      </c>
      <c r="N54" s="1335">
        <f>SUM(N55,N62)</f>
        <v>74006029</v>
      </c>
      <c r="O54" s="578"/>
      <c r="R54" s="175"/>
    </row>
    <row r="55" spans="1:18" s="361" customFormat="1" ht="14.25" customHeight="1">
      <c r="A55" s="185"/>
      <c r="B55" s="1336" t="s">
        <v>11</v>
      </c>
      <c r="C55" s="1337"/>
      <c r="D55" s="1338">
        <f>SUM(D56:D61)</f>
        <v>78989222.640000001</v>
      </c>
      <c r="E55" s="1338">
        <f t="shared" ref="E55:L55" si="40">SUM(E56:E61)</f>
        <v>1776666.64</v>
      </c>
      <c r="F55" s="1338">
        <f t="shared" si="40"/>
        <v>1313333</v>
      </c>
      <c r="G55" s="1338">
        <f t="shared" si="40"/>
        <v>4247813</v>
      </c>
      <c r="H55" s="1338">
        <f t="shared" si="40"/>
        <v>9647017</v>
      </c>
      <c r="I55" s="1338">
        <f t="shared" si="40"/>
        <v>9647017</v>
      </c>
      <c r="J55" s="1338">
        <f t="shared" si="40"/>
        <v>9647017</v>
      </c>
      <c r="K55" s="1338">
        <f t="shared" si="40"/>
        <v>5007017</v>
      </c>
      <c r="L55" s="1338">
        <f t="shared" si="40"/>
        <v>4067017</v>
      </c>
      <c r="M55" s="1339">
        <f>SUM(M56:M61)</f>
        <v>60506029</v>
      </c>
      <c r="N55" s="1339">
        <f>SUM(N56:N61)</f>
        <v>74006029</v>
      </c>
      <c r="O55" s="579"/>
      <c r="Q55" s="362"/>
    </row>
    <row r="56" spans="1:18" s="361" customFormat="1" ht="14.25" customHeight="1">
      <c r="A56" s="185"/>
      <c r="B56" s="1340" t="s">
        <v>12</v>
      </c>
      <c r="C56" s="1337"/>
      <c r="D56" s="1341">
        <f>+D87+D92+D97+D101</f>
        <v>74006029</v>
      </c>
      <c r="E56" s="1341">
        <f t="shared" ref="E56:K56" si="41">+E87+E92+E97</f>
        <v>0</v>
      </c>
      <c r="F56" s="1341">
        <f t="shared" si="41"/>
        <v>0</v>
      </c>
      <c r="G56" s="1341">
        <f t="shared" si="41"/>
        <v>2354619</v>
      </c>
      <c r="H56" s="1341">
        <f>+H87+H92+H97+H101</f>
        <v>9647017</v>
      </c>
      <c r="I56" s="1341">
        <f t="shared" ref="I56:J56" si="42">+I87+I92+I97+I101</f>
        <v>9647017</v>
      </c>
      <c r="J56" s="1341">
        <f t="shared" si="42"/>
        <v>9647017</v>
      </c>
      <c r="K56" s="1341">
        <f t="shared" si="41"/>
        <v>5007017</v>
      </c>
      <c r="L56" s="1341">
        <f>+L87+L92+L97</f>
        <v>4067017</v>
      </c>
      <c r="M56" s="1349">
        <f>+M87+M92+M97</f>
        <v>60506029</v>
      </c>
      <c r="N56" s="1346">
        <f>+N87+N92+N97+N101</f>
        <v>74006029</v>
      </c>
      <c r="O56" s="579"/>
      <c r="Q56" s="362"/>
      <c r="R56" s="362"/>
    </row>
    <row r="57" spans="1:18" s="310" customFormat="1" ht="14.25" customHeight="1" thickBot="1">
      <c r="A57" s="185"/>
      <c r="B57" s="1340" t="s">
        <v>32</v>
      </c>
      <c r="C57" s="1342"/>
      <c r="D57" s="1343">
        <f t="shared" ref="D57:L57" si="43">+D73+D86+D91+D96</f>
        <v>4983193.6400000006</v>
      </c>
      <c r="E57" s="1343">
        <f t="shared" si="43"/>
        <v>1776666.64</v>
      </c>
      <c r="F57" s="1343">
        <f t="shared" si="43"/>
        <v>1313333</v>
      </c>
      <c r="G57" s="1343">
        <f t="shared" si="43"/>
        <v>1893194</v>
      </c>
      <c r="H57" s="1343">
        <f t="shared" si="43"/>
        <v>0</v>
      </c>
      <c r="I57" s="1343">
        <f t="shared" si="43"/>
        <v>0</v>
      </c>
      <c r="J57" s="1343">
        <f t="shared" si="43"/>
        <v>0</v>
      </c>
      <c r="K57" s="1343">
        <f t="shared" si="43"/>
        <v>0</v>
      </c>
      <c r="L57" s="1343">
        <f t="shared" si="43"/>
        <v>0</v>
      </c>
      <c r="M57" s="1344" t="s">
        <v>61</v>
      </c>
      <c r="N57" s="1344" t="s">
        <v>61</v>
      </c>
      <c r="O57" s="578"/>
      <c r="Q57" s="175"/>
      <c r="R57" s="175"/>
    </row>
    <row r="58" spans="1:18" s="310" customFormat="1" ht="14.25" hidden="1" customHeight="1">
      <c r="A58" s="185"/>
      <c r="B58" s="1340" t="s">
        <v>121</v>
      </c>
      <c r="C58" s="1345"/>
      <c r="D58" s="1343">
        <f>+D74</f>
        <v>0</v>
      </c>
      <c r="E58" s="1343">
        <f t="shared" ref="E58:L58" si="44">+E74</f>
        <v>0</v>
      </c>
      <c r="F58" s="1343">
        <f t="shared" si="44"/>
        <v>0</v>
      </c>
      <c r="G58" s="1343">
        <f t="shared" si="44"/>
        <v>0</v>
      </c>
      <c r="H58" s="1343">
        <f t="shared" si="44"/>
        <v>0</v>
      </c>
      <c r="I58" s="1343">
        <f t="shared" si="44"/>
        <v>0</v>
      </c>
      <c r="J58" s="1343">
        <f t="shared" si="44"/>
        <v>0</v>
      </c>
      <c r="K58" s="1343">
        <f t="shared" si="44"/>
        <v>0</v>
      </c>
      <c r="L58" s="1343">
        <f t="shared" si="44"/>
        <v>0</v>
      </c>
      <c r="M58" s="1346"/>
      <c r="N58" s="1346"/>
      <c r="O58" s="1347"/>
      <c r="Q58" s="175"/>
      <c r="R58" s="175"/>
    </row>
    <row r="59" spans="1:18" s="361" customFormat="1" ht="14.25" hidden="1" customHeight="1">
      <c r="A59" s="580"/>
      <c r="B59" s="1348" t="s">
        <v>13</v>
      </c>
      <c r="C59" s="1342"/>
      <c r="D59" s="1345">
        <f>D75</f>
        <v>0</v>
      </c>
      <c r="E59" s="1345">
        <f t="shared" ref="E59:O59" si="45">E75</f>
        <v>0</v>
      </c>
      <c r="F59" s="1345">
        <f t="shared" si="45"/>
        <v>0</v>
      </c>
      <c r="G59" s="1345">
        <f t="shared" si="45"/>
        <v>0</v>
      </c>
      <c r="H59" s="1345">
        <f t="shared" si="45"/>
        <v>0</v>
      </c>
      <c r="I59" s="1345">
        <f t="shared" si="45"/>
        <v>0</v>
      </c>
      <c r="J59" s="1345">
        <f t="shared" si="45"/>
        <v>0</v>
      </c>
      <c r="K59" s="1345">
        <f t="shared" si="45"/>
        <v>0</v>
      </c>
      <c r="L59" s="1345">
        <f t="shared" si="45"/>
        <v>0</v>
      </c>
      <c r="M59" s="1349">
        <f t="shared" si="45"/>
        <v>0</v>
      </c>
      <c r="N59" s="1346">
        <f t="shared" si="45"/>
        <v>0</v>
      </c>
      <c r="O59" s="1345">
        <f t="shared" si="45"/>
        <v>0</v>
      </c>
      <c r="Q59" s="362"/>
    </row>
    <row r="60" spans="1:18" s="320" customFormat="1" ht="14.25" hidden="1" customHeight="1">
      <c r="A60" s="580"/>
      <c r="B60" s="1348" t="s">
        <v>34</v>
      </c>
      <c r="C60" s="1342"/>
      <c r="D60" s="1345"/>
      <c r="E60" s="1345"/>
      <c r="F60" s="1345"/>
      <c r="G60" s="1345"/>
      <c r="H60" s="1345"/>
      <c r="I60" s="1345"/>
      <c r="J60" s="1345"/>
      <c r="K60" s="1345"/>
      <c r="L60" s="1345"/>
      <c r="M60" s="1351"/>
      <c r="N60" s="1351"/>
      <c r="O60" s="1350"/>
      <c r="Q60" s="1352"/>
    </row>
    <row r="61" spans="1:18" s="310" customFormat="1" ht="14.25" hidden="1" customHeight="1">
      <c r="A61" s="185"/>
      <c r="B61" s="1348" t="s">
        <v>122</v>
      </c>
      <c r="C61" s="1342"/>
      <c r="D61" s="1345">
        <f t="shared" ref="D61" si="46">D76</f>
        <v>0</v>
      </c>
      <c r="E61" s="1345">
        <f t="shared" ref="E61:L61" si="47">E76</f>
        <v>0</v>
      </c>
      <c r="F61" s="1345">
        <f t="shared" si="47"/>
        <v>0</v>
      </c>
      <c r="G61" s="1345">
        <f t="shared" si="47"/>
        <v>0</v>
      </c>
      <c r="H61" s="1345">
        <f t="shared" si="47"/>
        <v>0</v>
      </c>
      <c r="I61" s="1345">
        <f t="shared" si="47"/>
        <v>0</v>
      </c>
      <c r="J61" s="1345">
        <f t="shared" si="47"/>
        <v>0</v>
      </c>
      <c r="K61" s="1345">
        <f t="shared" si="47"/>
        <v>0</v>
      </c>
      <c r="L61" s="1345">
        <f t="shared" si="47"/>
        <v>0</v>
      </c>
      <c r="M61" s="1346">
        <f>M76</f>
        <v>0</v>
      </c>
      <c r="N61" s="1346">
        <f>N76</f>
        <v>0</v>
      </c>
      <c r="O61" s="1347"/>
      <c r="Q61" s="175"/>
    </row>
    <row r="62" spans="1:18" s="361" customFormat="1" ht="14.25" hidden="1" customHeight="1">
      <c r="A62" s="145"/>
      <c r="B62" s="179" t="s">
        <v>18</v>
      </c>
      <c r="C62" s="1353"/>
      <c r="D62" s="1354">
        <f t="shared" ref="D62:L62" si="48">SUM(D63:D63)</f>
        <v>0</v>
      </c>
      <c r="E62" s="1354">
        <f t="shared" si="48"/>
        <v>0</v>
      </c>
      <c r="F62" s="1354">
        <f t="shared" si="48"/>
        <v>0</v>
      </c>
      <c r="G62" s="1354">
        <f t="shared" si="48"/>
        <v>0</v>
      </c>
      <c r="H62" s="1354">
        <f t="shared" si="48"/>
        <v>0</v>
      </c>
      <c r="I62" s="1354">
        <f t="shared" si="48"/>
        <v>0</v>
      </c>
      <c r="J62" s="1354">
        <f t="shared" si="48"/>
        <v>0</v>
      </c>
      <c r="K62" s="1354">
        <f t="shared" si="48"/>
        <v>0</v>
      </c>
      <c r="L62" s="1354">
        <f t="shared" si="48"/>
        <v>0</v>
      </c>
      <c r="M62" s="1344" t="s">
        <v>61</v>
      </c>
      <c r="N62" s="1344" t="s">
        <v>61</v>
      </c>
      <c r="O62" s="579"/>
    </row>
    <row r="63" spans="1:18" s="310" customFormat="1" ht="14.25" hidden="1" customHeight="1">
      <c r="A63" s="161"/>
      <c r="B63" s="1355" t="s">
        <v>35</v>
      </c>
      <c r="C63" s="1356"/>
      <c r="D63" s="1357"/>
      <c r="E63" s="1357"/>
      <c r="F63" s="1357"/>
      <c r="G63" s="1357"/>
      <c r="H63" s="1357"/>
      <c r="I63" s="1357"/>
      <c r="J63" s="1357"/>
      <c r="K63" s="1357"/>
      <c r="L63" s="1357"/>
      <c r="M63" s="1344" t="s">
        <v>61</v>
      </c>
      <c r="N63" s="1344" t="s">
        <v>61</v>
      </c>
      <c r="O63" s="1358"/>
    </row>
    <row r="64" spans="1:18" s="361" customFormat="1" ht="14.25" hidden="1" customHeight="1">
      <c r="A64" s="145"/>
      <c r="B64" s="581" t="s">
        <v>22</v>
      </c>
      <c r="C64" s="184"/>
      <c r="D64" s="597">
        <f>+D65+D68</f>
        <v>0</v>
      </c>
      <c r="E64" s="597">
        <f t="shared" ref="E64:L64" si="49">+E65+E68</f>
        <v>0</v>
      </c>
      <c r="F64" s="597">
        <f t="shared" si="49"/>
        <v>0</v>
      </c>
      <c r="G64" s="597">
        <f t="shared" si="49"/>
        <v>0</v>
      </c>
      <c r="H64" s="597">
        <f t="shared" si="49"/>
        <v>0</v>
      </c>
      <c r="I64" s="597">
        <f t="shared" si="49"/>
        <v>0</v>
      </c>
      <c r="J64" s="597">
        <f t="shared" si="49"/>
        <v>0</v>
      </c>
      <c r="K64" s="597">
        <f t="shared" si="49"/>
        <v>0</v>
      </c>
      <c r="L64" s="597">
        <f t="shared" si="49"/>
        <v>0</v>
      </c>
      <c r="M64" s="3986" t="s">
        <v>23</v>
      </c>
      <c r="N64" s="3986" t="s">
        <v>23</v>
      </c>
      <c r="O64" s="1359"/>
    </row>
    <row r="65" spans="1:19" s="310" customFormat="1" ht="14.25" hidden="1" customHeight="1">
      <c r="A65" s="161"/>
      <c r="B65" s="179" t="s">
        <v>11</v>
      </c>
      <c r="C65" s="1353"/>
      <c r="D65" s="1354">
        <f>+D66+D67</f>
        <v>0</v>
      </c>
      <c r="E65" s="1354">
        <f t="shared" ref="E65:L65" si="50">+E66+E67</f>
        <v>0</v>
      </c>
      <c r="F65" s="1354">
        <f t="shared" si="50"/>
        <v>0</v>
      </c>
      <c r="G65" s="1354">
        <f t="shared" si="50"/>
        <v>0</v>
      </c>
      <c r="H65" s="1354">
        <f t="shared" si="50"/>
        <v>0</v>
      </c>
      <c r="I65" s="1354">
        <f t="shared" si="50"/>
        <v>0</v>
      </c>
      <c r="J65" s="1354">
        <f t="shared" si="50"/>
        <v>0</v>
      </c>
      <c r="K65" s="1354">
        <f t="shared" si="50"/>
        <v>0</v>
      </c>
      <c r="L65" s="1354">
        <f t="shared" si="50"/>
        <v>0</v>
      </c>
      <c r="M65" s="3987"/>
      <c r="N65" s="3987"/>
      <c r="O65" s="1358"/>
    </row>
    <row r="66" spans="1:19" s="310" customFormat="1" ht="14.25" hidden="1" customHeight="1">
      <c r="A66" s="161"/>
      <c r="B66" s="1348" t="s">
        <v>13</v>
      </c>
      <c r="C66" s="1342"/>
      <c r="D66" s="1345">
        <f>D81</f>
        <v>0</v>
      </c>
      <c r="E66" s="1345">
        <f t="shared" ref="E66:L66" si="51">E81</f>
        <v>0</v>
      </c>
      <c r="F66" s="1345">
        <f t="shared" si="51"/>
        <v>0</v>
      </c>
      <c r="G66" s="1345">
        <f t="shared" si="51"/>
        <v>0</v>
      </c>
      <c r="H66" s="1345">
        <f t="shared" si="51"/>
        <v>0</v>
      </c>
      <c r="I66" s="1345">
        <f t="shared" si="51"/>
        <v>0</v>
      </c>
      <c r="J66" s="1345">
        <f t="shared" si="51"/>
        <v>0</v>
      </c>
      <c r="K66" s="1345">
        <f t="shared" si="51"/>
        <v>0</v>
      </c>
      <c r="L66" s="1345">
        <f t="shared" si="51"/>
        <v>0</v>
      </c>
      <c r="M66" s="3987"/>
      <c r="N66" s="3987"/>
      <c r="O66" s="1358"/>
      <c r="Q66" s="175"/>
    </row>
    <row r="67" spans="1:19" s="310" customFormat="1" ht="14.25" hidden="1" customHeight="1">
      <c r="A67" s="161"/>
      <c r="B67" s="1348" t="s">
        <v>374</v>
      </c>
      <c r="C67" s="1342"/>
      <c r="D67" s="1345">
        <f t="shared" ref="D67" si="52">D82</f>
        <v>0</v>
      </c>
      <c r="E67" s="1345">
        <f t="shared" ref="E67:L67" si="53">E82</f>
        <v>0</v>
      </c>
      <c r="F67" s="1345">
        <f t="shared" si="53"/>
        <v>0</v>
      </c>
      <c r="G67" s="1345">
        <f t="shared" si="53"/>
        <v>0</v>
      </c>
      <c r="H67" s="1345">
        <f t="shared" si="53"/>
        <v>0</v>
      </c>
      <c r="I67" s="1345">
        <f t="shared" si="53"/>
        <v>0</v>
      </c>
      <c r="J67" s="1345">
        <f t="shared" si="53"/>
        <v>0</v>
      </c>
      <c r="K67" s="1345">
        <f t="shared" si="53"/>
        <v>0</v>
      </c>
      <c r="L67" s="1345">
        <f t="shared" si="53"/>
        <v>0</v>
      </c>
      <c r="M67" s="3987"/>
      <c r="N67" s="3987"/>
      <c r="O67" s="1358"/>
      <c r="Q67" s="175"/>
    </row>
    <row r="68" spans="1:19" s="310" customFormat="1" ht="14.25" hidden="1" customHeight="1">
      <c r="A68" s="161"/>
      <c r="B68" s="179" t="s">
        <v>18</v>
      </c>
      <c r="C68" s="1353"/>
      <c r="D68" s="1354">
        <f t="shared" ref="D68:L68" si="54">SUM(D69:D69)</f>
        <v>0</v>
      </c>
      <c r="E68" s="1354">
        <f t="shared" si="54"/>
        <v>0</v>
      </c>
      <c r="F68" s="1354">
        <f t="shared" si="54"/>
        <v>0</v>
      </c>
      <c r="G68" s="1354">
        <f t="shared" si="54"/>
        <v>0</v>
      </c>
      <c r="H68" s="1354">
        <f t="shared" si="54"/>
        <v>0</v>
      </c>
      <c r="I68" s="1354">
        <f t="shared" si="54"/>
        <v>0</v>
      </c>
      <c r="J68" s="1354">
        <f t="shared" si="54"/>
        <v>0</v>
      </c>
      <c r="K68" s="1354">
        <f t="shared" si="54"/>
        <v>0</v>
      </c>
      <c r="L68" s="1354">
        <f t="shared" si="54"/>
        <v>0</v>
      </c>
      <c r="M68" s="3987"/>
      <c r="N68" s="3987"/>
      <c r="O68" s="1358"/>
      <c r="Q68" s="175"/>
    </row>
    <row r="69" spans="1:19" s="310" customFormat="1" ht="14.25" hidden="1" customHeight="1" thickBot="1">
      <c r="A69" s="161"/>
      <c r="B69" s="1355" t="s">
        <v>35</v>
      </c>
      <c r="C69" s="1360"/>
      <c r="D69" s="1305"/>
      <c r="E69" s="1305"/>
      <c r="F69" s="1305"/>
      <c r="G69" s="1305"/>
      <c r="H69" s="1305"/>
      <c r="I69" s="1305"/>
      <c r="J69" s="1305"/>
      <c r="K69" s="1305"/>
      <c r="L69" s="1305"/>
      <c r="M69" s="3988"/>
      <c r="N69" s="3988"/>
      <c r="O69" s="1358"/>
      <c r="Q69" s="175"/>
    </row>
    <row r="70" spans="1:19" s="332" customFormat="1" ht="38.25" hidden="1" customHeight="1">
      <c r="A70" s="3996" t="s">
        <v>63</v>
      </c>
      <c r="B70" s="1302"/>
      <c r="C70" s="584" t="s">
        <v>81</v>
      </c>
      <c r="D70" s="1361"/>
      <c r="E70" s="1386"/>
      <c r="F70" s="1386"/>
      <c r="G70" s="1386"/>
      <c r="H70" s="1386"/>
      <c r="I70" s="1386"/>
      <c r="J70" s="1362"/>
      <c r="K70" s="1386"/>
      <c r="L70" s="1361"/>
      <c r="M70" s="1363"/>
      <c r="N70" s="1363"/>
      <c r="O70" s="4024"/>
      <c r="Q70" s="4014"/>
      <c r="R70" s="4014"/>
      <c r="S70" s="4014"/>
    </row>
    <row r="71" spans="1:19" s="332" customFormat="1" ht="13.5" hidden="1" customHeight="1">
      <c r="A71" s="4022"/>
      <c r="B71" s="451" t="s">
        <v>10</v>
      </c>
      <c r="C71" s="2672"/>
      <c r="D71" s="586">
        <f>+D72+D77</f>
        <v>0</v>
      </c>
      <c r="E71" s="586">
        <f t="shared" ref="E71" si="55">+E72+E77</f>
        <v>0</v>
      </c>
      <c r="F71" s="586">
        <f t="shared" ref="F71:L71" si="56">+F72</f>
        <v>0</v>
      </c>
      <c r="G71" s="1364">
        <f t="shared" si="56"/>
        <v>0</v>
      </c>
      <c r="H71" s="1364">
        <f t="shared" si="56"/>
        <v>0</v>
      </c>
      <c r="I71" s="1364">
        <f t="shared" si="56"/>
        <v>0</v>
      </c>
      <c r="J71" s="1364">
        <f t="shared" si="56"/>
        <v>0</v>
      </c>
      <c r="K71" s="1364">
        <f t="shared" si="56"/>
        <v>0</v>
      </c>
      <c r="L71" s="2673">
        <f t="shared" si="56"/>
        <v>0</v>
      </c>
      <c r="M71" s="1365">
        <f>+M72+M77</f>
        <v>0</v>
      </c>
      <c r="N71" s="1365">
        <f>+N72+N77</f>
        <v>0</v>
      </c>
      <c r="O71" s="4025"/>
      <c r="P71" s="337"/>
      <c r="Q71" s="4014"/>
      <c r="R71" s="4014"/>
      <c r="S71" s="4014"/>
    </row>
    <row r="72" spans="1:19" s="332" customFormat="1" ht="13.5" hidden="1" customHeight="1">
      <c r="A72" s="4022"/>
      <c r="B72" s="2674" t="s">
        <v>24</v>
      </c>
      <c r="C72" s="4015" t="s">
        <v>123</v>
      </c>
      <c r="D72" s="2675">
        <f>SUM(D73:D76)</f>
        <v>0</v>
      </c>
      <c r="E72" s="2675">
        <f>+E73+E74+E75+E76</f>
        <v>0</v>
      </c>
      <c r="F72" s="2675">
        <f t="shared" ref="F72:L72" si="57">+F73+F74+F75+F76</f>
        <v>0</v>
      </c>
      <c r="G72" s="2676">
        <f t="shared" si="57"/>
        <v>0</v>
      </c>
      <c r="H72" s="2676">
        <f t="shared" si="57"/>
        <v>0</v>
      </c>
      <c r="I72" s="2676">
        <f t="shared" si="57"/>
        <v>0</v>
      </c>
      <c r="J72" s="2676">
        <f t="shared" si="57"/>
        <v>0</v>
      </c>
      <c r="K72" s="2676">
        <f t="shared" si="57"/>
        <v>0</v>
      </c>
      <c r="L72" s="2677">
        <f t="shared" si="57"/>
        <v>0</v>
      </c>
      <c r="M72" s="2678">
        <f>+M74+M75+M76</f>
        <v>0</v>
      </c>
      <c r="N72" s="2678">
        <f>+N74+N75+N76</f>
        <v>0</v>
      </c>
      <c r="O72" s="4025"/>
      <c r="Q72" s="4014"/>
      <c r="R72" s="4014"/>
      <c r="S72" s="4014"/>
    </row>
    <row r="73" spans="1:19" s="332" customFormat="1" ht="13.5" hidden="1" customHeight="1">
      <c r="A73" s="4022"/>
      <c r="B73" s="1366" t="s">
        <v>124</v>
      </c>
      <c r="C73" s="4016"/>
      <c r="D73" s="239">
        <f>E73+F73+G73+H73+I73+J73+K73+L73</f>
        <v>0</v>
      </c>
      <c r="E73" s="1368">
        <v>0</v>
      </c>
      <c r="F73" s="588">
        <v>0</v>
      </c>
      <c r="G73" s="2679">
        <v>0</v>
      </c>
      <c r="H73" s="2679">
        <v>0</v>
      </c>
      <c r="I73" s="2679">
        <v>0</v>
      </c>
      <c r="J73" s="2679">
        <v>0</v>
      </c>
      <c r="K73" s="2679">
        <v>0</v>
      </c>
      <c r="L73" s="2680">
        <v>0</v>
      </c>
      <c r="M73" s="1344" t="s">
        <v>61</v>
      </c>
      <c r="N73" s="1344" t="s">
        <v>61</v>
      </c>
      <c r="O73" s="4026"/>
      <c r="Q73" s="4014"/>
      <c r="R73" s="4014"/>
      <c r="S73" s="4014"/>
    </row>
    <row r="74" spans="1:19" s="332" customFormat="1" ht="13.5" hidden="1" customHeight="1">
      <c r="A74" s="4022"/>
      <c r="B74" s="2681" t="s">
        <v>125</v>
      </c>
      <c r="C74" s="4016"/>
      <c r="D74" s="239">
        <f>E74+F74+G74+H74+I74+J74+K74+L74</f>
        <v>0</v>
      </c>
      <c r="E74" s="1368">
        <v>0</v>
      </c>
      <c r="F74" s="2679">
        <v>0</v>
      </c>
      <c r="G74" s="2679">
        <v>0</v>
      </c>
      <c r="H74" s="2679">
        <v>0</v>
      </c>
      <c r="I74" s="2679">
        <v>0</v>
      </c>
      <c r="J74" s="2679">
        <v>0</v>
      </c>
      <c r="K74" s="2679">
        <v>0</v>
      </c>
      <c r="L74" s="2680">
        <v>0</v>
      </c>
      <c r="M74" s="1367">
        <f t="shared" ref="M74:N76" si="58">SUM(F74:K74)</f>
        <v>0</v>
      </c>
      <c r="N74" s="1367">
        <f t="shared" si="58"/>
        <v>0</v>
      </c>
      <c r="O74" s="4026"/>
      <c r="Q74" s="4014"/>
      <c r="R74" s="4014"/>
      <c r="S74" s="4014"/>
    </row>
    <row r="75" spans="1:19" s="332" customFormat="1" ht="12" hidden="1" customHeight="1">
      <c r="A75" s="4022"/>
      <c r="B75" s="130" t="s">
        <v>13</v>
      </c>
      <c r="C75" s="4016"/>
      <c r="D75" s="239">
        <f>E75+F75+G75+H75+I75+J75+K75+L75</f>
        <v>0</v>
      </c>
      <c r="E75" s="1368">
        <v>0</v>
      </c>
      <c r="F75" s="588">
        <v>0</v>
      </c>
      <c r="G75" s="2682">
        <v>0</v>
      </c>
      <c r="H75" s="2682">
        <v>0</v>
      </c>
      <c r="I75" s="2682">
        <v>0</v>
      </c>
      <c r="J75" s="2682">
        <v>0</v>
      </c>
      <c r="K75" s="2682">
        <v>0</v>
      </c>
      <c r="L75" s="2683">
        <v>0</v>
      </c>
      <c r="M75" s="1367">
        <f>SUM(F75:K75)</f>
        <v>0</v>
      </c>
      <c r="N75" s="1367">
        <f t="shared" si="58"/>
        <v>0</v>
      </c>
      <c r="O75" s="4026"/>
      <c r="Q75" s="4014"/>
      <c r="R75" s="4014"/>
      <c r="S75" s="4014"/>
    </row>
    <row r="76" spans="1:19" s="332" customFormat="1" ht="13.5" hidden="1" customHeight="1">
      <c r="A76" s="4022"/>
      <c r="B76" s="130" t="s">
        <v>122</v>
      </c>
      <c r="C76" s="4016"/>
      <c r="D76" s="239">
        <f>E76+F76+G76+H76+I76+J76+K76+L76</f>
        <v>0</v>
      </c>
      <c r="E76" s="1368">
        <v>0</v>
      </c>
      <c r="F76" s="2679">
        <v>0</v>
      </c>
      <c r="G76" s="2610">
        <v>0</v>
      </c>
      <c r="H76" s="2682">
        <v>0</v>
      </c>
      <c r="I76" s="2682">
        <v>0</v>
      </c>
      <c r="J76" s="2682">
        <v>0</v>
      </c>
      <c r="K76" s="2682">
        <v>0</v>
      </c>
      <c r="L76" s="2683">
        <v>0</v>
      </c>
      <c r="M76" s="1367">
        <f t="shared" si="58"/>
        <v>0</v>
      </c>
      <c r="N76" s="1367">
        <f t="shared" si="58"/>
        <v>0</v>
      </c>
      <c r="O76" s="4026"/>
      <c r="Q76" s="4014"/>
      <c r="R76" s="4014"/>
      <c r="S76" s="4014"/>
    </row>
    <row r="77" spans="1:19" s="332" customFormat="1" ht="18.75" hidden="1" customHeight="1">
      <c r="A77" s="4022"/>
      <c r="B77" s="2681" t="s">
        <v>18</v>
      </c>
      <c r="C77" s="4017"/>
      <c r="D77" s="239">
        <f>+D78</f>
        <v>0</v>
      </c>
      <c r="E77" s="1368"/>
      <c r="F77" s="588"/>
      <c r="G77" s="239"/>
      <c r="H77" s="2684"/>
      <c r="I77" s="2685"/>
      <c r="J77" s="2685"/>
      <c r="K77" s="2686"/>
      <c r="L77" s="2685"/>
      <c r="M77" s="2687"/>
      <c r="N77" s="2687"/>
      <c r="O77" s="4026"/>
      <c r="Q77" s="4014"/>
      <c r="R77" s="4014"/>
      <c r="S77" s="4014"/>
    </row>
    <row r="78" spans="1:19" s="332" customFormat="1" ht="16.5" hidden="1" customHeight="1">
      <c r="A78" s="4022"/>
      <c r="B78" s="130" t="s">
        <v>35</v>
      </c>
      <c r="C78" s="2688"/>
      <c r="D78" s="239">
        <v>0</v>
      </c>
      <c r="E78" s="1368"/>
      <c r="F78" s="2679"/>
      <c r="G78" s="239"/>
      <c r="H78" s="2684"/>
      <c r="I78" s="2684"/>
      <c r="J78" s="2685"/>
      <c r="K78" s="2686"/>
      <c r="L78" s="2684"/>
      <c r="M78" s="2689"/>
      <c r="N78" s="2689"/>
      <c r="O78" s="4026"/>
      <c r="Q78" s="4014"/>
      <c r="R78" s="4014"/>
      <c r="S78" s="4014"/>
    </row>
    <row r="79" spans="1:19" s="332" customFormat="1" ht="13.5" hidden="1" customHeight="1">
      <c r="A79" s="4022"/>
      <c r="B79" s="451" t="s">
        <v>22</v>
      </c>
      <c r="C79" s="2672"/>
      <c r="D79" s="586">
        <f>D81+D82</f>
        <v>0</v>
      </c>
      <c r="E79" s="586">
        <f t="shared" ref="E79" si="59">E81+E82</f>
        <v>0</v>
      </c>
      <c r="F79" s="586">
        <f t="shared" ref="F79:L79" si="60">+F80</f>
        <v>0</v>
      </c>
      <c r="G79" s="1364">
        <f t="shared" si="60"/>
        <v>0</v>
      </c>
      <c r="H79" s="1364">
        <f t="shared" si="60"/>
        <v>0</v>
      </c>
      <c r="I79" s="1364">
        <f t="shared" si="60"/>
        <v>0</v>
      </c>
      <c r="J79" s="1364">
        <f t="shared" si="60"/>
        <v>0</v>
      </c>
      <c r="K79" s="1364">
        <f t="shared" si="60"/>
        <v>0</v>
      </c>
      <c r="L79" s="2673">
        <f t="shared" si="60"/>
        <v>0</v>
      </c>
      <c r="M79" s="4019" t="s">
        <v>61</v>
      </c>
      <c r="N79" s="4019" t="s">
        <v>61</v>
      </c>
      <c r="O79" s="4026"/>
      <c r="Q79" s="4014"/>
      <c r="R79" s="4014"/>
      <c r="S79" s="4014"/>
    </row>
    <row r="80" spans="1:19" s="320" customFormat="1" ht="13.5" hidden="1" customHeight="1">
      <c r="A80" s="4022"/>
      <c r="B80" s="555" t="s">
        <v>24</v>
      </c>
      <c r="C80" s="4018" t="s">
        <v>123</v>
      </c>
      <c r="D80" s="1369">
        <f>+D81+D82</f>
        <v>0</v>
      </c>
      <c r="E80" s="1369">
        <f t="shared" ref="E80" si="61">+E81+E82</f>
        <v>0</v>
      </c>
      <c r="F80" s="1369">
        <f t="shared" ref="F80:L80" si="62">+F81+F82</f>
        <v>0</v>
      </c>
      <c r="G80" s="1371">
        <f t="shared" si="62"/>
        <v>0</v>
      </c>
      <c r="H80" s="1371">
        <f t="shared" si="62"/>
        <v>0</v>
      </c>
      <c r="I80" s="1371">
        <f t="shared" si="62"/>
        <v>0</v>
      </c>
      <c r="J80" s="1371">
        <f t="shared" si="62"/>
        <v>0</v>
      </c>
      <c r="K80" s="1371">
        <f t="shared" si="62"/>
        <v>0</v>
      </c>
      <c r="L80" s="2690">
        <f t="shared" si="62"/>
        <v>0</v>
      </c>
      <c r="M80" s="4020"/>
      <c r="N80" s="4020"/>
      <c r="O80" s="4026"/>
      <c r="Q80" s="4014"/>
      <c r="R80" s="4014"/>
      <c r="S80" s="4014"/>
    </row>
    <row r="81" spans="1:17" s="332" customFormat="1" ht="13.5" hidden="1" customHeight="1">
      <c r="A81" s="4022"/>
      <c r="B81" s="130" t="s">
        <v>13</v>
      </c>
      <c r="C81" s="3975"/>
      <c r="D81" s="239">
        <v>0</v>
      </c>
      <c r="E81" s="1368">
        <v>0</v>
      </c>
      <c r="F81" s="1368">
        <v>0</v>
      </c>
      <c r="G81" s="2682">
        <v>0</v>
      </c>
      <c r="H81" s="2682">
        <v>0</v>
      </c>
      <c r="I81" s="2682">
        <v>0</v>
      </c>
      <c r="J81" s="2682">
        <v>0</v>
      </c>
      <c r="K81" s="2682">
        <v>0</v>
      </c>
      <c r="L81" s="2683">
        <v>0</v>
      </c>
      <c r="M81" s="4020"/>
      <c r="N81" s="4020"/>
      <c r="O81" s="4026"/>
    </row>
    <row r="82" spans="1:17" s="332" customFormat="1" ht="15" hidden="1" customHeight="1" thickBot="1">
      <c r="A82" s="4023"/>
      <c r="B82" s="288" t="s">
        <v>122</v>
      </c>
      <c r="C82" s="3976"/>
      <c r="D82" s="1766">
        <v>0</v>
      </c>
      <c r="E82" s="1767">
        <v>0</v>
      </c>
      <c r="F82" s="598">
        <v>0</v>
      </c>
      <c r="G82" s="598">
        <v>0</v>
      </c>
      <c r="H82" s="598">
        <v>0</v>
      </c>
      <c r="I82" s="598">
        <v>0</v>
      </c>
      <c r="J82" s="598">
        <v>0</v>
      </c>
      <c r="K82" s="598">
        <v>0</v>
      </c>
      <c r="L82" s="2691">
        <v>0</v>
      </c>
      <c r="M82" s="4021"/>
      <c r="N82" s="4021"/>
      <c r="O82" s="4026"/>
    </row>
    <row r="83" spans="1:17" s="332" customFormat="1" ht="28.5" customHeight="1">
      <c r="A83" s="3996" t="s">
        <v>63</v>
      </c>
      <c r="B83" s="1302" t="s">
        <v>380</v>
      </c>
      <c r="C83" s="584" t="s">
        <v>109</v>
      </c>
      <c r="D83" s="3239"/>
      <c r="E83" s="3176"/>
      <c r="F83" s="3176"/>
      <c r="G83" s="3176"/>
      <c r="H83" s="3176"/>
      <c r="I83" s="3176"/>
      <c r="J83" s="3176"/>
      <c r="K83" s="3176"/>
      <c r="L83" s="3241"/>
      <c r="M83" s="1363"/>
      <c r="N83" s="3460"/>
      <c r="O83" s="4027" t="s">
        <v>401</v>
      </c>
    </row>
    <row r="84" spans="1:17" s="332" customFormat="1" ht="13.5" customHeight="1">
      <c r="A84" s="3997"/>
      <c r="B84" s="451" t="s">
        <v>10</v>
      </c>
      <c r="C84" s="3461"/>
      <c r="D84" s="3244">
        <f>+D85</f>
        <v>8000000</v>
      </c>
      <c r="E84" s="3244">
        <f t="shared" ref="E84:N84" si="63">+E85</f>
        <v>1660000</v>
      </c>
      <c r="F84" s="3244">
        <f t="shared" si="63"/>
        <v>1080000</v>
      </c>
      <c r="G84" s="3244">
        <f t="shared" si="63"/>
        <v>1080000</v>
      </c>
      <c r="H84" s="3244">
        <f t="shared" si="63"/>
        <v>1080000</v>
      </c>
      <c r="I84" s="3244">
        <f t="shared" si="63"/>
        <v>1080000</v>
      </c>
      <c r="J84" s="3244">
        <f t="shared" si="63"/>
        <v>1080000</v>
      </c>
      <c r="K84" s="3244">
        <f t="shared" si="63"/>
        <v>940000</v>
      </c>
      <c r="L84" s="3462">
        <f t="shared" si="63"/>
        <v>0</v>
      </c>
      <c r="M84" s="3246">
        <f t="shared" si="63"/>
        <v>4540000</v>
      </c>
      <c r="N84" s="3463">
        <f t="shared" si="63"/>
        <v>4540000</v>
      </c>
      <c r="O84" s="4028"/>
    </row>
    <row r="85" spans="1:17" s="320" customFormat="1" ht="16.5" customHeight="1">
      <c r="A85" s="3997"/>
      <c r="B85" s="587" t="s">
        <v>24</v>
      </c>
      <c r="C85" s="4030" t="s">
        <v>126</v>
      </c>
      <c r="D85" s="1563">
        <f>+D86+D87</f>
        <v>8000000</v>
      </c>
      <c r="E85" s="1563">
        <f t="shared" ref="E85" si="64">+E86+E87</f>
        <v>1660000</v>
      </c>
      <c r="F85" s="1563">
        <f t="shared" ref="F85:L85" si="65">+F86+F87</f>
        <v>1080000</v>
      </c>
      <c r="G85" s="1563">
        <f t="shared" si="65"/>
        <v>1080000</v>
      </c>
      <c r="H85" s="1563">
        <f t="shared" si="65"/>
        <v>1080000</v>
      </c>
      <c r="I85" s="1563">
        <f t="shared" si="65"/>
        <v>1080000</v>
      </c>
      <c r="J85" s="1563">
        <f t="shared" si="65"/>
        <v>1080000</v>
      </c>
      <c r="K85" s="1563">
        <f t="shared" si="65"/>
        <v>940000</v>
      </c>
      <c r="L85" s="3464">
        <f t="shared" si="65"/>
        <v>0</v>
      </c>
      <c r="M85" s="3260">
        <f>+M87</f>
        <v>4540000</v>
      </c>
      <c r="N85" s="3465">
        <f>+N87</f>
        <v>4540000</v>
      </c>
      <c r="O85" s="4028"/>
    </row>
    <row r="86" spans="1:17" s="320" customFormat="1" ht="13.5" customHeight="1">
      <c r="A86" s="3997"/>
      <c r="B86" s="1366" t="s">
        <v>124</v>
      </c>
      <c r="C86" s="3994"/>
      <c r="D86" s="839">
        <f>E86+F86+G86+H86+I86+J86+K86+L86</f>
        <v>3460000</v>
      </c>
      <c r="E86" s="1729">
        <v>1660000</v>
      </c>
      <c r="F86" s="1575">
        <v>1080000</v>
      </c>
      <c r="G86" s="1575">
        <v>720000</v>
      </c>
      <c r="H86" s="1575">
        <v>0</v>
      </c>
      <c r="I86" s="1575">
        <v>0</v>
      </c>
      <c r="J86" s="1575">
        <v>0</v>
      </c>
      <c r="K86" s="1575">
        <v>0</v>
      </c>
      <c r="L86" s="3466">
        <v>0</v>
      </c>
      <c r="M86" s="3258">
        <f>SUM(F86:K86)</f>
        <v>1800000</v>
      </c>
      <c r="N86" s="3535">
        <v>0</v>
      </c>
      <c r="O86" s="4028"/>
    </row>
    <row r="87" spans="1:17" s="320" customFormat="1" ht="13.5" customHeight="1" thickBot="1">
      <c r="A87" s="3998"/>
      <c r="B87" s="3467" t="s">
        <v>127</v>
      </c>
      <c r="C87" s="3995"/>
      <c r="D87" s="1578">
        <f>E87+F87+G87+H87+I87+J87+K87+L87</f>
        <v>4540000</v>
      </c>
      <c r="E87" s="1767">
        <v>0</v>
      </c>
      <c r="F87" s="3468">
        <v>0</v>
      </c>
      <c r="G87" s="1579">
        <f>1080000-720000</f>
        <v>360000</v>
      </c>
      <c r="H87" s="1579">
        <v>1080000</v>
      </c>
      <c r="I87" s="1579">
        <v>1080000</v>
      </c>
      <c r="J87" s="1579">
        <v>1080000</v>
      </c>
      <c r="K87" s="1579">
        <v>940000</v>
      </c>
      <c r="L87" s="3469">
        <v>0</v>
      </c>
      <c r="M87" s="3263">
        <f>SUM(F87:L87)</f>
        <v>4540000</v>
      </c>
      <c r="N87" s="3470">
        <f>SUM(G87:L87)</f>
        <v>4540000</v>
      </c>
      <c r="O87" s="4029"/>
    </row>
    <row r="88" spans="1:17" s="320" customFormat="1" ht="48.75" customHeight="1">
      <c r="A88" s="3996" t="s">
        <v>64</v>
      </c>
      <c r="B88" s="3471" t="s">
        <v>375</v>
      </c>
      <c r="C88" s="584" t="s">
        <v>109</v>
      </c>
      <c r="D88" s="3239"/>
      <c r="E88" s="3176"/>
      <c r="F88" s="3176"/>
      <c r="G88" s="3176"/>
      <c r="H88" s="3176"/>
      <c r="I88" s="3176"/>
      <c r="J88" s="3176"/>
      <c r="K88" s="3176"/>
      <c r="L88" s="3241"/>
      <c r="M88" s="3472"/>
      <c r="N88" s="3473"/>
      <c r="O88" s="4001" t="s">
        <v>281</v>
      </c>
      <c r="P88" s="1352">
        <f>+H97+I97+J97+K97+L97+H97+I97+J97+1916851-59217</f>
        <v>32527106</v>
      </c>
    </row>
    <row r="89" spans="1:17" s="320" customFormat="1" ht="13.5" customHeight="1" thickBot="1">
      <c r="A89" s="3997"/>
      <c r="B89" s="451" t="s">
        <v>10</v>
      </c>
      <c r="C89" s="3474"/>
      <c r="D89" s="3475">
        <f>+D90</f>
        <v>2799999.64</v>
      </c>
      <c r="E89" s="3475">
        <f t="shared" ref="E89" si="66">+E90</f>
        <v>116666.64</v>
      </c>
      <c r="F89" s="3475">
        <f t="shared" ref="F89:L89" si="67">+F90</f>
        <v>233333</v>
      </c>
      <c r="G89" s="3475">
        <f t="shared" si="67"/>
        <v>233333</v>
      </c>
      <c r="H89" s="3475">
        <f t="shared" si="67"/>
        <v>233333</v>
      </c>
      <c r="I89" s="3475">
        <f t="shared" si="67"/>
        <v>233333</v>
      </c>
      <c r="J89" s="3475">
        <f t="shared" si="67"/>
        <v>233333</v>
      </c>
      <c r="K89" s="3475">
        <f t="shared" si="67"/>
        <v>233333</v>
      </c>
      <c r="L89" s="3475">
        <f t="shared" si="67"/>
        <v>233333</v>
      </c>
      <c r="M89" s="3476">
        <f>+M90</f>
        <v>2294444</v>
      </c>
      <c r="N89" s="3477">
        <f>+N90</f>
        <v>2294444</v>
      </c>
      <c r="O89" s="4002"/>
    </row>
    <row r="90" spans="1:17" s="320" customFormat="1" ht="13.5" customHeight="1" thickBot="1">
      <c r="A90" s="3997"/>
      <c r="B90" s="587" t="s">
        <v>24</v>
      </c>
      <c r="C90" s="3993" t="s">
        <v>126</v>
      </c>
      <c r="D90" s="1372">
        <f>+D92+D91</f>
        <v>2799999.64</v>
      </c>
      <c r="E90" s="1372">
        <f>+E91</f>
        <v>116666.64</v>
      </c>
      <c r="F90" s="1372">
        <f t="shared" ref="F90:L90" si="68">+F91+F92</f>
        <v>233333</v>
      </c>
      <c r="G90" s="1372">
        <f t="shared" si="68"/>
        <v>233333</v>
      </c>
      <c r="H90" s="1372">
        <f t="shared" si="68"/>
        <v>233333</v>
      </c>
      <c r="I90" s="1372">
        <f t="shared" si="68"/>
        <v>233333</v>
      </c>
      <c r="J90" s="1372">
        <f t="shared" si="68"/>
        <v>233333</v>
      </c>
      <c r="K90" s="1372">
        <f t="shared" si="68"/>
        <v>233333</v>
      </c>
      <c r="L90" s="1372">
        <f t="shared" si="68"/>
        <v>233333</v>
      </c>
      <c r="M90" s="3478">
        <f>+M92</f>
        <v>2294444</v>
      </c>
      <c r="N90" s="3465">
        <f>+N92</f>
        <v>2294444</v>
      </c>
      <c r="O90" s="4008"/>
    </row>
    <row r="91" spans="1:17" s="320" customFormat="1" ht="12.75" customHeight="1" thickBot="1">
      <c r="A91" s="3997"/>
      <c r="B91" s="1366" t="s">
        <v>124</v>
      </c>
      <c r="C91" s="3994"/>
      <c r="D91" s="239">
        <f>E91+F91+G91+H91+I91+J91+K91+L91</f>
        <v>505555.64</v>
      </c>
      <c r="E91" s="1368">
        <v>116666.64</v>
      </c>
      <c r="F91" s="1373">
        <v>233333</v>
      </c>
      <c r="G91" s="1373">
        <v>155556</v>
      </c>
      <c r="H91" s="1373">
        <v>0</v>
      </c>
      <c r="I91" s="1373">
        <v>0</v>
      </c>
      <c r="J91" s="1373"/>
      <c r="K91" s="1373"/>
      <c r="L91" s="1373"/>
      <c r="M91" s="1367">
        <f>SUM(F91:K91)</f>
        <v>388889</v>
      </c>
      <c r="N91" s="3535">
        <v>0</v>
      </c>
      <c r="O91" s="4008"/>
    </row>
    <row r="92" spans="1:17" s="320" customFormat="1" ht="13.5" customHeight="1" thickBot="1">
      <c r="A92" s="3997"/>
      <c r="B92" s="3467" t="s">
        <v>127</v>
      </c>
      <c r="C92" s="3995"/>
      <c r="D92" s="832">
        <f>E92+F92+G92+H92+I92+J92+K92+L92+P92</f>
        <v>2294444</v>
      </c>
      <c r="E92" s="3479">
        <v>0</v>
      </c>
      <c r="F92" s="504">
        <v>0</v>
      </c>
      <c r="G92" s="504">
        <f>233333-155556</f>
        <v>77777</v>
      </c>
      <c r="H92" s="504">
        <v>233333</v>
      </c>
      <c r="I92" s="504">
        <v>233333</v>
      </c>
      <c r="J92" s="504">
        <v>233333</v>
      </c>
      <c r="K92" s="504">
        <v>233333</v>
      </c>
      <c r="L92" s="504">
        <v>233333</v>
      </c>
      <c r="M92" s="1367">
        <f>SUM(F92:L92)+1050002</f>
        <v>2294444</v>
      </c>
      <c r="N92" s="3012">
        <f>SUM(G92:L92)+1050002</f>
        <v>2294444</v>
      </c>
      <c r="O92" s="4003"/>
      <c r="P92" s="1370">
        <v>1050002</v>
      </c>
      <c r="Q92" s="1352">
        <f>+P92+P97</f>
        <v>33636325</v>
      </c>
    </row>
    <row r="93" spans="1:17" s="332" customFormat="1" ht="42" customHeight="1" thickBot="1">
      <c r="A93" s="3998" t="s">
        <v>65</v>
      </c>
      <c r="B93" s="1302" t="s">
        <v>377</v>
      </c>
      <c r="C93" s="584" t="s">
        <v>109</v>
      </c>
      <c r="D93" s="3239"/>
      <c r="E93" s="3176"/>
      <c r="F93" s="3176"/>
      <c r="G93" s="3176"/>
      <c r="H93" s="3176"/>
      <c r="I93" s="3176"/>
      <c r="J93" s="3176"/>
      <c r="K93" s="3176"/>
      <c r="L93" s="3241"/>
      <c r="M93" s="1363"/>
      <c r="N93" s="3460"/>
      <c r="O93" s="4007" t="s">
        <v>330</v>
      </c>
    </row>
    <row r="94" spans="1:17" s="332" customFormat="1" ht="13.5" customHeight="1" thickBot="1">
      <c r="A94" s="3999"/>
      <c r="B94" s="451" t="s">
        <v>10</v>
      </c>
      <c r="C94" s="3474"/>
      <c r="D94" s="586">
        <f>+D95</f>
        <v>54689223</v>
      </c>
      <c r="E94" s="1364">
        <f t="shared" ref="E94:L94" si="69">+E95</f>
        <v>0</v>
      </c>
      <c r="F94" s="1364">
        <f t="shared" si="69"/>
        <v>0</v>
      </c>
      <c r="G94" s="586">
        <f t="shared" si="69"/>
        <v>2934480</v>
      </c>
      <c r="H94" s="586">
        <f t="shared" si="69"/>
        <v>3833684</v>
      </c>
      <c r="I94" s="586">
        <f t="shared" si="69"/>
        <v>3833684</v>
      </c>
      <c r="J94" s="586">
        <f t="shared" si="69"/>
        <v>3833684</v>
      </c>
      <c r="K94" s="586">
        <f t="shared" si="69"/>
        <v>3833684</v>
      </c>
      <c r="L94" s="586">
        <f t="shared" si="69"/>
        <v>3833684</v>
      </c>
      <c r="M94" s="1365">
        <f>+M95</f>
        <v>54689223</v>
      </c>
      <c r="N94" s="3480">
        <f>+N95</f>
        <v>53671585</v>
      </c>
      <c r="O94" s="4008"/>
    </row>
    <row r="95" spans="1:17" s="320" customFormat="1" ht="13.5" customHeight="1" thickBot="1">
      <c r="A95" s="3999"/>
      <c r="B95" s="587" t="s">
        <v>24</v>
      </c>
      <c r="C95" s="3993" t="s">
        <v>126</v>
      </c>
      <c r="D95" s="1369">
        <f>+D96+D97</f>
        <v>54689223</v>
      </c>
      <c r="E95" s="1371">
        <f t="shared" ref="E95" si="70">+E96+E97</f>
        <v>0</v>
      </c>
      <c r="F95" s="1371">
        <f t="shared" ref="F95:L95" si="71">+F96+F97</f>
        <v>0</v>
      </c>
      <c r="G95" s="1369">
        <f t="shared" si="71"/>
        <v>2934480</v>
      </c>
      <c r="H95" s="1369">
        <f t="shared" si="71"/>
        <v>3833684</v>
      </c>
      <c r="I95" s="1369">
        <f t="shared" si="71"/>
        <v>3833684</v>
      </c>
      <c r="J95" s="1369">
        <f t="shared" si="71"/>
        <v>3833684</v>
      </c>
      <c r="K95" s="1369">
        <f t="shared" si="71"/>
        <v>3833684</v>
      </c>
      <c r="L95" s="1369">
        <f t="shared" si="71"/>
        <v>3833684</v>
      </c>
      <c r="M95" s="3478">
        <f>+M96+M97</f>
        <v>54689223</v>
      </c>
      <c r="N95" s="3481">
        <f>+N96+N97</f>
        <v>53671585</v>
      </c>
      <c r="O95" s="4008"/>
      <c r="Q95" s="1352"/>
    </row>
    <row r="96" spans="1:17" s="320" customFormat="1" ht="13.5" customHeight="1" thickBot="1">
      <c r="A96" s="3999"/>
      <c r="B96" s="1366" t="s">
        <v>124</v>
      </c>
      <c r="C96" s="3994"/>
      <c r="D96" s="239">
        <f>E96+F96+G96+H96+I96+J96+K96+L96</f>
        <v>1017638</v>
      </c>
      <c r="E96" s="3482">
        <v>0</v>
      </c>
      <c r="F96" s="592">
        <v>0</v>
      </c>
      <c r="G96" s="1575">
        <v>1017638</v>
      </c>
      <c r="H96" s="592">
        <v>0</v>
      </c>
      <c r="I96" s="592">
        <v>0</v>
      </c>
      <c r="J96" s="592">
        <v>0</v>
      </c>
      <c r="K96" s="593">
        <v>0</v>
      </c>
      <c r="L96" s="593">
        <v>0</v>
      </c>
      <c r="M96" s="1367">
        <f>SUM(F96:K96)</f>
        <v>1017638</v>
      </c>
      <c r="N96" s="3534">
        <v>0</v>
      </c>
      <c r="O96" s="4003"/>
    </row>
    <row r="97" spans="1:23" s="320" customFormat="1" ht="13.5" customHeight="1" thickBot="1">
      <c r="A97" s="3999"/>
      <c r="B97" s="3467" t="s">
        <v>127</v>
      </c>
      <c r="C97" s="3995"/>
      <c r="D97" s="832">
        <f>+G97+H97+I97+J97+K97+L97+P97</f>
        <v>53671585</v>
      </c>
      <c r="E97" s="3483">
        <v>0</v>
      </c>
      <c r="F97" s="557">
        <v>0</v>
      </c>
      <c r="G97" s="1579">
        <f>2934480-1017638</f>
        <v>1916842</v>
      </c>
      <c r="H97" s="504">
        <f>3912640-78956</f>
        <v>3833684</v>
      </c>
      <c r="I97" s="504">
        <f>3912640-78956</f>
        <v>3833684</v>
      </c>
      <c r="J97" s="504">
        <f>3912640-78956</f>
        <v>3833684</v>
      </c>
      <c r="K97" s="504">
        <f>3912640-78956</f>
        <v>3833684</v>
      </c>
      <c r="L97" s="504">
        <f>3912640-78956</f>
        <v>3833684</v>
      </c>
      <c r="M97" s="3484">
        <f>+K97+J97+I97+H97+G97+F97+L97+3833684+3833684+3833684+3833684+3833684+3833684+3833684+3833684+1916851</f>
        <v>53671585</v>
      </c>
      <c r="N97" s="3485">
        <f>+L97+K97+J97+I97+H97+G97+3833684+3833684+3833684+3833684+3833684+3833684+3833684+3833684+1916851</f>
        <v>53671585</v>
      </c>
      <c r="O97" s="4007"/>
      <c r="P97" s="3033">
        <v>32586323</v>
      </c>
    </row>
    <row r="98" spans="1:23" s="320" customFormat="1" ht="27.75" customHeight="1">
      <c r="A98" s="4000" t="s">
        <v>66</v>
      </c>
      <c r="B98" s="1302" t="s">
        <v>535</v>
      </c>
      <c r="C98" s="584" t="s">
        <v>81</v>
      </c>
      <c r="D98" s="3239"/>
      <c r="E98" s="3176"/>
      <c r="F98" s="3176"/>
      <c r="G98" s="3176"/>
      <c r="H98" s="3176"/>
      <c r="I98" s="3176"/>
      <c r="J98" s="3176"/>
      <c r="K98" s="3176"/>
      <c r="L98" s="3241"/>
      <c r="M98" s="3460"/>
      <c r="N98" s="3486"/>
      <c r="O98" s="4001" t="s">
        <v>534</v>
      </c>
      <c r="P98" s="2708"/>
    </row>
    <row r="99" spans="1:23" s="320" customFormat="1" ht="13.5" customHeight="1" thickBot="1">
      <c r="A99" s="3998"/>
      <c r="B99" s="2422" t="s">
        <v>10</v>
      </c>
      <c r="C99" s="3487"/>
      <c r="D99" s="3488">
        <f>+D100</f>
        <v>13500000</v>
      </c>
      <c r="E99" s="3489">
        <v>0</v>
      </c>
      <c r="F99" s="3489">
        <v>0</v>
      </c>
      <c r="G99" s="3488">
        <v>0</v>
      </c>
      <c r="H99" s="3488">
        <f>+H100</f>
        <v>4500000</v>
      </c>
      <c r="I99" s="3488">
        <f t="shared" ref="I99:J99" si="72">+I100</f>
        <v>4500000</v>
      </c>
      <c r="J99" s="3488">
        <f t="shared" si="72"/>
        <v>4500000</v>
      </c>
      <c r="K99" s="3489">
        <v>0</v>
      </c>
      <c r="L99" s="3489">
        <v>0</v>
      </c>
      <c r="M99" s="3490"/>
      <c r="N99" s="3491">
        <f>+N100</f>
        <v>13500000</v>
      </c>
      <c r="O99" s="4002"/>
      <c r="P99" s="2708"/>
    </row>
    <row r="100" spans="1:23" s="320" customFormat="1" ht="13.5" customHeight="1" thickBot="1">
      <c r="A100" s="3999"/>
      <c r="B100" s="3279" t="s">
        <v>24</v>
      </c>
      <c r="C100" s="4005" t="s">
        <v>533</v>
      </c>
      <c r="D100" s="3492">
        <f>+D101</f>
        <v>13500000</v>
      </c>
      <c r="E100" s="3493">
        <v>0</v>
      </c>
      <c r="F100" s="3493">
        <v>0</v>
      </c>
      <c r="G100" s="3492">
        <v>0</v>
      </c>
      <c r="H100" s="3492">
        <f>+H101</f>
        <v>4500000</v>
      </c>
      <c r="I100" s="3492">
        <f t="shared" ref="I100:J100" si="73">+I101</f>
        <v>4500000</v>
      </c>
      <c r="J100" s="3492">
        <f t="shared" si="73"/>
        <v>4500000</v>
      </c>
      <c r="K100" s="3493">
        <v>0</v>
      </c>
      <c r="L100" s="3493">
        <v>0</v>
      </c>
      <c r="M100" s="3494"/>
      <c r="N100" s="3495">
        <f>+N101</f>
        <v>13500000</v>
      </c>
      <c r="O100" s="4003"/>
      <c r="P100" s="2708"/>
    </row>
    <row r="101" spans="1:23" s="320" customFormat="1" ht="13.5" customHeight="1" thickBot="1">
      <c r="A101" s="3999"/>
      <c r="B101" s="3467" t="s">
        <v>127</v>
      </c>
      <c r="C101" s="4006"/>
      <c r="D101" s="2722">
        <f>+E101+F101+G101+H101+I101+J101</f>
        <v>13500000</v>
      </c>
      <c r="E101" s="3496">
        <v>0</v>
      </c>
      <c r="F101" s="3497">
        <v>0</v>
      </c>
      <c r="G101" s="3468">
        <v>0</v>
      </c>
      <c r="H101" s="3468">
        <v>4500000</v>
      </c>
      <c r="I101" s="3468">
        <v>4500000</v>
      </c>
      <c r="J101" s="3468">
        <v>4500000</v>
      </c>
      <c r="K101" s="3498">
        <v>0</v>
      </c>
      <c r="L101" s="3498">
        <v>0</v>
      </c>
      <c r="M101" s="3499"/>
      <c r="N101" s="3500">
        <f>+J101+I101+H101</f>
        <v>13500000</v>
      </c>
      <c r="O101" s="4004"/>
      <c r="P101" s="2708"/>
    </row>
    <row r="102" spans="1:23" s="1374" customFormat="1" ht="13.5" customHeight="1">
      <c r="A102" s="3990"/>
      <c r="B102" s="3990"/>
      <c r="C102" s="3990"/>
      <c r="D102" s="3990"/>
      <c r="E102" s="3990"/>
      <c r="F102" s="3990"/>
      <c r="G102" s="3990"/>
      <c r="H102" s="3990"/>
      <c r="I102" s="3990"/>
      <c r="J102" s="3990"/>
      <c r="K102" s="3990"/>
      <c r="L102" s="3990"/>
      <c r="M102" s="3990"/>
      <c r="N102" s="3990"/>
      <c r="O102" s="3991"/>
    </row>
    <row r="103" spans="1:23" s="310" customFormat="1" ht="12.75" customHeight="1">
      <c r="A103" s="3992" t="s">
        <v>376</v>
      </c>
      <c r="B103" s="3992"/>
      <c r="C103" s="3992"/>
      <c r="D103" s="3992"/>
      <c r="E103" s="3992"/>
      <c r="F103" s="3992"/>
      <c r="G103" s="3992"/>
      <c r="H103" s="3992"/>
      <c r="I103" s="3992"/>
      <c r="J103" s="3992"/>
      <c r="K103" s="3992"/>
      <c r="L103" s="3992"/>
      <c r="O103" s="175"/>
    </row>
    <row r="104" spans="1:23" s="310" customFormat="1" ht="12.75" customHeight="1">
      <c r="A104" s="3992" t="s">
        <v>545</v>
      </c>
      <c r="B104" s="3992"/>
      <c r="C104" s="3992"/>
      <c r="D104" s="3992"/>
      <c r="E104" s="3992"/>
      <c r="F104" s="3992"/>
      <c r="G104" s="3992"/>
      <c r="H104" s="3992"/>
      <c r="I104" s="3992"/>
      <c r="J104" s="3077"/>
      <c r="K104" s="3077"/>
      <c r="L104" s="3077"/>
    </row>
    <row r="105" spans="1:23" s="1374" customFormat="1" ht="13.5" customHeight="1">
      <c r="A105" s="3990"/>
      <c r="B105" s="3990"/>
      <c r="C105" s="3990"/>
      <c r="D105" s="3990"/>
      <c r="E105" s="3990"/>
      <c r="F105" s="3990"/>
      <c r="G105" s="3990"/>
      <c r="H105" s="3990"/>
      <c r="I105" s="3990"/>
      <c r="J105" s="3990"/>
      <c r="K105" s="3990"/>
      <c r="L105" s="3990"/>
      <c r="M105" s="3990"/>
      <c r="N105" s="3990"/>
      <c r="O105" s="3990"/>
    </row>
    <row r="106" spans="1:23" s="1375" customFormat="1" ht="12.75" customHeight="1" thickBot="1">
      <c r="A106" s="2972"/>
      <c r="E106" s="1376"/>
      <c r="F106" s="3435"/>
      <c r="G106" s="3435"/>
      <c r="H106" s="3435"/>
      <c r="I106" s="3435"/>
      <c r="J106" s="3435"/>
      <c r="K106" s="3435"/>
      <c r="L106" s="3435"/>
      <c r="M106" s="3435"/>
      <c r="N106" s="3435"/>
      <c r="O106" s="3501"/>
    </row>
    <row r="107" spans="1:23" s="332" customFormat="1" ht="10.5" hidden="1" customHeight="1" thickBot="1">
      <c r="A107" s="2791"/>
      <c r="B107" s="3435"/>
      <c r="C107" s="3437"/>
      <c r="D107" s="3437"/>
      <c r="E107" s="3435"/>
      <c r="F107" s="3435"/>
      <c r="G107" s="3435"/>
      <c r="H107" s="3435"/>
      <c r="I107" s="3435"/>
      <c r="J107" s="3435"/>
      <c r="K107" s="3435"/>
      <c r="L107" s="3435"/>
      <c r="M107" s="3435"/>
      <c r="N107" s="3435"/>
      <c r="O107" s="3502"/>
    </row>
    <row r="108" spans="1:23" s="1374" customFormat="1" ht="15.75" hidden="1" customHeight="1" thickBot="1">
      <c r="A108" s="2828"/>
      <c r="B108" s="3435"/>
      <c r="C108" s="3435"/>
      <c r="D108" s="3435"/>
      <c r="E108" s="3435"/>
      <c r="F108" s="3503">
        <v>2017</v>
      </c>
      <c r="G108" s="3503">
        <v>2018</v>
      </c>
      <c r="H108" s="3503">
        <v>2019</v>
      </c>
      <c r="I108" s="3503">
        <v>2020</v>
      </c>
      <c r="J108" s="3503">
        <v>2021</v>
      </c>
      <c r="K108" s="3503">
        <v>2022</v>
      </c>
      <c r="L108" s="3503">
        <v>2023</v>
      </c>
      <c r="M108" s="3503">
        <v>2024</v>
      </c>
      <c r="N108" s="3504">
        <v>2024</v>
      </c>
      <c r="O108" s="3505">
        <v>2025</v>
      </c>
      <c r="P108" s="3503">
        <v>2026</v>
      </c>
      <c r="Q108" s="3503">
        <v>2027</v>
      </c>
      <c r="R108" s="1377">
        <v>2028</v>
      </c>
      <c r="S108" s="1377">
        <v>2029</v>
      </c>
      <c r="T108" s="1377">
        <v>2030</v>
      </c>
      <c r="U108" s="1377">
        <v>2031</v>
      </c>
      <c r="V108" s="1377">
        <v>2032</v>
      </c>
    </row>
    <row r="109" spans="1:23" s="1374" customFormat="1" ht="15.75" hidden="1" customHeight="1" thickBot="1">
      <c r="A109" s="2791"/>
      <c r="B109" s="1378" t="s">
        <v>208</v>
      </c>
      <c r="C109" s="1378"/>
      <c r="D109" s="1379"/>
      <c r="E109" s="1378"/>
      <c r="F109" s="1380">
        <f>+F87+F92+F97</f>
        <v>0</v>
      </c>
      <c r="G109" s="1380">
        <f>+G87+G92+G97</f>
        <v>2354619</v>
      </c>
      <c r="H109" s="1380">
        <f>+H87+H92+H97</f>
        <v>5147017</v>
      </c>
      <c r="I109" s="1380">
        <f>+I87+I92+I97</f>
        <v>5147017</v>
      </c>
      <c r="J109" s="1380">
        <f>+J87+J92+J97</f>
        <v>5147017</v>
      </c>
      <c r="K109" s="1380">
        <f t="shared" ref="K109" si="74">+K87+K92+K97</f>
        <v>5007017</v>
      </c>
      <c r="L109" s="1380">
        <f>+L87+L92+L97</f>
        <v>4067017</v>
      </c>
      <c r="M109" s="1380"/>
      <c r="N109" s="2856">
        <f>4145973-78956</f>
        <v>4067017</v>
      </c>
      <c r="O109" s="2869">
        <f>4145973-78956</f>
        <v>4067017</v>
      </c>
      <c r="P109" s="1380">
        <f>4145973-78956</f>
        <v>4067017</v>
      </c>
      <c r="Q109" s="1380">
        <f>4145973-78956</f>
        <v>4067017</v>
      </c>
      <c r="R109" s="1380">
        <f>4029310-78956</f>
        <v>3950354</v>
      </c>
      <c r="S109" s="1380">
        <f>3912640-78956</f>
        <v>3833684</v>
      </c>
      <c r="T109" s="1380">
        <f>3912640-78956</f>
        <v>3833684</v>
      </c>
      <c r="U109" s="1380">
        <f>3912640-78956</f>
        <v>3833684</v>
      </c>
      <c r="V109" s="1380">
        <v>1916851</v>
      </c>
      <c r="W109" s="1380">
        <f>+N87+N92+N97</f>
        <v>60506029</v>
      </c>
    </row>
    <row r="110" spans="1:23" s="1374" customFormat="1" ht="15.75" hidden="1" customHeight="1" thickBot="1">
      <c r="A110" s="2791"/>
      <c r="B110" s="3435"/>
      <c r="C110" s="3435"/>
      <c r="D110" s="3437"/>
      <c r="E110" s="3435"/>
      <c r="F110" s="3435"/>
      <c r="G110" s="3435"/>
      <c r="H110" s="3435"/>
      <c r="I110" s="3435"/>
      <c r="J110" s="3435"/>
      <c r="K110" s="3435"/>
      <c r="L110" s="3435"/>
      <c r="M110" s="3435"/>
      <c r="N110" s="3435"/>
      <c r="O110" s="3502"/>
      <c r="V110" s="1381">
        <f>SUM(F109:V109)</f>
        <v>60506029</v>
      </c>
    </row>
    <row r="111" spans="1:23" s="1374" customFormat="1" ht="12" hidden="1" customHeight="1" thickBot="1">
      <c r="A111" s="2791"/>
      <c r="B111" s="3435"/>
      <c r="C111" s="3435"/>
      <c r="D111" s="3437"/>
      <c r="E111" s="3435"/>
      <c r="F111" s="3435"/>
      <c r="G111" s="3435"/>
      <c r="H111" s="3435"/>
      <c r="I111" s="3435"/>
      <c r="J111" s="3435"/>
      <c r="K111" s="3435"/>
      <c r="L111" s="3435"/>
      <c r="M111" s="3435"/>
      <c r="N111" s="3435"/>
      <c r="O111" s="3502"/>
      <c r="R111" s="1381"/>
      <c r="V111" s="1381"/>
    </row>
    <row r="112" spans="1:23" s="1382" customFormat="1" ht="22.5" hidden="1" customHeight="1" thickBot="1">
      <c r="A112" s="2791"/>
      <c r="B112" s="3456" t="s">
        <v>350</v>
      </c>
      <c r="C112" s="3455"/>
      <c r="D112" s="3455"/>
      <c r="E112" s="3455"/>
      <c r="F112" s="3455"/>
      <c r="G112" s="3455"/>
      <c r="H112" s="3455"/>
      <c r="I112" s="3455"/>
      <c r="J112" s="3455"/>
      <c r="K112" s="3455"/>
      <c r="L112" s="3455"/>
      <c r="M112" s="3435"/>
      <c r="N112" s="3435"/>
      <c r="O112" s="3502"/>
      <c r="V112" s="1383">
        <f>+V110-W109</f>
        <v>0</v>
      </c>
    </row>
    <row r="113" spans="1:15" s="332" customFormat="1" ht="12.75" hidden="1" customHeight="1" thickBot="1">
      <c r="A113" s="2791"/>
      <c r="B113" s="3456" t="s">
        <v>351</v>
      </c>
      <c r="C113" s="3455"/>
      <c r="D113" s="3351">
        <f>D41</f>
        <v>1203025</v>
      </c>
      <c r="E113" s="3351">
        <f t="shared" ref="E113:L113" si="75">E41</f>
        <v>0</v>
      </c>
      <c r="F113" s="3351">
        <f t="shared" si="75"/>
        <v>0</v>
      </c>
      <c r="G113" s="3351">
        <f t="shared" si="75"/>
        <v>180114</v>
      </c>
      <c r="H113" s="3351">
        <f t="shared" si="75"/>
        <v>488417</v>
      </c>
      <c r="I113" s="3351">
        <f t="shared" si="75"/>
        <v>466347</v>
      </c>
      <c r="J113" s="3351">
        <f t="shared" si="75"/>
        <v>68147</v>
      </c>
      <c r="K113" s="3351">
        <f t="shared" si="75"/>
        <v>0</v>
      </c>
      <c r="L113" s="3351">
        <f t="shared" si="75"/>
        <v>0</v>
      </c>
      <c r="M113" s="3435"/>
      <c r="N113" s="3435"/>
      <c r="O113" s="3502"/>
    </row>
    <row r="114" spans="1:15" s="332" customFormat="1" ht="12.75" hidden="1" customHeight="1">
      <c r="A114" s="2829"/>
      <c r="B114" s="3456" t="s">
        <v>352</v>
      </c>
      <c r="C114" s="3455"/>
      <c r="D114" s="3351">
        <f>D29</f>
        <v>36789795</v>
      </c>
      <c r="E114" s="3351">
        <f t="shared" ref="E114:L114" si="76">E29</f>
        <v>0</v>
      </c>
      <c r="F114" s="3351">
        <f t="shared" si="76"/>
        <v>0</v>
      </c>
      <c r="G114" s="3351">
        <f t="shared" si="76"/>
        <v>5508086</v>
      </c>
      <c r="H114" s="3351">
        <f t="shared" si="76"/>
        <v>14936317</v>
      </c>
      <c r="I114" s="3351">
        <f t="shared" si="76"/>
        <v>14261379</v>
      </c>
      <c r="J114" s="3351">
        <f t="shared" si="76"/>
        <v>2084013</v>
      </c>
      <c r="K114" s="3351">
        <f t="shared" si="76"/>
        <v>0</v>
      </c>
      <c r="L114" s="3351">
        <f t="shared" si="76"/>
        <v>0</v>
      </c>
      <c r="M114" s="3435"/>
      <c r="N114" s="3435"/>
      <c r="O114" s="3506"/>
    </row>
    <row r="115" spans="1:15" s="332" customFormat="1" hidden="1">
      <c r="A115" s="301"/>
      <c r="B115" s="3456" t="s">
        <v>353</v>
      </c>
      <c r="C115" s="3455"/>
      <c r="D115" s="2033">
        <f>D113+D114</f>
        <v>37992820</v>
      </c>
      <c r="E115" s="2033">
        <f t="shared" ref="E115:L115" si="77">E113+E114</f>
        <v>0</v>
      </c>
      <c r="F115" s="2033">
        <f t="shared" si="77"/>
        <v>0</v>
      </c>
      <c r="G115" s="2033">
        <f t="shared" si="77"/>
        <v>5688200</v>
      </c>
      <c r="H115" s="2033">
        <f t="shared" si="77"/>
        <v>15424734</v>
      </c>
      <c r="I115" s="2033">
        <f t="shared" si="77"/>
        <v>14727726</v>
      </c>
      <c r="J115" s="2033">
        <f t="shared" si="77"/>
        <v>2152160</v>
      </c>
      <c r="K115" s="2033">
        <f t="shared" si="77"/>
        <v>0</v>
      </c>
      <c r="L115" s="2033">
        <f t="shared" si="77"/>
        <v>0</v>
      </c>
      <c r="M115" s="3435"/>
      <c r="N115" s="3435"/>
      <c r="O115" s="3436"/>
    </row>
    <row r="116" spans="1:15" s="1382" customFormat="1" ht="14.25" hidden="1" customHeight="1">
      <c r="A116" s="301"/>
      <c r="B116" s="1714" t="s">
        <v>42</v>
      </c>
      <c r="C116" s="1715"/>
      <c r="D116" s="2034">
        <f>D115-D16</f>
        <v>0</v>
      </c>
      <c r="E116" s="2034">
        <f t="shared" ref="E116:L116" si="78">E115-E16</f>
        <v>0</v>
      </c>
      <c r="F116" s="2034">
        <f t="shared" si="78"/>
        <v>0</v>
      </c>
      <c r="G116" s="2034">
        <f t="shared" si="78"/>
        <v>0</v>
      </c>
      <c r="H116" s="2034">
        <f t="shared" si="78"/>
        <v>0</v>
      </c>
      <c r="I116" s="2034">
        <f t="shared" si="78"/>
        <v>0</v>
      </c>
      <c r="J116" s="2034">
        <f t="shared" si="78"/>
        <v>0</v>
      </c>
      <c r="K116" s="2034">
        <f t="shared" si="78"/>
        <v>0</v>
      </c>
      <c r="L116" s="2034">
        <f t="shared" si="78"/>
        <v>0</v>
      </c>
      <c r="M116" s="3435"/>
      <c r="N116" s="3435"/>
      <c r="O116" s="3436"/>
    </row>
    <row r="117" spans="1:15" s="332" customFormat="1" ht="12.75" hidden="1" customHeight="1">
      <c r="A117" s="301"/>
      <c r="B117" s="3435"/>
      <c r="C117" s="3435"/>
      <c r="D117" s="3435"/>
      <c r="E117" s="3435"/>
      <c r="F117" s="3435"/>
      <c r="G117" s="3435"/>
      <c r="H117" s="3435"/>
      <c r="I117" s="3435"/>
      <c r="J117" s="3435"/>
      <c r="K117" s="3435"/>
      <c r="L117" s="3435"/>
      <c r="M117" s="3435"/>
      <c r="N117" s="3435"/>
      <c r="O117" s="3436"/>
    </row>
    <row r="118" spans="1:15" s="332" customFormat="1" ht="12.75" hidden="1" customHeight="1">
      <c r="A118" s="301"/>
      <c r="B118" s="3435"/>
      <c r="C118" s="3435"/>
      <c r="D118" s="3435"/>
      <c r="E118" s="3435"/>
      <c r="F118" s="3435"/>
      <c r="G118" s="3435"/>
      <c r="H118" s="3435"/>
      <c r="I118" s="3435"/>
      <c r="J118" s="3435"/>
      <c r="K118" s="3435"/>
      <c r="L118" s="3435"/>
      <c r="M118" s="3435"/>
      <c r="N118" s="3435"/>
      <c r="O118" s="3436"/>
    </row>
    <row r="119" spans="1:15" s="332" customFormat="1" hidden="1">
      <c r="A119" s="301"/>
      <c r="B119" s="3435"/>
      <c r="C119" s="3435"/>
      <c r="D119" s="3435"/>
      <c r="E119" s="3435"/>
      <c r="F119" s="3435"/>
      <c r="G119" s="3435"/>
      <c r="H119" s="3435"/>
      <c r="I119" s="3435"/>
      <c r="J119" s="3435"/>
      <c r="K119" s="3435"/>
      <c r="L119" s="3435"/>
      <c r="M119" s="3435"/>
      <c r="N119" s="3435"/>
      <c r="O119" s="3436"/>
    </row>
    <row r="120" spans="1:15" s="332" customFormat="1" hidden="1">
      <c r="A120" s="301"/>
      <c r="B120" s="3435"/>
      <c r="C120" s="3435"/>
      <c r="D120" s="3435"/>
      <c r="E120" s="3435"/>
      <c r="F120" s="3435"/>
      <c r="G120" s="3435"/>
      <c r="H120" s="3435"/>
      <c r="I120" s="3435"/>
      <c r="J120" s="3435"/>
      <c r="K120" s="3435"/>
      <c r="L120" s="3435"/>
      <c r="M120" s="3435"/>
      <c r="N120" s="3435"/>
      <c r="O120" s="3436"/>
    </row>
    <row r="121" spans="1:15" s="1382" customFormat="1" ht="33.75" hidden="1" customHeight="1">
      <c r="A121" s="301"/>
      <c r="B121" s="3435"/>
      <c r="C121" s="3435"/>
      <c r="D121" s="3435"/>
      <c r="E121" s="3435"/>
      <c r="F121" s="3435"/>
      <c r="G121" s="3435"/>
      <c r="H121" s="3435"/>
      <c r="I121" s="3435"/>
      <c r="J121" s="3435"/>
      <c r="K121" s="3435"/>
      <c r="L121" s="3435"/>
      <c r="M121" s="3435"/>
      <c r="N121" s="3435"/>
      <c r="O121" s="3436"/>
    </row>
    <row r="122" spans="1:15" s="332" customFormat="1" ht="12.75" customHeight="1">
      <c r="A122" s="301"/>
      <c r="B122" s="3435"/>
      <c r="C122" s="3435"/>
      <c r="D122" s="3435"/>
      <c r="E122" s="3435"/>
      <c r="F122" s="3435"/>
      <c r="G122" s="3435"/>
      <c r="H122" s="3435"/>
      <c r="I122" s="3435"/>
      <c r="J122" s="3435"/>
      <c r="K122" s="3435"/>
      <c r="L122" s="3435"/>
      <c r="M122" s="3435"/>
      <c r="N122" s="3435"/>
      <c r="O122" s="3436"/>
    </row>
    <row r="123" spans="1:15" s="332" customFormat="1" ht="12.75" customHeight="1">
      <c r="A123" s="301"/>
      <c r="B123" s="3435"/>
      <c r="C123" s="3435"/>
      <c r="D123" s="3435"/>
      <c r="E123" s="3435"/>
      <c r="F123" s="3435"/>
      <c r="G123" s="3435"/>
      <c r="H123" s="3435"/>
      <c r="I123" s="3435"/>
      <c r="J123" s="3435"/>
      <c r="K123" s="3435"/>
      <c r="L123" s="3435"/>
      <c r="M123" s="3435"/>
      <c r="N123" s="3435"/>
      <c r="O123" s="3436"/>
    </row>
    <row r="124" spans="1:15" s="332" customFormat="1" ht="12.75" customHeight="1">
      <c r="A124" s="301"/>
      <c r="B124" s="3435"/>
      <c r="C124" s="3435"/>
      <c r="D124" s="3435"/>
      <c r="E124" s="3435"/>
      <c r="F124" s="3435"/>
      <c r="G124" s="3435"/>
      <c r="H124" s="3435"/>
      <c r="I124" s="3435"/>
      <c r="J124" s="3435"/>
      <c r="K124" s="3435"/>
      <c r="L124" s="3435"/>
      <c r="M124" s="3435"/>
      <c r="N124" s="3435"/>
      <c r="O124" s="3436"/>
    </row>
    <row r="125" spans="1:15" s="332" customFormat="1" ht="12.75" customHeight="1">
      <c r="A125" s="301"/>
      <c r="B125" s="3435"/>
      <c r="C125" s="3435"/>
      <c r="D125" s="3435"/>
      <c r="E125" s="3435"/>
      <c r="F125" s="3435"/>
      <c r="G125" s="3435"/>
      <c r="H125" s="3435"/>
      <c r="I125" s="3435"/>
      <c r="J125" s="3435"/>
      <c r="K125" s="3435"/>
      <c r="L125" s="3435"/>
      <c r="M125" s="3435"/>
      <c r="N125" s="3435"/>
      <c r="O125" s="3436"/>
    </row>
    <row r="126" spans="1:15" s="332" customFormat="1">
      <c r="A126" s="301"/>
      <c r="B126" s="3435"/>
      <c r="C126" s="3435"/>
      <c r="D126" s="3435"/>
      <c r="E126" s="3435"/>
      <c r="F126" s="3435"/>
      <c r="G126" s="3435"/>
      <c r="H126" s="3435"/>
      <c r="I126" s="3435"/>
      <c r="J126" s="3435"/>
      <c r="K126" s="3435"/>
      <c r="L126" s="3435"/>
      <c r="M126" s="3435"/>
      <c r="N126" s="3435"/>
      <c r="O126" s="3436"/>
    </row>
    <row r="127" spans="1:15" s="1382" customFormat="1" ht="12" customHeight="1">
      <c r="A127" s="301"/>
      <c r="B127" s="3435"/>
      <c r="C127" s="3435"/>
      <c r="D127" s="3435"/>
      <c r="E127" s="3435"/>
      <c r="F127" s="3435"/>
      <c r="G127" s="3435"/>
      <c r="H127" s="3435"/>
      <c r="I127" s="3435"/>
      <c r="J127" s="3435"/>
      <c r="K127" s="3435"/>
      <c r="L127" s="3435"/>
      <c r="M127" s="3435"/>
      <c r="N127" s="3435"/>
      <c r="O127" s="3436"/>
    </row>
    <row r="128" spans="1:15" s="332" customFormat="1" ht="12.75" customHeight="1">
      <c r="A128" s="301"/>
      <c r="B128" s="3435"/>
      <c r="C128" s="3435"/>
      <c r="D128" s="3435"/>
      <c r="E128" s="3435"/>
      <c r="F128" s="3435"/>
      <c r="G128" s="3435"/>
      <c r="H128" s="3435"/>
      <c r="I128" s="3435"/>
      <c r="J128" s="3435"/>
      <c r="K128" s="3435"/>
      <c r="L128" s="3435"/>
      <c r="M128" s="3435"/>
      <c r="N128" s="3435"/>
      <c r="O128" s="3436"/>
    </row>
    <row r="129" spans="1:15" s="332" customFormat="1" ht="12.75" customHeight="1">
      <c r="A129" s="301"/>
      <c r="B129" s="3435"/>
      <c r="C129" s="3435"/>
      <c r="D129" s="3435"/>
      <c r="E129" s="3435"/>
      <c r="F129" s="3435"/>
      <c r="G129" s="3435"/>
      <c r="H129" s="3435"/>
      <c r="I129" s="3435"/>
      <c r="J129" s="3435"/>
      <c r="K129" s="3435"/>
      <c r="L129" s="3435"/>
      <c r="M129" s="3435"/>
      <c r="N129" s="3435"/>
      <c r="O129" s="3436"/>
    </row>
    <row r="130" spans="1:15" s="332" customFormat="1">
      <c r="A130" s="301"/>
      <c r="B130" s="3435"/>
      <c r="C130" s="3435"/>
      <c r="D130" s="3435"/>
      <c r="E130" s="3435"/>
      <c r="F130" s="3435"/>
      <c r="G130" s="3435"/>
      <c r="H130" s="3435"/>
      <c r="I130" s="3435"/>
      <c r="J130" s="3435"/>
      <c r="K130" s="3435"/>
      <c r="L130" s="3435"/>
      <c r="M130" s="3435"/>
      <c r="N130" s="3435"/>
      <c r="O130" s="3436"/>
    </row>
    <row r="131" spans="1:15" s="332" customFormat="1">
      <c r="A131" s="301"/>
      <c r="B131" s="3435"/>
      <c r="C131" s="3435"/>
      <c r="D131" s="3435"/>
      <c r="E131" s="3435"/>
      <c r="F131" s="3435"/>
      <c r="G131" s="3435"/>
      <c r="H131" s="3435"/>
      <c r="I131" s="3435"/>
      <c r="J131" s="3435"/>
      <c r="K131" s="3435"/>
      <c r="L131" s="3435"/>
      <c r="M131" s="3435"/>
      <c r="N131" s="3435"/>
      <c r="O131" s="3436"/>
    </row>
    <row r="132" spans="1:15" s="1382" customFormat="1" ht="22.5" customHeight="1">
      <c r="A132" s="301"/>
      <c r="B132" s="3435"/>
      <c r="C132" s="3435"/>
      <c r="D132" s="3435"/>
      <c r="E132" s="3435"/>
      <c r="F132" s="3435"/>
      <c r="G132" s="3435"/>
      <c r="H132" s="3435"/>
      <c r="I132" s="3435"/>
      <c r="J132" s="3435"/>
      <c r="K132" s="3435"/>
      <c r="L132" s="3435"/>
      <c r="M132" s="3435"/>
      <c r="N132" s="3435"/>
      <c r="O132" s="3436"/>
    </row>
    <row r="133" spans="1:15" s="332" customFormat="1" ht="12.75" customHeight="1">
      <c r="A133" s="301"/>
      <c r="B133" s="3435"/>
      <c r="C133" s="3435"/>
      <c r="D133" s="3435"/>
      <c r="E133" s="3435"/>
      <c r="F133" s="3435"/>
      <c r="G133" s="3435"/>
      <c r="H133" s="3435"/>
      <c r="I133" s="3435"/>
      <c r="J133" s="3435"/>
      <c r="K133" s="3435"/>
      <c r="L133" s="3435"/>
      <c r="M133" s="3435"/>
      <c r="N133" s="3435"/>
      <c r="O133" s="3436"/>
    </row>
    <row r="134" spans="1:15" s="332" customFormat="1" ht="12.75" customHeight="1">
      <c r="A134" s="301"/>
      <c r="B134" s="3435"/>
      <c r="C134" s="3435"/>
      <c r="D134" s="3435"/>
      <c r="E134" s="3435"/>
      <c r="F134" s="3435"/>
      <c r="G134" s="3435"/>
      <c r="H134" s="3435"/>
      <c r="I134" s="3435"/>
      <c r="J134" s="3435"/>
      <c r="K134" s="3435"/>
      <c r="L134" s="3435"/>
      <c r="M134" s="3435"/>
      <c r="N134" s="3435"/>
      <c r="O134" s="3436"/>
    </row>
    <row r="135" spans="1:15" s="332" customFormat="1">
      <c r="A135" s="301"/>
      <c r="B135" s="3435"/>
      <c r="C135" s="3435"/>
      <c r="D135" s="3435"/>
      <c r="E135" s="3435"/>
      <c r="F135" s="3435"/>
      <c r="G135" s="3435"/>
      <c r="H135" s="3435"/>
      <c r="I135" s="3435"/>
      <c r="J135" s="3435"/>
      <c r="K135" s="3435"/>
      <c r="L135" s="3435"/>
      <c r="M135" s="3435"/>
      <c r="N135" s="3435"/>
      <c r="O135" s="3436"/>
    </row>
    <row r="136" spans="1:15" s="332" customFormat="1">
      <c r="A136" s="301"/>
      <c r="B136" s="3435"/>
      <c r="C136" s="3435"/>
      <c r="D136" s="3435"/>
      <c r="E136" s="3435"/>
      <c r="F136" s="3435"/>
      <c r="G136" s="3435"/>
      <c r="H136" s="3435"/>
      <c r="I136" s="3435"/>
      <c r="J136" s="3435"/>
      <c r="K136" s="3435"/>
      <c r="L136" s="3435"/>
      <c r="M136" s="3435"/>
      <c r="N136" s="3435"/>
      <c r="O136" s="3436"/>
    </row>
    <row r="137" spans="1:15" s="1382" customFormat="1" ht="15" customHeight="1">
      <c r="A137" s="301"/>
      <c r="B137" s="3435"/>
      <c r="C137" s="3435"/>
      <c r="D137" s="3435"/>
      <c r="E137" s="3435"/>
      <c r="F137" s="3435"/>
      <c r="G137" s="3435"/>
      <c r="H137" s="3435"/>
      <c r="I137" s="3435"/>
      <c r="J137" s="3435"/>
      <c r="K137" s="3435"/>
      <c r="L137" s="3435"/>
      <c r="M137" s="3435"/>
      <c r="N137" s="3435"/>
      <c r="O137" s="3436"/>
    </row>
    <row r="138" spans="1:15" s="332" customFormat="1" ht="12.75" customHeight="1">
      <c r="A138" s="301"/>
      <c r="B138" s="3435"/>
      <c r="C138" s="3435"/>
      <c r="D138" s="3435"/>
      <c r="E138" s="3435"/>
      <c r="F138" s="3435"/>
      <c r="G138" s="3435"/>
      <c r="H138" s="3435"/>
      <c r="I138" s="3435"/>
      <c r="J138" s="3435"/>
      <c r="K138" s="3435"/>
      <c r="L138" s="3435"/>
      <c r="M138" s="3435"/>
      <c r="N138" s="3435"/>
      <c r="O138" s="3436"/>
    </row>
    <row r="139" spans="1:15" s="332" customFormat="1" ht="12.75" customHeight="1">
      <c r="A139" s="301"/>
      <c r="B139" s="3435"/>
      <c r="C139" s="3435"/>
      <c r="D139" s="3435"/>
      <c r="E139" s="3435"/>
      <c r="F139" s="3435"/>
      <c r="G139" s="3435"/>
      <c r="H139" s="3435"/>
      <c r="I139" s="3435"/>
      <c r="J139" s="3435"/>
      <c r="K139" s="3435"/>
      <c r="L139" s="3435"/>
      <c r="M139" s="3435"/>
      <c r="N139" s="3435"/>
      <c r="O139" s="3436"/>
    </row>
    <row r="140" spans="1:15" s="332" customFormat="1">
      <c r="A140" s="301"/>
      <c r="B140" s="3435"/>
      <c r="C140" s="3435"/>
      <c r="D140" s="3435"/>
      <c r="E140" s="3435"/>
      <c r="F140" s="3435"/>
      <c r="G140" s="3435"/>
      <c r="H140" s="3435"/>
      <c r="I140" s="3435"/>
      <c r="J140" s="3435"/>
      <c r="K140" s="3435"/>
      <c r="L140" s="3435"/>
      <c r="M140" s="3435"/>
      <c r="N140" s="3435"/>
      <c r="O140" s="3436"/>
    </row>
    <row r="141" spans="1:15" s="332" customFormat="1">
      <c r="A141" s="301"/>
      <c r="B141" s="3435"/>
      <c r="C141" s="3435"/>
      <c r="D141" s="3435"/>
      <c r="E141" s="3435"/>
      <c r="F141" s="3435"/>
      <c r="G141" s="3435"/>
      <c r="H141" s="3435"/>
      <c r="I141" s="3435"/>
      <c r="J141" s="3435"/>
      <c r="K141" s="3435"/>
      <c r="L141" s="3435"/>
      <c r="M141" s="3435"/>
      <c r="N141" s="3435"/>
      <c r="O141" s="3436"/>
    </row>
    <row r="142" spans="1:15" s="1382" customFormat="1" ht="13.5" customHeight="1">
      <c r="A142" s="301"/>
      <c r="B142" s="3435"/>
      <c r="C142" s="3435"/>
      <c r="D142" s="3435"/>
      <c r="E142" s="3435"/>
      <c r="F142" s="3435"/>
      <c r="G142" s="3435"/>
      <c r="H142" s="3435"/>
      <c r="I142" s="3435"/>
      <c r="J142" s="3435"/>
      <c r="K142" s="3435"/>
      <c r="L142" s="3435"/>
      <c r="M142" s="3435"/>
      <c r="N142" s="3435"/>
      <c r="O142" s="3436"/>
    </row>
    <row r="143" spans="1:15" s="332" customFormat="1" ht="12.75" customHeight="1">
      <c r="A143" s="301"/>
      <c r="B143" s="3435"/>
      <c r="C143" s="3435"/>
      <c r="D143" s="3435"/>
      <c r="E143" s="3435"/>
      <c r="F143" s="3435"/>
      <c r="G143" s="3435"/>
      <c r="H143" s="3435"/>
      <c r="I143" s="3435"/>
      <c r="J143" s="3435"/>
      <c r="K143" s="3435"/>
      <c r="L143" s="3435"/>
      <c r="M143" s="3435"/>
      <c r="N143" s="3435"/>
      <c r="O143" s="3436"/>
    </row>
    <row r="144" spans="1:15" s="332" customFormat="1" ht="12.75" customHeight="1">
      <c r="A144" s="301"/>
      <c r="B144" s="3435"/>
      <c r="C144" s="3435"/>
      <c r="D144" s="3435"/>
      <c r="E144" s="3435"/>
      <c r="F144" s="3435"/>
      <c r="G144" s="3435"/>
      <c r="H144" s="3435"/>
      <c r="I144" s="3435"/>
      <c r="J144" s="3435"/>
      <c r="K144" s="3435"/>
      <c r="L144" s="3435"/>
      <c r="M144" s="3435"/>
      <c r="N144" s="3435"/>
      <c r="O144" s="3436"/>
    </row>
    <row r="145" spans="1:15" s="332" customFormat="1">
      <c r="A145" s="301"/>
      <c r="B145" s="3435"/>
      <c r="C145" s="3435"/>
      <c r="D145" s="3435"/>
      <c r="E145" s="3435"/>
      <c r="F145" s="3435"/>
      <c r="G145" s="3435"/>
      <c r="H145" s="3435"/>
      <c r="I145" s="3435"/>
      <c r="J145" s="3435"/>
      <c r="K145" s="3435"/>
      <c r="L145" s="3435"/>
      <c r="M145" s="3435"/>
      <c r="N145" s="3435"/>
      <c r="O145" s="3436"/>
    </row>
    <row r="146" spans="1:15" s="332" customFormat="1">
      <c r="A146" s="301"/>
      <c r="B146" s="3435"/>
      <c r="C146" s="3435"/>
      <c r="D146" s="3435"/>
      <c r="E146" s="3435"/>
      <c r="F146" s="3435"/>
      <c r="G146" s="3435"/>
      <c r="H146" s="3435"/>
      <c r="I146" s="3435"/>
      <c r="J146" s="3435"/>
      <c r="K146" s="3435"/>
      <c r="L146" s="3435"/>
      <c r="M146" s="3435"/>
      <c r="N146" s="3435"/>
      <c r="O146" s="3436"/>
    </row>
    <row r="147" spans="1:15" s="332" customFormat="1">
      <c r="A147" s="301"/>
      <c r="B147" s="3435"/>
      <c r="C147" s="3435"/>
      <c r="D147" s="3435"/>
      <c r="E147" s="3435"/>
      <c r="F147" s="3435"/>
      <c r="G147" s="3435"/>
      <c r="H147" s="3435"/>
      <c r="I147" s="3435"/>
      <c r="J147" s="3435"/>
      <c r="K147" s="3435"/>
      <c r="L147" s="3435"/>
      <c r="M147" s="3435"/>
      <c r="N147" s="3435"/>
      <c r="O147" s="3436"/>
    </row>
    <row r="148" spans="1:15" s="1382" customFormat="1" ht="22.5" customHeight="1">
      <c r="A148" s="301"/>
      <c r="B148" s="3435"/>
      <c r="C148" s="3435"/>
      <c r="D148" s="3435"/>
      <c r="E148" s="3435"/>
      <c r="F148" s="3435"/>
      <c r="G148" s="3435"/>
      <c r="H148" s="3435"/>
      <c r="I148" s="3435"/>
      <c r="J148" s="3435"/>
      <c r="K148" s="3435"/>
      <c r="L148" s="3435"/>
      <c r="M148" s="3435"/>
      <c r="N148" s="3435"/>
      <c r="O148" s="3436"/>
    </row>
    <row r="149" spans="1:15" s="332" customFormat="1" ht="12.75" customHeight="1">
      <c r="A149" s="301"/>
      <c r="B149" s="3435"/>
      <c r="C149" s="3435"/>
      <c r="D149" s="3435"/>
      <c r="E149" s="3435"/>
      <c r="F149" s="3435"/>
      <c r="G149" s="3435"/>
      <c r="H149" s="3435"/>
      <c r="I149" s="3435"/>
      <c r="J149" s="3435"/>
      <c r="K149" s="3435"/>
      <c r="L149" s="3435"/>
      <c r="M149" s="3435"/>
      <c r="N149" s="3435"/>
      <c r="O149" s="3436"/>
    </row>
    <row r="150" spans="1:15" s="332" customFormat="1" ht="12.75" customHeight="1">
      <c r="A150" s="301"/>
      <c r="B150" s="3435"/>
      <c r="C150" s="3435"/>
      <c r="D150" s="3435"/>
      <c r="E150" s="3435"/>
      <c r="F150" s="3435"/>
      <c r="G150" s="3435"/>
      <c r="H150" s="3435"/>
      <c r="I150" s="3435"/>
      <c r="J150" s="3435"/>
      <c r="K150" s="3435"/>
      <c r="L150" s="3435"/>
      <c r="M150" s="3435"/>
      <c r="N150" s="3435"/>
      <c r="O150" s="3436"/>
    </row>
    <row r="151" spans="1:15" s="332" customFormat="1">
      <c r="A151" s="301"/>
      <c r="B151" s="3435"/>
      <c r="C151" s="3435"/>
      <c r="D151" s="3435"/>
      <c r="E151" s="3435"/>
      <c r="F151" s="3435"/>
      <c r="G151" s="3435"/>
      <c r="H151" s="3435"/>
      <c r="I151" s="3435"/>
      <c r="J151" s="3435"/>
      <c r="K151" s="3435"/>
      <c r="L151" s="3435"/>
      <c r="M151" s="3435"/>
      <c r="N151" s="3435"/>
      <c r="O151" s="3436"/>
    </row>
    <row r="152" spans="1:15" s="332" customFormat="1">
      <c r="A152" s="301"/>
      <c r="B152" s="3435"/>
      <c r="C152" s="3435"/>
      <c r="D152" s="3435"/>
      <c r="E152" s="3435"/>
      <c r="F152" s="3435"/>
      <c r="G152" s="3435"/>
      <c r="H152" s="3435"/>
      <c r="I152" s="3435"/>
      <c r="J152" s="3435"/>
      <c r="K152" s="3435"/>
      <c r="L152" s="3435"/>
      <c r="M152" s="3435"/>
      <c r="N152" s="3435"/>
      <c r="O152" s="3436"/>
    </row>
    <row r="153" spans="1:15" s="1382" customFormat="1" ht="12.75" customHeight="1">
      <c r="A153" s="301"/>
      <c r="B153" s="3435"/>
      <c r="C153" s="3435"/>
      <c r="D153" s="3435"/>
      <c r="E153" s="3435"/>
      <c r="F153" s="3435"/>
      <c r="G153" s="3435"/>
      <c r="H153" s="3435"/>
      <c r="I153" s="3435"/>
      <c r="J153" s="3435"/>
      <c r="K153" s="3435"/>
      <c r="L153" s="3435"/>
      <c r="M153" s="3435"/>
      <c r="N153" s="3435"/>
      <c r="O153" s="3436"/>
    </row>
    <row r="154" spans="1:15" s="332" customFormat="1" ht="9.75" customHeight="1">
      <c r="A154" s="301"/>
      <c r="B154" s="3435"/>
      <c r="C154" s="3435"/>
      <c r="D154" s="3435"/>
      <c r="E154" s="3435"/>
      <c r="F154" s="3435"/>
      <c r="G154" s="3435"/>
      <c r="H154" s="3435"/>
      <c r="I154" s="3435"/>
      <c r="J154" s="3435"/>
      <c r="K154" s="3435"/>
      <c r="L154" s="3435"/>
      <c r="M154" s="3435"/>
      <c r="N154" s="3435"/>
      <c r="O154" s="3436"/>
    </row>
    <row r="155" spans="1:15" s="332" customFormat="1" ht="12.75" customHeight="1">
      <c r="A155" s="301"/>
      <c r="B155" s="3435"/>
      <c r="C155" s="3435"/>
      <c r="D155" s="3435"/>
      <c r="E155" s="3435"/>
      <c r="F155" s="3435"/>
      <c r="G155" s="3435"/>
      <c r="H155" s="3435"/>
      <c r="I155" s="3435"/>
      <c r="J155" s="3435"/>
      <c r="K155" s="3435"/>
      <c r="L155" s="3435"/>
      <c r="M155" s="3435"/>
      <c r="N155" s="3435"/>
      <c r="O155" s="3436"/>
    </row>
    <row r="156" spans="1:15" s="332" customFormat="1">
      <c r="A156" s="301"/>
      <c r="B156" s="3435"/>
      <c r="C156" s="3435"/>
      <c r="D156" s="3435"/>
      <c r="E156" s="3435"/>
      <c r="F156" s="3435"/>
      <c r="G156" s="3435"/>
      <c r="H156" s="3435"/>
      <c r="I156" s="3435"/>
      <c r="J156" s="3435"/>
      <c r="K156" s="3435"/>
      <c r="L156" s="3435"/>
      <c r="M156" s="3435"/>
      <c r="N156" s="3435"/>
      <c r="O156" s="3436"/>
    </row>
    <row r="157" spans="1:15" s="332" customFormat="1">
      <c r="A157" s="301"/>
      <c r="B157" s="3435"/>
      <c r="C157" s="3435"/>
      <c r="D157" s="3435"/>
      <c r="E157" s="3435"/>
      <c r="F157" s="3435"/>
      <c r="G157" s="3435"/>
      <c r="H157" s="3435"/>
      <c r="I157" s="3435"/>
      <c r="J157" s="3435"/>
      <c r="K157" s="3435"/>
      <c r="L157" s="3435"/>
      <c r="M157" s="3435"/>
      <c r="N157" s="3435"/>
      <c r="O157" s="3436"/>
    </row>
    <row r="158" spans="1:15" s="1382" customFormat="1" ht="13.5" customHeight="1">
      <c r="A158" s="301"/>
      <c r="B158" s="3435"/>
      <c r="C158" s="3435"/>
      <c r="D158" s="3435"/>
      <c r="E158" s="3435"/>
      <c r="F158" s="3435"/>
      <c r="G158" s="3435"/>
      <c r="H158" s="3435"/>
      <c r="I158" s="3435"/>
      <c r="J158" s="3435"/>
      <c r="K158" s="3435"/>
      <c r="L158" s="3435"/>
      <c r="M158" s="3435"/>
      <c r="N158" s="3435"/>
      <c r="O158" s="3436"/>
    </row>
    <row r="159" spans="1:15" s="332" customFormat="1" ht="9.75" customHeight="1">
      <c r="A159" s="301"/>
      <c r="B159" s="3435"/>
      <c r="C159" s="3435"/>
      <c r="D159" s="3435"/>
      <c r="E159" s="3435"/>
      <c r="F159" s="3435"/>
      <c r="G159" s="3435"/>
      <c r="H159" s="3435"/>
      <c r="I159" s="3435"/>
      <c r="J159" s="3435"/>
      <c r="K159" s="3435"/>
      <c r="L159" s="3435"/>
      <c r="M159" s="3435"/>
      <c r="N159" s="3435"/>
      <c r="O159" s="3436"/>
    </row>
    <row r="160" spans="1:15" s="332" customFormat="1" ht="12.75" customHeight="1">
      <c r="A160" s="301"/>
      <c r="B160" s="3435"/>
      <c r="C160" s="3435"/>
      <c r="D160" s="3435"/>
      <c r="E160" s="3435"/>
      <c r="F160" s="3435"/>
      <c r="G160" s="3435"/>
      <c r="H160" s="3435"/>
      <c r="I160" s="3435"/>
      <c r="J160" s="3435"/>
      <c r="K160" s="3435"/>
      <c r="L160" s="3435"/>
      <c r="M160" s="3435"/>
      <c r="N160" s="3435"/>
      <c r="O160" s="3436"/>
    </row>
    <row r="161" spans="1:15" s="332" customFormat="1">
      <c r="A161" s="301"/>
      <c r="B161" s="3435"/>
      <c r="C161" s="3435"/>
      <c r="D161" s="3435"/>
      <c r="E161" s="3435"/>
      <c r="F161" s="3435"/>
      <c r="G161" s="3435"/>
      <c r="H161" s="3435"/>
      <c r="I161" s="3435"/>
      <c r="J161" s="3435"/>
      <c r="K161" s="3435"/>
      <c r="L161" s="3435"/>
      <c r="M161" s="3435"/>
      <c r="N161" s="3435"/>
      <c r="O161" s="3436"/>
    </row>
    <row r="162" spans="1:15" s="332" customFormat="1">
      <c r="A162" s="301"/>
      <c r="B162" s="3435"/>
      <c r="C162" s="3435"/>
      <c r="D162" s="3435"/>
      <c r="E162" s="3435"/>
      <c r="F162" s="3435"/>
      <c r="G162" s="3435"/>
      <c r="H162" s="3435"/>
      <c r="I162" s="3435"/>
      <c r="J162" s="3435"/>
      <c r="K162" s="3435"/>
      <c r="L162" s="3435"/>
      <c r="M162" s="3435"/>
      <c r="N162" s="3435"/>
      <c r="O162" s="3436"/>
    </row>
    <row r="163" spans="1:15" s="332" customFormat="1">
      <c r="A163" s="301"/>
      <c r="B163" s="3435"/>
      <c r="C163" s="3435"/>
      <c r="D163" s="3435"/>
      <c r="E163" s="3435"/>
      <c r="F163" s="3435"/>
      <c r="G163" s="3435"/>
      <c r="H163" s="3435"/>
      <c r="I163" s="3435"/>
      <c r="J163" s="3435"/>
      <c r="K163" s="3435"/>
      <c r="L163" s="3435"/>
      <c r="M163" s="3435"/>
      <c r="N163" s="3435"/>
      <c r="O163" s="3436"/>
    </row>
    <row r="164" spans="1:15" s="332" customFormat="1">
      <c r="A164" s="301"/>
      <c r="B164" s="3435"/>
      <c r="C164" s="3435"/>
      <c r="D164" s="3435"/>
      <c r="E164" s="3435"/>
      <c r="F164" s="3435"/>
      <c r="G164" s="3435"/>
      <c r="H164" s="3435"/>
      <c r="I164" s="3435"/>
      <c r="J164" s="3435"/>
      <c r="K164" s="3435"/>
      <c r="L164" s="3435"/>
      <c r="M164" s="3435"/>
      <c r="N164" s="3435"/>
      <c r="O164" s="3436"/>
    </row>
    <row r="165" spans="1:15" s="332" customFormat="1">
      <c r="A165" s="301"/>
      <c r="B165" s="3435"/>
      <c r="C165" s="3435"/>
      <c r="D165" s="3435"/>
      <c r="E165" s="3435"/>
      <c r="F165" s="3435"/>
      <c r="G165" s="3435"/>
      <c r="H165" s="3435"/>
      <c r="I165" s="3435"/>
      <c r="J165" s="3435"/>
      <c r="K165" s="3435"/>
      <c r="L165" s="3435"/>
      <c r="M165" s="3435"/>
      <c r="N165" s="3435"/>
      <c r="O165" s="3436"/>
    </row>
    <row r="166" spans="1:15" s="1382" customFormat="1" ht="22.5" customHeight="1">
      <c r="A166" s="301"/>
      <c r="B166" s="3435"/>
      <c r="C166" s="3435"/>
      <c r="D166" s="3435"/>
      <c r="E166" s="3435"/>
      <c r="F166" s="3435"/>
      <c r="G166" s="3435"/>
      <c r="H166" s="3435"/>
      <c r="I166" s="3435"/>
      <c r="J166" s="3435"/>
      <c r="K166" s="3435"/>
      <c r="L166" s="3435"/>
      <c r="M166" s="3435"/>
      <c r="N166" s="3435"/>
      <c r="O166" s="3436"/>
    </row>
    <row r="167" spans="1:15" s="332" customFormat="1" ht="12.75" customHeight="1">
      <c r="A167" s="301"/>
      <c r="B167" s="3435"/>
      <c r="C167" s="3435"/>
      <c r="D167" s="3435"/>
      <c r="E167" s="3435"/>
      <c r="F167" s="3435"/>
      <c r="G167" s="3435"/>
      <c r="H167" s="3435"/>
      <c r="I167" s="3435"/>
      <c r="J167" s="3435"/>
      <c r="K167" s="3435"/>
      <c r="L167" s="3435"/>
      <c r="M167" s="3435"/>
      <c r="N167" s="3435"/>
      <c r="O167" s="3436"/>
    </row>
    <row r="168" spans="1:15" s="332" customFormat="1" ht="12.75" customHeight="1">
      <c r="A168" s="301"/>
      <c r="B168" s="3435"/>
      <c r="C168" s="3435"/>
      <c r="D168" s="3435"/>
      <c r="E168" s="3435"/>
      <c r="F168" s="3435"/>
      <c r="G168" s="3435"/>
      <c r="H168" s="3435"/>
      <c r="I168" s="3435"/>
      <c r="J168" s="3435"/>
      <c r="K168" s="3435"/>
      <c r="L168" s="3435"/>
      <c r="M168" s="3435"/>
      <c r="N168" s="3435"/>
      <c r="O168" s="3436"/>
    </row>
    <row r="169" spans="1:15" s="332" customFormat="1" ht="13.5" thickBot="1">
      <c r="A169" s="2377"/>
      <c r="B169" s="3438"/>
      <c r="C169" s="3438"/>
      <c r="D169" s="3438"/>
      <c r="E169" s="3438"/>
      <c r="F169" s="3438"/>
      <c r="G169" s="3438"/>
      <c r="H169" s="3438"/>
      <c r="I169" s="3438"/>
      <c r="J169" s="3438"/>
      <c r="K169" s="3438"/>
      <c r="L169" s="3438"/>
      <c r="M169" s="3438"/>
      <c r="N169" s="3438"/>
      <c r="O169" s="3439"/>
    </row>
    <row r="170" spans="1:15" s="332" customFormat="1">
      <c r="A170" s="301"/>
      <c r="B170" s="3435"/>
      <c r="C170" s="3435"/>
      <c r="D170" s="3435"/>
      <c r="E170" s="3435"/>
      <c r="F170" s="3435"/>
      <c r="G170" s="3435"/>
      <c r="H170" s="3435"/>
      <c r="I170" s="3435"/>
      <c r="J170" s="3435"/>
      <c r="K170" s="3435"/>
      <c r="L170" s="3435"/>
      <c r="M170" s="3435"/>
      <c r="N170" s="3435"/>
      <c r="O170" s="3436"/>
    </row>
    <row r="171" spans="1:15" s="1382" customFormat="1" ht="34.5" customHeight="1">
      <c r="A171" s="301"/>
      <c r="B171" s="3435"/>
      <c r="C171" s="3435"/>
      <c r="D171" s="3435"/>
      <c r="E171" s="3435"/>
      <c r="F171" s="3435"/>
      <c r="G171" s="3435"/>
      <c r="H171" s="3435"/>
      <c r="I171" s="3435"/>
      <c r="J171" s="3435"/>
      <c r="K171" s="3435"/>
      <c r="L171" s="3435"/>
      <c r="M171" s="3435"/>
      <c r="N171" s="3435"/>
      <c r="O171" s="3436"/>
    </row>
    <row r="172" spans="1:15" s="332" customFormat="1" ht="14.25" customHeight="1">
      <c r="A172" s="301"/>
      <c r="B172" s="3435"/>
      <c r="C172" s="3435"/>
      <c r="D172" s="3435"/>
      <c r="E172" s="3435"/>
      <c r="F172" s="3435"/>
      <c r="G172" s="3435"/>
      <c r="H172" s="3435"/>
      <c r="I172" s="3435"/>
      <c r="J172" s="3435"/>
      <c r="K172" s="3435"/>
      <c r="L172" s="3435"/>
      <c r="M172" s="3435"/>
      <c r="N172" s="3435"/>
      <c r="O172" s="3436"/>
    </row>
    <row r="173" spans="1:15" s="332" customFormat="1" ht="12.75" customHeight="1">
      <c r="A173" s="301"/>
      <c r="B173" s="3435"/>
      <c r="C173" s="3435"/>
      <c r="D173" s="3435"/>
      <c r="E173" s="3435"/>
      <c r="F173" s="3435"/>
      <c r="G173" s="3435"/>
      <c r="H173" s="3435"/>
      <c r="I173" s="3435"/>
      <c r="J173" s="3435"/>
      <c r="K173" s="3435"/>
      <c r="L173" s="3435"/>
      <c r="M173" s="3435"/>
      <c r="N173" s="3435"/>
      <c r="O173" s="3436"/>
    </row>
    <row r="174" spans="1:15" s="332" customFormat="1">
      <c r="A174" s="301"/>
      <c r="B174" s="3435"/>
      <c r="C174" s="3435"/>
      <c r="D174" s="3435"/>
      <c r="E174" s="3435"/>
      <c r="F174" s="3435"/>
      <c r="G174" s="3435"/>
      <c r="H174" s="3435"/>
      <c r="I174" s="3435"/>
      <c r="J174" s="3435"/>
      <c r="K174" s="3435"/>
      <c r="L174" s="3435"/>
      <c r="M174" s="3435"/>
      <c r="N174" s="3435"/>
      <c r="O174" s="3436"/>
    </row>
    <row r="175" spans="1:15" s="332" customFormat="1" ht="13.5" thickBot="1">
      <c r="A175" s="2377"/>
      <c r="B175" s="3435"/>
      <c r="C175" s="3435"/>
      <c r="D175" s="3435"/>
      <c r="E175" s="3435"/>
      <c r="F175" s="3435"/>
      <c r="G175" s="3435"/>
      <c r="H175" s="3435"/>
      <c r="I175" s="3435"/>
      <c r="J175" s="3435"/>
      <c r="K175" s="3435"/>
      <c r="L175" s="3435"/>
      <c r="M175" s="3435"/>
      <c r="N175" s="3435"/>
      <c r="O175" s="3436"/>
    </row>
    <row r="176" spans="1:15" s="332" customFormat="1" ht="13.5" thickBot="1">
      <c r="A176" s="2791"/>
      <c r="B176" s="3435"/>
      <c r="C176" s="3435"/>
      <c r="D176" s="3435"/>
      <c r="E176" s="3435"/>
      <c r="F176" s="3435"/>
      <c r="G176" s="3435"/>
      <c r="H176" s="3435"/>
      <c r="I176" s="3435"/>
      <c r="J176" s="3435"/>
      <c r="K176" s="3435"/>
      <c r="L176" s="3435"/>
      <c r="M176" s="3435"/>
      <c r="N176" s="3435"/>
      <c r="O176" s="3436"/>
    </row>
    <row r="177" spans="1:15" s="1382" customFormat="1" ht="36.75" customHeight="1" thickBot="1">
      <c r="A177" s="2791"/>
      <c r="B177" s="3435"/>
      <c r="C177" s="3435"/>
      <c r="D177" s="3435"/>
      <c r="E177" s="3435"/>
      <c r="F177" s="3435"/>
      <c r="G177" s="3435"/>
      <c r="H177" s="3435"/>
      <c r="I177" s="3435"/>
      <c r="J177" s="3435"/>
      <c r="K177" s="3435"/>
      <c r="L177" s="3435"/>
      <c r="M177" s="3435"/>
      <c r="N177" s="3435"/>
      <c r="O177" s="3436"/>
    </row>
    <row r="178" spans="1:15" s="332" customFormat="1" ht="9.75" customHeight="1" thickBot="1">
      <c r="A178" s="2791"/>
      <c r="B178" s="3435"/>
      <c r="C178" s="3435"/>
      <c r="D178" s="3435"/>
      <c r="E178" s="3435"/>
      <c r="F178" s="3435"/>
      <c r="G178" s="3435"/>
      <c r="H178" s="3435"/>
      <c r="I178" s="3435"/>
      <c r="J178" s="3435"/>
      <c r="K178" s="3435"/>
      <c r="L178" s="3435"/>
      <c r="M178" s="3435"/>
      <c r="N178" s="3435"/>
      <c r="O178" s="3436"/>
    </row>
    <row r="179" spans="1:15" s="332" customFormat="1" ht="12.75" customHeight="1" thickBot="1">
      <c r="A179" s="2791"/>
      <c r="B179" s="3435"/>
      <c r="C179" s="3435"/>
      <c r="D179" s="3435"/>
      <c r="E179" s="3435"/>
      <c r="F179" s="3435"/>
      <c r="G179" s="3435"/>
      <c r="H179" s="3435"/>
      <c r="I179" s="3435"/>
      <c r="J179" s="3435"/>
      <c r="K179" s="3435"/>
      <c r="L179" s="3435"/>
      <c r="M179" s="3435"/>
      <c r="N179" s="3435"/>
      <c r="O179" s="3436"/>
    </row>
    <row r="180" spans="1:15" s="332" customFormat="1" ht="13.5" thickBot="1">
      <c r="A180" s="2791"/>
      <c r="B180" s="3435"/>
      <c r="C180" s="3435"/>
      <c r="D180" s="3435"/>
      <c r="E180" s="3435"/>
      <c r="F180" s="3435"/>
      <c r="G180" s="3435"/>
      <c r="H180" s="3435"/>
      <c r="I180" s="3435"/>
      <c r="J180" s="3435"/>
      <c r="K180" s="3435"/>
      <c r="L180" s="3435"/>
      <c r="M180" s="3435"/>
      <c r="N180" s="3435"/>
      <c r="O180" s="3436"/>
    </row>
    <row r="181" spans="1:15" s="332" customFormat="1" ht="13.5" thickBot="1">
      <c r="A181" s="2791"/>
      <c r="B181" s="3435"/>
      <c r="C181" s="3435"/>
      <c r="D181" s="3435"/>
      <c r="E181" s="3435"/>
      <c r="F181" s="3435"/>
      <c r="G181" s="3435"/>
      <c r="H181" s="3435"/>
      <c r="I181" s="3435"/>
      <c r="J181" s="3435"/>
      <c r="K181" s="3435"/>
      <c r="L181" s="3435"/>
      <c r="M181" s="3435"/>
      <c r="N181" s="3435"/>
      <c r="O181" s="3436"/>
    </row>
    <row r="182" spans="1:15" s="332" customFormat="1" ht="13.5" thickBot="1">
      <c r="A182" s="2791"/>
      <c r="B182" s="3435"/>
      <c r="C182" s="3435"/>
      <c r="D182" s="3435"/>
      <c r="E182" s="3435"/>
      <c r="F182" s="3435"/>
      <c r="G182" s="3435"/>
      <c r="H182" s="3435"/>
      <c r="I182" s="3435"/>
      <c r="J182" s="3435"/>
      <c r="K182" s="3435"/>
      <c r="L182" s="3435"/>
      <c r="M182" s="3435"/>
      <c r="N182" s="3435"/>
      <c r="O182" s="3436"/>
    </row>
    <row r="183" spans="1:15" s="1382" customFormat="1" ht="33.75" customHeight="1" thickBot="1">
      <c r="A183" s="2791"/>
      <c r="B183" s="3435"/>
      <c r="C183" s="3435"/>
      <c r="D183" s="3435"/>
      <c r="E183" s="3435"/>
      <c r="F183" s="3435"/>
      <c r="G183" s="3435"/>
      <c r="H183" s="3435"/>
      <c r="I183" s="3435"/>
      <c r="J183" s="3435"/>
      <c r="K183" s="3435"/>
      <c r="L183" s="3435"/>
      <c r="M183" s="3435"/>
      <c r="N183" s="3435"/>
      <c r="O183" s="3436"/>
    </row>
    <row r="184" spans="1:15" s="332" customFormat="1" ht="9.75" customHeight="1" thickBot="1">
      <c r="A184" s="2791"/>
      <c r="B184" s="3435"/>
      <c r="C184" s="3435"/>
      <c r="D184" s="3435"/>
      <c r="E184" s="3435"/>
      <c r="F184" s="3435"/>
      <c r="G184" s="3435"/>
      <c r="H184" s="3435"/>
      <c r="I184" s="3435"/>
      <c r="J184" s="3435"/>
      <c r="K184" s="3435"/>
      <c r="L184" s="3435"/>
      <c r="M184" s="3435"/>
      <c r="N184" s="3435"/>
      <c r="O184" s="3436"/>
    </row>
    <row r="185" spans="1:15" s="332" customFormat="1" ht="12.75" customHeight="1" thickBot="1">
      <c r="A185" s="2791"/>
      <c r="B185" s="3435"/>
      <c r="C185" s="3435"/>
      <c r="D185" s="3435"/>
      <c r="E185" s="3435"/>
      <c r="F185" s="3435"/>
      <c r="G185" s="3435"/>
      <c r="H185" s="3435"/>
      <c r="I185" s="3435"/>
      <c r="J185" s="3435"/>
      <c r="K185" s="3435"/>
      <c r="L185" s="3435"/>
      <c r="M185" s="3435"/>
      <c r="N185" s="3435"/>
      <c r="O185" s="3436"/>
    </row>
    <row r="186" spans="1:15" s="332" customFormat="1" ht="13.5" thickBot="1">
      <c r="A186" s="2791"/>
      <c r="B186" s="3438"/>
      <c r="C186" s="3435"/>
      <c r="D186" s="3435"/>
      <c r="E186" s="3435"/>
      <c r="F186" s="3435"/>
      <c r="G186" s="3435"/>
      <c r="H186" s="3435"/>
      <c r="I186" s="3435"/>
      <c r="J186" s="3435"/>
      <c r="K186" s="3435"/>
      <c r="L186" s="3435"/>
      <c r="M186" s="3435"/>
      <c r="N186" s="3435"/>
      <c r="O186" s="3436"/>
    </row>
    <row r="187" spans="1:15" s="332" customFormat="1" ht="13.5" thickBot="1">
      <c r="A187" s="2791"/>
      <c r="B187" s="3442"/>
      <c r="C187" s="3435"/>
      <c r="D187" s="3435"/>
      <c r="E187" s="3435"/>
      <c r="F187" s="3435"/>
      <c r="G187" s="3435"/>
      <c r="H187" s="3435"/>
      <c r="I187" s="3435"/>
      <c r="J187" s="3435"/>
      <c r="K187" s="3435"/>
      <c r="L187" s="3435"/>
      <c r="M187" s="3435"/>
      <c r="N187" s="3435"/>
      <c r="O187" s="3436"/>
    </row>
    <row r="188" spans="1:15" s="332" customFormat="1" ht="13.5" thickBot="1">
      <c r="A188" s="2791"/>
      <c r="B188" s="3435"/>
      <c r="C188" s="3435"/>
      <c r="D188" s="3435"/>
      <c r="E188" s="3435"/>
      <c r="F188" s="3435"/>
      <c r="G188" s="3435"/>
      <c r="H188" s="3435"/>
      <c r="I188" s="3435"/>
      <c r="J188" s="3435"/>
      <c r="K188" s="3435"/>
      <c r="L188" s="3435"/>
      <c r="M188" s="3435"/>
      <c r="N188" s="3435"/>
      <c r="O188" s="3436"/>
    </row>
    <row r="189" spans="1:15" s="332" customFormat="1" ht="13.5" thickBot="1">
      <c r="A189" s="2791"/>
      <c r="B189" s="3435"/>
      <c r="C189" s="3435"/>
      <c r="D189" s="3435"/>
      <c r="E189" s="3435"/>
      <c r="F189" s="3435"/>
      <c r="G189" s="3435"/>
      <c r="H189" s="3435"/>
      <c r="I189" s="3435"/>
      <c r="J189" s="3435"/>
      <c r="K189" s="3435"/>
      <c r="L189" s="3435"/>
      <c r="M189" s="3435"/>
      <c r="N189" s="3435"/>
      <c r="O189" s="3436"/>
    </row>
    <row r="190" spans="1:15" s="1384" customFormat="1" ht="14.25" customHeight="1" thickBot="1">
      <c r="A190" s="2791"/>
      <c r="B190" s="3435"/>
      <c r="C190" s="3435"/>
      <c r="D190" s="3435"/>
      <c r="E190" s="3435"/>
      <c r="F190" s="3435"/>
      <c r="G190" s="3435"/>
      <c r="H190" s="3435"/>
      <c r="I190" s="3435"/>
      <c r="J190" s="3435"/>
      <c r="K190" s="3435"/>
      <c r="L190" s="3435"/>
      <c r="M190" s="3435"/>
      <c r="N190" s="3435"/>
      <c r="O190" s="3436"/>
    </row>
    <row r="191" spans="1:15" s="332" customFormat="1" ht="13.5" thickBot="1">
      <c r="A191" s="2791"/>
      <c r="B191" s="3435"/>
      <c r="C191" s="3435"/>
      <c r="D191" s="3435"/>
      <c r="E191" s="3435"/>
      <c r="F191" s="3435"/>
      <c r="G191" s="3435"/>
      <c r="H191" s="3435"/>
      <c r="I191" s="3435"/>
      <c r="J191" s="3435"/>
      <c r="K191" s="3435"/>
      <c r="L191" s="3435"/>
      <c r="M191" s="3435"/>
      <c r="N191" s="3435"/>
      <c r="O191" s="3436"/>
    </row>
    <row r="192" spans="1:15" s="1375" customFormat="1" ht="23.25" customHeight="1" thickBot="1">
      <c r="A192" s="2791"/>
      <c r="B192" s="3435"/>
      <c r="C192" s="3435"/>
      <c r="D192" s="3435"/>
      <c r="E192" s="3435"/>
      <c r="F192" s="3435"/>
      <c r="G192" s="3435"/>
      <c r="H192" s="3435"/>
      <c r="I192" s="3435"/>
      <c r="J192" s="3435"/>
      <c r="K192" s="3435"/>
      <c r="L192" s="3435"/>
      <c r="M192" s="3435"/>
      <c r="N192" s="3435"/>
      <c r="O192" s="3436"/>
    </row>
    <row r="193" spans="1:15" s="332" customFormat="1" ht="13.5" thickBot="1">
      <c r="A193" s="2791"/>
      <c r="B193" s="3435"/>
      <c r="C193" s="3435"/>
      <c r="D193" s="3435"/>
      <c r="E193" s="3435"/>
      <c r="F193" s="3435"/>
      <c r="G193" s="3435"/>
      <c r="H193" s="3435"/>
      <c r="I193" s="3435"/>
      <c r="J193" s="3435"/>
      <c r="K193" s="3435"/>
      <c r="L193" s="3435"/>
      <c r="M193" s="3435"/>
      <c r="N193" s="3435"/>
      <c r="O193" s="3436"/>
    </row>
    <row r="194" spans="1:15" s="1374" customFormat="1" ht="15.75" customHeight="1" thickBot="1">
      <c r="A194" s="2791"/>
      <c r="B194" s="3435"/>
      <c r="C194" s="3435"/>
      <c r="D194" s="3435"/>
      <c r="E194" s="3435"/>
      <c r="F194" s="3435"/>
      <c r="G194" s="3435"/>
      <c r="H194" s="3435"/>
      <c r="I194" s="3435"/>
      <c r="J194" s="3435"/>
      <c r="K194" s="3435"/>
      <c r="L194" s="3435"/>
      <c r="M194" s="3435"/>
      <c r="N194" s="3435"/>
      <c r="O194" s="3436"/>
    </row>
    <row r="195" spans="1:15" s="1374" customFormat="1" ht="12.75" customHeight="1" thickBot="1">
      <c r="A195" s="2791"/>
      <c r="B195" s="3435"/>
      <c r="C195" s="3435"/>
      <c r="D195" s="3435"/>
      <c r="E195" s="3435"/>
      <c r="F195" s="3435"/>
      <c r="G195" s="3435"/>
      <c r="H195" s="3435"/>
      <c r="I195" s="3435"/>
      <c r="J195" s="3435"/>
      <c r="K195" s="3435"/>
      <c r="L195" s="3435"/>
      <c r="M195" s="3435"/>
      <c r="N195" s="3435"/>
      <c r="O195" s="3436"/>
    </row>
    <row r="196" spans="1:15" s="1374" customFormat="1" ht="12.75" customHeight="1" thickBot="1">
      <c r="A196" s="2791"/>
      <c r="B196" s="3435"/>
      <c r="C196" s="3435"/>
      <c r="D196" s="3435"/>
      <c r="E196" s="3435"/>
      <c r="F196" s="3435"/>
      <c r="G196" s="3435"/>
      <c r="H196" s="3435"/>
      <c r="I196" s="3435"/>
      <c r="J196" s="3435"/>
      <c r="K196" s="3435"/>
      <c r="L196" s="3435"/>
      <c r="M196" s="3435"/>
      <c r="N196" s="3435"/>
      <c r="O196" s="3436"/>
    </row>
    <row r="197" spans="1:15" s="1374" customFormat="1" ht="12" customHeight="1" thickBot="1">
      <c r="A197" s="2791"/>
      <c r="B197" s="3435"/>
      <c r="C197" s="3435"/>
      <c r="D197" s="3435"/>
      <c r="E197" s="3435"/>
      <c r="F197" s="3435"/>
      <c r="G197" s="3435"/>
      <c r="H197" s="3435"/>
      <c r="I197" s="3435"/>
      <c r="J197" s="3435"/>
      <c r="K197" s="3435"/>
      <c r="L197" s="3435"/>
      <c r="M197" s="3435"/>
      <c r="N197" s="3435"/>
      <c r="O197" s="3436"/>
    </row>
    <row r="198" spans="1:15" s="1384" customFormat="1" ht="24" customHeight="1" thickBot="1">
      <c r="A198" s="2791"/>
      <c r="B198" s="3435"/>
      <c r="C198" s="3435"/>
      <c r="D198" s="3435"/>
      <c r="E198" s="3435"/>
      <c r="F198" s="3435"/>
      <c r="G198" s="3435"/>
      <c r="H198" s="3435"/>
      <c r="I198" s="3435"/>
      <c r="J198" s="3435"/>
      <c r="K198" s="3435"/>
      <c r="L198" s="3435"/>
      <c r="M198" s="3435"/>
      <c r="N198" s="3435"/>
      <c r="O198" s="3436"/>
    </row>
    <row r="199" spans="1:15" s="332" customFormat="1" ht="11.25" customHeight="1" thickBot="1">
      <c r="A199" s="2791"/>
      <c r="B199" s="3435"/>
      <c r="C199" s="3435"/>
      <c r="D199" s="3435"/>
      <c r="E199" s="3435"/>
      <c r="F199" s="3435"/>
      <c r="G199" s="3435"/>
      <c r="H199" s="3435"/>
      <c r="I199" s="3435"/>
      <c r="J199" s="3435"/>
      <c r="K199" s="3435"/>
      <c r="L199" s="3435"/>
      <c r="M199" s="3435"/>
      <c r="N199" s="3435"/>
      <c r="O199" s="3436"/>
    </row>
    <row r="200" spans="1:15" s="332" customFormat="1" ht="12.75" customHeight="1" thickBot="1">
      <c r="A200" s="2791"/>
      <c r="B200" s="3435"/>
      <c r="C200" s="3435"/>
      <c r="D200" s="3435"/>
      <c r="E200" s="3435"/>
      <c r="F200" s="3435"/>
      <c r="G200" s="3435"/>
      <c r="H200" s="3435"/>
      <c r="I200" s="3435"/>
      <c r="J200" s="3435"/>
      <c r="K200" s="3435"/>
      <c r="L200" s="3435"/>
      <c r="M200" s="3435"/>
      <c r="N200" s="3438"/>
      <c r="O200" s="3439"/>
    </row>
    <row r="201" spans="1:15" s="332" customFormat="1" ht="13.5" thickBot="1">
      <c r="A201" s="2791"/>
      <c r="B201" s="3435"/>
      <c r="C201" s="3438"/>
      <c r="D201" s="3435"/>
      <c r="E201" s="3435"/>
      <c r="F201" s="3435"/>
      <c r="G201" s="3435"/>
      <c r="H201" s="3435"/>
      <c r="I201" s="3435"/>
      <c r="J201" s="3435"/>
      <c r="K201" s="3435"/>
      <c r="L201" s="3435"/>
      <c r="M201" s="3435"/>
      <c r="N201" s="3440"/>
      <c r="O201" s="3441"/>
    </row>
    <row r="202" spans="1:15" s="332" customFormat="1" ht="13.5" thickBot="1">
      <c r="A202" s="2791"/>
      <c r="B202" s="3435"/>
      <c r="C202" s="3440"/>
      <c r="D202" s="3435"/>
      <c r="E202" s="3435"/>
      <c r="F202" s="3435"/>
      <c r="G202" s="3435"/>
      <c r="H202" s="3435"/>
      <c r="I202" s="3435"/>
      <c r="J202" s="3435"/>
      <c r="K202" s="3435"/>
      <c r="L202" s="3435"/>
      <c r="M202" s="3435"/>
      <c r="N202" s="3440"/>
      <c r="O202" s="3441"/>
    </row>
    <row r="203" spans="1:15" s="332" customFormat="1" ht="13.5" thickBot="1">
      <c r="A203" s="2791"/>
      <c r="B203" s="3435"/>
      <c r="C203" s="3440"/>
      <c r="D203" s="3435"/>
      <c r="E203" s="3435"/>
      <c r="F203" s="3435"/>
      <c r="G203" s="3435"/>
      <c r="H203" s="3435"/>
      <c r="I203" s="3435"/>
      <c r="J203" s="3435"/>
      <c r="K203" s="3435"/>
      <c r="L203" s="3435"/>
      <c r="M203" s="3435"/>
      <c r="N203" s="3440"/>
      <c r="O203" s="3441"/>
    </row>
    <row r="204" spans="1:15" s="332" customFormat="1" ht="13.5" thickBot="1">
      <c r="A204" s="2792"/>
      <c r="B204" s="3435"/>
      <c r="C204" s="3440"/>
      <c r="D204" s="3438"/>
      <c r="E204" s="3438"/>
      <c r="F204" s="3438"/>
      <c r="G204" s="3438"/>
      <c r="H204" s="3438"/>
      <c r="I204" s="3438"/>
      <c r="J204" s="3438"/>
      <c r="K204" s="3438"/>
      <c r="L204" s="3438"/>
      <c r="M204" s="3435"/>
      <c r="N204" s="3440"/>
      <c r="O204" s="3441"/>
    </row>
    <row r="205" spans="1:15" s="332" customFormat="1" ht="21.75" customHeight="1" thickBot="1">
      <c r="A205" s="301"/>
      <c r="B205" s="3435"/>
      <c r="C205" s="3442"/>
      <c r="D205" s="3442"/>
      <c r="E205" s="3442"/>
      <c r="F205" s="3442"/>
      <c r="G205" s="3442"/>
      <c r="H205" s="3442"/>
      <c r="I205" s="3442"/>
      <c r="J205" s="3442"/>
      <c r="K205" s="3442"/>
      <c r="L205" s="3442"/>
      <c r="M205" s="3435"/>
      <c r="N205" s="3442"/>
      <c r="O205" s="3441"/>
    </row>
    <row r="206" spans="1:15" s="332" customFormat="1" ht="12.75" customHeight="1" thickBot="1">
      <c r="A206" s="301"/>
      <c r="B206" s="3435"/>
      <c r="C206" s="3435"/>
      <c r="D206" s="3435"/>
      <c r="E206" s="3435"/>
      <c r="F206" s="3435"/>
      <c r="G206" s="3435"/>
      <c r="H206" s="3435"/>
      <c r="I206" s="3435"/>
      <c r="J206" s="3435"/>
      <c r="K206" s="3435"/>
      <c r="L206" s="3435"/>
      <c r="M206" s="3435"/>
      <c r="N206" s="3435"/>
      <c r="O206" s="3441"/>
    </row>
    <row r="207" spans="1:15" s="332" customFormat="1" ht="13.5" thickBot="1">
      <c r="A207" s="301"/>
      <c r="B207" s="3435"/>
      <c r="C207" s="3435"/>
      <c r="D207" s="3435"/>
      <c r="E207" s="3435"/>
      <c r="F207" s="3435"/>
      <c r="G207" s="3435"/>
      <c r="H207" s="3435"/>
      <c r="I207" s="3435"/>
      <c r="J207" s="3435"/>
      <c r="K207" s="3435"/>
      <c r="L207" s="3435"/>
      <c r="M207" s="3435"/>
      <c r="N207" s="3435"/>
      <c r="O207" s="3441"/>
    </row>
    <row r="208" spans="1:15" s="332" customFormat="1" ht="13.5" thickBot="1">
      <c r="A208" s="301"/>
      <c r="B208" s="3435"/>
      <c r="C208" s="3435"/>
      <c r="D208" s="3435"/>
      <c r="E208" s="3435"/>
      <c r="F208" s="3435"/>
      <c r="G208" s="3435"/>
      <c r="H208" s="3435"/>
      <c r="I208" s="3435"/>
      <c r="J208" s="3435"/>
      <c r="K208" s="3435"/>
      <c r="L208" s="3435"/>
      <c r="M208" s="3435"/>
      <c r="N208" s="3435"/>
      <c r="O208" s="3441"/>
    </row>
    <row r="209" spans="1:15" s="332" customFormat="1" ht="13.5" thickBot="1">
      <c r="A209" s="301"/>
      <c r="B209" s="3435"/>
      <c r="C209" s="3435"/>
      <c r="D209" s="3435"/>
      <c r="E209" s="3435"/>
      <c r="F209" s="3435"/>
      <c r="G209" s="3435"/>
      <c r="H209" s="3435"/>
      <c r="I209" s="3435"/>
      <c r="J209" s="3435"/>
      <c r="K209" s="3435"/>
      <c r="L209" s="3435"/>
      <c r="M209" s="3435"/>
      <c r="N209" s="3435"/>
      <c r="O209" s="3441"/>
    </row>
    <row r="210" spans="1:15" s="332" customFormat="1" ht="13.5" thickBot="1">
      <c r="A210" s="301"/>
      <c r="B210" s="3435"/>
      <c r="C210" s="3435"/>
      <c r="D210" s="3435"/>
      <c r="E210" s="3435"/>
      <c r="F210" s="3435"/>
      <c r="G210" s="3435"/>
      <c r="H210" s="3435"/>
      <c r="I210" s="3435"/>
      <c r="J210" s="3435"/>
      <c r="K210" s="3435"/>
      <c r="L210" s="3435"/>
      <c r="M210" s="3435"/>
      <c r="N210" s="3435"/>
      <c r="O210" s="3441"/>
    </row>
    <row r="211" spans="1:15" s="332" customFormat="1" ht="13.5" thickBot="1">
      <c r="A211" s="301"/>
      <c r="B211" s="3435"/>
      <c r="C211" s="3435"/>
      <c r="D211" s="3435"/>
      <c r="E211" s="3435"/>
      <c r="F211" s="3435"/>
      <c r="G211" s="3435"/>
      <c r="H211" s="3435"/>
      <c r="I211" s="3435"/>
      <c r="J211" s="3435"/>
      <c r="K211" s="3435"/>
      <c r="L211" s="3435"/>
      <c r="M211" s="3435"/>
      <c r="N211" s="3435"/>
      <c r="O211" s="3441"/>
    </row>
    <row r="212" spans="1:15" s="332" customFormat="1" ht="32.25" customHeight="1" thickBot="1">
      <c r="A212" s="301"/>
      <c r="B212" s="3435"/>
      <c r="C212" s="3435"/>
      <c r="D212" s="3435"/>
      <c r="E212" s="3435"/>
      <c r="F212" s="3435"/>
      <c r="G212" s="3435"/>
      <c r="H212" s="3435"/>
      <c r="I212" s="3435"/>
      <c r="J212" s="3435"/>
      <c r="K212" s="3435"/>
      <c r="L212" s="3435"/>
      <c r="M212" s="3435"/>
      <c r="N212" s="3435"/>
      <c r="O212" s="3441"/>
    </row>
    <row r="213" spans="1:15" s="332" customFormat="1" ht="15" customHeight="1" thickBot="1">
      <c r="A213" s="301"/>
      <c r="B213" s="3435"/>
      <c r="C213" s="3435"/>
      <c r="D213" s="3435"/>
      <c r="E213" s="3435"/>
      <c r="F213" s="3435"/>
      <c r="G213" s="3435"/>
      <c r="H213" s="3435"/>
      <c r="I213" s="3435"/>
      <c r="J213" s="3435"/>
      <c r="K213" s="3435"/>
      <c r="L213" s="3435"/>
      <c r="M213" s="3435"/>
      <c r="N213" s="3435"/>
      <c r="O213" s="3441"/>
    </row>
    <row r="214" spans="1:15" s="332" customFormat="1" ht="12.75" customHeight="1">
      <c r="A214" s="301"/>
      <c r="B214" s="3435"/>
      <c r="C214" s="3435"/>
      <c r="D214" s="3435"/>
      <c r="E214" s="3435"/>
      <c r="F214" s="3435"/>
      <c r="G214" s="3435"/>
      <c r="H214" s="3435"/>
      <c r="I214" s="3435"/>
      <c r="J214" s="3435"/>
      <c r="K214" s="3435"/>
      <c r="L214" s="3435"/>
      <c r="M214" s="3435"/>
      <c r="N214" s="3435"/>
      <c r="O214" s="3443"/>
    </row>
    <row r="215" spans="1:15" s="332" customFormat="1">
      <c r="A215" s="301"/>
      <c r="B215" s="3435"/>
      <c r="C215" s="3435"/>
      <c r="D215" s="3435"/>
      <c r="E215" s="3435"/>
      <c r="F215" s="3435"/>
      <c r="G215" s="3435"/>
      <c r="H215" s="3435"/>
      <c r="I215" s="3435"/>
      <c r="J215" s="3435"/>
      <c r="K215" s="3435"/>
      <c r="L215" s="3435"/>
      <c r="M215" s="3435"/>
      <c r="N215" s="3435"/>
      <c r="O215" s="3436"/>
    </row>
    <row r="216" spans="1:15" s="332" customFormat="1">
      <c r="A216" s="301"/>
      <c r="B216" s="3435"/>
      <c r="C216" s="3435"/>
      <c r="D216" s="3435"/>
      <c r="E216" s="3435"/>
      <c r="F216" s="3435"/>
      <c r="G216" s="3435"/>
      <c r="H216" s="3435"/>
      <c r="I216" s="3435"/>
      <c r="J216" s="3435"/>
      <c r="K216" s="3435"/>
      <c r="L216" s="3435"/>
      <c r="M216" s="3435"/>
      <c r="N216" s="3435"/>
      <c r="O216" s="3436"/>
    </row>
    <row r="217" spans="1:15" s="332" customFormat="1">
      <c r="A217" s="301"/>
      <c r="B217" s="3435"/>
      <c r="C217" s="3435"/>
      <c r="D217" s="3435"/>
      <c r="E217" s="3435"/>
      <c r="F217" s="3435"/>
      <c r="G217" s="3435"/>
      <c r="H217" s="3435"/>
      <c r="I217" s="3435"/>
      <c r="J217" s="3435"/>
      <c r="K217" s="3435"/>
      <c r="L217" s="3435"/>
      <c r="M217" s="3435"/>
      <c r="N217" s="3435"/>
      <c r="O217" s="3436"/>
    </row>
    <row r="218" spans="1:15" s="332" customFormat="1" ht="11.25" customHeight="1">
      <c r="A218" s="301"/>
      <c r="B218" s="3435"/>
      <c r="C218" s="3435"/>
      <c r="D218" s="3435"/>
      <c r="E218" s="3435"/>
      <c r="F218" s="3435"/>
      <c r="G218" s="3435"/>
      <c r="H218" s="3435"/>
      <c r="I218" s="3435"/>
      <c r="J218" s="3435"/>
      <c r="K218" s="3435"/>
      <c r="L218" s="3435"/>
      <c r="M218" s="3435"/>
      <c r="N218" s="3435"/>
      <c r="O218" s="3436"/>
    </row>
    <row r="219" spans="1:15" s="332" customFormat="1" ht="12.75" customHeight="1">
      <c r="A219" s="301"/>
      <c r="B219" s="3435"/>
      <c r="C219" s="3435"/>
      <c r="D219" s="3435"/>
      <c r="E219" s="3435"/>
      <c r="F219" s="3435"/>
      <c r="G219" s="3435"/>
      <c r="H219" s="3435"/>
      <c r="I219" s="3435"/>
      <c r="J219" s="3435"/>
      <c r="K219" s="3435"/>
      <c r="L219" s="3435"/>
      <c r="M219" s="3435"/>
      <c r="N219" s="3435"/>
      <c r="O219" s="3436"/>
    </row>
    <row r="220" spans="1:15" s="332" customFormat="1" ht="12.75" customHeight="1">
      <c r="A220" s="301"/>
      <c r="B220" s="3435"/>
      <c r="C220" s="3435"/>
      <c r="D220" s="3435"/>
      <c r="E220" s="3435"/>
      <c r="F220" s="3435"/>
      <c r="G220" s="3435"/>
      <c r="H220" s="3435"/>
      <c r="I220" s="3435"/>
      <c r="J220" s="3435"/>
      <c r="K220" s="3435"/>
      <c r="L220" s="3435"/>
      <c r="M220" s="3435"/>
      <c r="N220" s="3435"/>
      <c r="O220" s="3436"/>
    </row>
    <row r="221" spans="1:15" s="332" customFormat="1">
      <c r="A221" s="301"/>
      <c r="B221" s="3435"/>
      <c r="C221" s="3435"/>
      <c r="D221" s="3435"/>
      <c r="E221" s="3435"/>
      <c r="F221" s="3435"/>
      <c r="G221" s="3435"/>
      <c r="H221" s="3435"/>
      <c r="I221" s="3435"/>
      <c r="J221" s="3435"/>
      <c r="K221" s="3435"/>
      <c r="L221" s="3435"/>
      <c r="M221" s="3435"/>
      <c r="N221" s="3435"/>
      <c r="O221" s="3436"/>
    </row>
    <row r="222" spans="1:15" s="332" customFormat="1">
      <c r="A222" s="301"/>
      <c r="B222" s="3435"/>
      <c r="C222" s="3435"/>
      <c r="D222" s="3435"/>
      <c r="E222" s="3435"/>
      <c r="F222" s="3435"/>
      <c r="G222" s="3435"/>
      <c r="H222" s="3435"/>
      <c r="I222" s="3435"/>
      <c r="J222" s="3435"/>
      <c r="K222" s="3435"/>
      <c r="L222" s="3435"/>
      <c r="M222" s="3435"/>
      <c r="N222" s="3435"/>
      <c r="O222" s="3436"/>
    </row>
    <row r="223" spans="1:15" s="332" customFormat="1">
      <c r="A223" s="301"/>
      <c r="B223" s="3435"/>
      <c r="C223" s="3435"/>
      <c r="D223" s="3435"/>
      <c r="E223" s="3435"/>
      <c r="F223" s="3435"/>
      <c r="G223" s="3435"/>
      <c r="H223" s="3435"/>
      <c r="I223" s="3435"/>
      <c r="J223" s="3435"/>
      <c r="K223" s="3435"/>
      <c r="L223" s="3435"/>
      <c r="M223" s="3435"/>
      <c r="N223" s="3435"/>
      <c r="O223" s="3436"/>
    </row>
    <row r="224" spans="1:15" s="332" customFormat="1">
      <c r="A224" s="301"/>
      <c r="B224" s="3435"/>
      <c r="C224" s="3435"/>
      <c r="D224" s="3435"/>
      <c r="E224" s="3435"/>
      <c r="F224" s="3435"/>
      <c r="G224" s="3435"/>
      <c r="H224" s="3435"/>
      <c r="I224" s="3435"/>
      <c r="J224" s="3435"/>
      <c r="K224" s="3435"/>
      <c r="L224" s="3435"/>
      <c r="M224" s="3435"/>
      <c r="N224" s="3435"/>
      <c r="O224" s="3436"/>
    </row>
    <row r="225" spans="1:15" s="1382" customFormat="1" ht="24.75" customHeight="1">
      <c r="A225" s="301"/>
      <c r="B225" s="3435"/>
      <c r="C225" s="3435"/>
      <c r="D225" s="3435"/>
      <c r="E225" s="3435"/>
      <c r="F225" s="3435"/>
      <c r="G225" s="3435"/>
      <c r="H225" s="3435"/>
      <c r="I225" s="3435"/>
      <c r="J225" s="3435"/>
      <c r="K225" s="3435"/>
      <c r="L225" s="3435"/>
      <c r="M225" s="3435"/>
      <c r="N225" s="3435"/>
      <c r="O225" s="3436"/>
    </row>
    <row r="226" spans="1:15" s="332" customFormat="1" ht="12.75" customHeight="1">
      <c r="A226" s="301"/>
      <c r="B226" s="3435"/>
      <c r="C226" s="3435"/>
      <c r="D226" s="3435"/>
      <c r="E226" s="3435"/>
      <c r="F226" s="3435"/>
      <c r="G226" s="3435"/>
      <c r="H226" s="3435"/>
      <c r="I226" s="3435"/>
      <c r="J226" s="3435"/>
      <c r="K226" s="3435"/>
      <c r="L226" s="3435"/>
      <c r="M226" s="3435"/>
      <c r="N226" s="3435"/>
      <c r="O226" s="3436"/>
    </row>
    <row r="227" spans="1:15" s="332" customFormat="1" ht="12.75" customHeight="1">
      <c r="A227" s="301"/>
      <c r="B227" s="3435"/>
      <c r="C227" s="3435"/>
      <c r="D227" s="3435"/>
      <c r="E227" s="3435"/>
      <c r="F227" s="3435"/>
      <c r="G227" s="3435"/>
      <c r="H227" s="3435"/>
      <c r="I227" s="3435"/>
      <c r="J227" s="3435"/>
      <c r="K227" s="3435"/>
      <c r="L227" s="3435"/>
      <c r="M227" s="3435"/>
      <c r="N227" s="3435"/>
      <c r="O227" s="3436"/>
    </row>
    <row r="228" spans="1:15" s="332" customFormat="1">
      <c r="A228" s="301"/>
      <c r="B228" s="3435"/>
      <c r="C228" s="3435"/>
      <c r="D228" s="3435"/>
      <c r="E228" s="3435"/>
      <c r="F228" s="3435"/>
      <c r="G228" s="3435"/>
      <c r="H228" s="3435"/>
      <c r="I228" s="3435"/>
      <c r="J228" s="3435"/>
      <c r="K228" s="3435"/>
      <c r="L228" s="3435"/>
      <c r="M228" s="3435"/>
      <c r="N228" s="3435"/>
      <c r="O228" s="3436"/>
    </row>
    <row r="229" spans="1:15" s="332" customFormat="1">
      <c r="A229" s="301"/>
      <c r="B229" s="3435"/>
      <c r="C229" s="3435"/>
      <c r="D229" s="3435"/>
      <c r="E229" s="3435"/>
      <c r="F229" s="3435"/>
      <c r="G229" s="3435"/>
      <c r="H229" s="3435"/>
      <c r="I229" s="3435"/>
      <c r="J229" s="3435"/>
      <c r="K229" s="3435"/>
      <c r="L229" s="3435"/>
      <c r="M229" s="3435"/>
      <c r="N229" s="3435"/>
      <c r="O229" s="3436"/>
    </row>
    <row r="230" spans="1:15" s="332" customFormat="1">
      <c r="A230" s="301"/>
      <c r="B230" s="3435"/>
      <c r="C230" s="3435"/>
      <c r="D230" s="3435"/>
      <c r="E230" s="3435"/>
      <c r="F230" s="3435"/>
      <c r="G230" s="3435"/>
      <c r="H230" s="3435"/>
      <c r="I230" s="3435"/>
      <c r="J230" s="3435"/>
      <c r="K230" s="3435"/>
      <c r="L230" s="3435"/>
      <c r="M230" s="3435"/>
      <c r="N230" s="3435"/>
      <c r="O230" s="3436"/>
    </row>
    <row r="231" spans="1:15" s="1382" customFormat="1" ht="23.25" customHeight="1">
      <c r="A231" s="301"/>
      <c r="B231" s="3435"/>
      <c r="C231" s="3435"/>
      <c r="D231" s="3435"/>
      <c r="E231" s="3435"/>
      <c r="F231" s="3435"/>
      <c r="G231" s="3435"/>
      <c r="H231" s="3435"/>
      <c r="I231" s="3435"/>
      <c r="J231" s="3435"/>
      <c r="K231" s="3435"/>
      <c r="L231" s="3435"/>
      <c r="M231" s="3435"/>
      <c r="N231" s="3435"/>
      <c r="O231" s="3436"/>
    </row>
    <row r="232" spans="1:15" s="332" customFormat="1" ht="15" customHeight="1">
      <c r="A232" s="301"/>
      <c r="B232" s="3435"/>
      <c r="C232" s="3435"/>
      <c r="D232" s="3435"/>
      <c r="E232" s="3435"/>
      <c r="F232" s="3435"/>
      <c r="G232" s="3435"/>
      <c r="H232" s="3435"/>
      <c r="I232" s="3435"/>
      <c r="J232" s="3435"/>
      <c r="K232" s="3435"/>
      <c r="L232" s="3435"/>
      <c r="M232" s="3435"/>
      <c r="N232" s="3435"/>
      <c r="O232" s="3436"/>
    </row>
    <row r="233" spans="1:15" s="332" customFormat="1" ht="12.75" customHeight="1">
      <c r="A233" s="301"/>
      <c r="B233" s="3435"/>
      <c r="C233" s="3435"/>
      <c r="D233" s="3435"/>
      <c r="E233" s="3435"/>
      <c r="F233" s="3435"/>
      <c r="G233" s="3435"/>
      <c r="H233" s="3435"/>
      <c r="I233" s="3435"/>
      <c r="J233" s="3435"/>
      <c r="K233" s="3435"/>
      <c r="L233" s="3435"/>
      <c r="M233" s="3435"/>
      <c r="N233" s="3435"/>
      <c r="O233" s="3436"/>
    </row>
    <row r="234" spans="1:15" s="332" customFormat="1">
      <c r="A234" s="301"/>
      <c r="B234" s="3435"/>
      <c r="C234" s="3435"/>
      <c r="D234" s="3435"/>
      <c r="E234" s="3435"/>
      <c r="F234" s="3435"/>
      <c r="G234" s="3435"/>
      <c r="H234" s="3435"/>
      <c r="I234" s="3435"/>
      <c r="J234" s="3435"/>
      <c r="K234" s="3435"/>
      <c r="L234" s="3435"/>
      <c r="M234" s="3435"/>
      <c r="N234" s="3435"/>
      <c r="O234" s="3436"/>
    </row>
    <row r="235" spans="1:15" s="332" customFormat="1">
      <c r="A235" s="301"/>
      <c r="B235" s="3435"/>
      <c r="C235" s="3435"/>
      <c r="D235" s="3435"/>
      <c r="E235" s="3435"/>
      <c r="F235" s="3435"/>
      <c r="G235" s="3435"/>
      <c r="H235" s="3435"/>
      <c r="I235" s="3435"/>
      <c r="J235" s="3435"/>
      <c r="K235" s="3435"/>
      <c r="L235" s="3435"/>
      <c r="M235" s="3435"/>
      <c r="N235" s="3435"/>
      <c r="O235" s="3436"/>
    </row>
    <row r="236" spans="1:15" s="1382" customFormat="1" ht="12.75" customHeight="1">
      <c r="A236" s="301"/>
      <c r="B236" s="3435"/>
      <c r="C236" s="3435"/>
      <c r="D236" s="3435"/>
      <c r="E236" s="3435"/>
      <c r="F236" s="3435"/>
      <c r="G236" s="3435"/>
      <c r="H236" s="3435"/>
      <c r="I236" s="3435"/>
      <c r="J236" s="3435"/>
      <c r="K236" s="3435"/>
      <c r="L236" s="3435"/>
      <c r="M236" s="3435"/>
      <c r="N236" s="3435"/>
      <c r="O236" s="3436"/>
    </row>
    <row r="237" spans="1:15" s="332" customFormat="1" ht="9.75" customHeight="1">
      <c r="A237" s="301"/>
      <c r="B237" s="3435"/>
      <c r="C237" s="3435"/>
      <c r="D237" s="3435"/>
      <c r="E237" s="3435"/>
      <c r="F237" s="3435"/>
      <c r="G237" s="3435"/>
      <c r="H237" s="3435"/>
      <c r="I237" s="3435"/>
      <c r="J237" s="3435"/>
      <c r="K237" s="3435"/>
      <c r="L237" s="3435"/>
      <c r="M237" s="3435"/>
      <c r="N237" s="3435"/>
      <c r="O237" s="3436"/>
    </row>
    <row r="238" spans="1:15" s="332" customFormat="1" ht="12.75" customHeight="1">
      <c r="A238" s="301"/>
      <c r="B238" s="3435"/>
      <c r="C238" s="3435"/>
      <c r="D238" s="3435"/>
      <c r="E238" s="3435"/>
      <c r="F238" s="3435"/>
      <c r="G238" s="3435"/>
      <c r="H238" s="3435"/>
      <c r="I238" s="3435"/>
      <c r="J238" s="3435"/>
      <c r="K238" s="3435"/>
      <c r="L238" s="3435"/>
      <c r="M238" s="3435"/>
      <c r="N238" s="3435"/>
      <c r="O238" s="3436"/>
    </row>
    <row r="239" spans="1:15" s="332" customFormat="1">
      <c r="A239" s="301"/>
      <c r="B239" s="3435"/>
      <c r="C239" s="3435"/>
      <c r="D239" s="3435"/>
      <c r="E239" s="3435"/>
      <c r="F239" s="3435"/>
      <c r="G239" s="3435"/>
      <c r="H239" s="3435"/>
      <c r="I239" s="3435"/>
      <c r="J239" s="3435"/>
      <c r="K239" s="3435"/>
      <c r="L239" s="3435"/>
      <c r="M239" s="3435"/>
      <c r="N239" s="3435"/>
      <c r="O239" s="3436"/>
    </row>
    <row r="240" spans="1:15" s="332" customFormat="1">
      <c r="A240" s="301"/>
      <c r="B240" s="3435"/>
      <c r="C240" s="3435"/>
      <c r="D240" s="3435"/>
      <c r="E240" s="3435"/>
      <c r="F240" s="3435"/>
      <c r="G240" s="3435"/>
      <c r="H240" s="3435"/>
      <c r="I240" s="3435"/>
      <c r="J240" s="3435"/>
      <c r="K240" s="3435"/>
      <c r="L240" s="3435"/>
      <c r="M240" s="3435"/>
      <c r="N240" s="3435"/>
      <c r="O240" s="3436"/>
    </row>
    <row r="241" spans="1:15" s="1384" customFormat="1" ht="24" customHeight="1">
      <c r="A241" s="301"/>
      <c r="B241" s="3435"/>
      <c r="C241" s="3435"/>
      <c r="D241" s="3435"/>
      <c r="E241" s="3435"/>
      <c r="F241" s="3435"/>
      <c r="G241" s="3435"/>
      <c r="H241" s="3435"/>
      <c r="I241" s="3435"/>
      <c r="J241" s="3435"/>
      <c r="K241" s="3435"/>
      <c r="L241" s="3435"/>
      <c r="M241" s="3435"/>
      <c r="N241" s="3435"/>
      <c r="O241" s="3436"/>
    </row>
    <row r="242" spans="1:15" s="332" customFormat="1" ht="11.25" customHeight="1">
      <c r="A242" s="301"/>
      <c r="B242" s="3435"/>
      <c r="C242" s="3435"/>
      <c r="D242" s="3435"/>
      <c r="E242" s="3435"/>
      <c r="F242" s="3435"/>
      <c r="G242" s="3435"/>
      <c r="H242" s="3435"/>
      <c r="I242" s="3435"/>
      <c r="J242" s="3435"/>
      <c r="K242" s="3435"/>
      <c r="L242" s="3435"/>
      <c r="M242" s="3435"/>
      <c r="N242" s="3435"/>
      <c r="O242" s="3436"/>
    </row>
    <row r="243" spans="1:15" s="332" customFormat="1" ht="12.75" customHeight="1">
      <c r="A243" s="301"/>
      <c r="B243" s="3435"/>
      <c r="C243" s="3435"/>
      <c r="D243" s="3435"/>
      <c r="E243" s="3435"/>
      <c r="F243" s="3435"/>
      <c r="G243" s="3435"/>
      <c r="H243" s="3435"/>
      <c r="I243" s="3435"/>
      <c r="J243" s="3435"/>
      <c r="K243" s="3435"/>
      <c r="L243" s="3435"/>
      <c r="M243" s="3435"/>
      <c r="N243" s="3435"/>
      <c r="O243" s="3436"/>
    </row>
    <row r="244" spans="1:15" s="332" customFormat="1">
      <c r="A244" s="301"/>
      <c r="B244" s="3435"/>
      <c r="C244" s="3435"/>
      <c r="D244" s="3435"/>
      <c r="E244" s="3435"/>
      <c r="F244" s="3435"/>
      <c r="G244" s="3435"/>
      <c r="H244" s="3435"/>
      <c r="I244" s="3435"/>
      <c r="J244" s="3435"/>
      <c r="K244" s="3435"/>
      <c r="L244" s="3435"/>
      <c r="M244" s="3435"/>
      <c r="N244" s="3435"/>
      <c r="O244" s="3436"/>
    </row>
    <row r="245" spans="1:15" s="332" customFormat="1">
      <c r="A245" s="301"/>
      <c r="B245" s="3435"/>
      <c r="C245" s="3435"/>
      <c r="D245" s="3435"/>
      <c r="E245" s="3435"/>
      <c r="F245" s="3435"/>
      <c r="G245" s="3435"/>
      <c r="H245" s="3435"/>
      <c r="I245" s="3435"/>
      <c r="J245" s="3435"/>
      <c r="K245" s="3435"/>
      <c r="L245" s="3435"/>
      <c r="M245" s="3435"/>
      <c r="N245" s="3435"/>
      <c r="O245" s="3436"/>
    </row>
    <row r="246" spans="1:15" s="332" customFormat="1">
      <c r="A246" s="301"/>
      <c r="B246" s="3435"/>
      <c r="C246" s="3435"/>
      <c r="D246" s="3435"/>
      <c r="E246" s="3435"/>
      <c r="F246" s="3435"/>
      <c r="G246" s="3435"/>
      <c r="H246" s="3435"/>
      <c r="I246" s="3435"/>
      <c r="J246" s="3435"/>
      <c r="K246" s="3435"/>
      <c r="L246" s="3435"/>
      <c r="M246" s="3435"/>
      <c r="N246" s="3435"/>
      <c r="O246" s="3436"/>
    </row>
    <row r="247" spans="1:15" s="332" customFormat="1">
      <c r="A247" s="301"/>
      <c r="B247" s="3435"/>
      <c r="C247" s="3435"/>
      <c r="D247" s="3435"/>
      <c r="E247" s="3435"/>
      <c r="F247" s="3435"/>
      <c r="G247" s="3435"/>
      <c r="H247" s="3435"/>
      <c r="I247" s="3435"/>
      <c r="J247" s="3435"/>
      <c r="K247" s="3435"/>
      <c r="L247" s="3435"/>
      <c r="M247" s="3435"/>
      <c r="N247" s="3435"/>
      <c r="O247" s="3436"/>
    </row>
    <row r="248" spans="1:15" s="332" customFormat="1" ht="12" customHeight="1" thickBot="1">
      <c r="A248" s="301"/>
      <c r="B248" s="3435"/>
      <c r="C248" s="3435"/>
      <c r="D248" s="3435"/>
      <c r="E248" s="3435"/>
      <c r="F248" s="3435"/>
      <c r="G248" s="3435"/>
      <c r="H248" s="3435"/>
      <c r="I248" s="3435"/>
      <c r="J248" s="3435"/>
      <c r="K248" s="3435"/>
      <c r="L248" s="3435"/>
      <c r="M248" s="3435"/>
      <c r="N248" s="3435"/>
      <c r="O248" s="3439"/>
    </row>
    <row r="249" spans="1:15" s="332" customFormat="1" ht="10.5" customHeight="1" thickBot="1">
      <c r="A249" s="301"/>
      <c r="B249" s="3435"/>
      <c r="C249" s="3435"/>
      <c r="D249" s="3435"/>
      <c r="E249" s="3435"/>
      <c r="F249" s="3435"/>
      <c r="G249" s="3435"/>
      <c r="H249" s="3435"/>
      <c r="I249" s="3435"/>
      <c r="J249" s="3435"/>
      <c r="K249" s="3435"/>
      <c r="L249" s="3435"/>
      <c r="M249" s="3435"/>
      <c r="N249" s="3435"/>
      <c r="O249" s="3441"/>
    </row>
    <row r="250" spans="1:15" s="332" customFormat="1" ht="13.5" thickBot="1">
      <c r="A250" s="301"/>
      <c r="B250" s="3435"/>
      <c r="C250" s="3435"/>
      <c r="D250" s="3435"/>
      <c r="E250" s="3435"/>
      <c r="F250" s="3435"/>
      <c r="G250" s="3435"/>
      <c r="H250" s="3435"/>
      <c r="I250" s="3435"/>
      <c r="J250" s="3435"/>
      <c r="K250" s="3435"/>
      <c r="L250" s="3435"/>
      <c r="M250" s="3435"/>
      <c r="N250" s="3435"/>
      <c r="O250" s="3441"/>
    </row>
    <row r="251" spans="1:15" s="332" customFormat="1" ht="13.5" thickBot="1">
      <c r="A251" s="301"/>
      <c r="B251" s="3435"/>
      <c r="C251" s="3435"/>
      <c r="D251" s="3435"/>
      <c r="E251" s="3435"/>
      <c r="F251" s="3435"/>
      <c r="G251" s="3435"/>
      <c r="H251" s="3435"/>
      <c r="I251" s="3435"/>
      <c r="J251" s="3435"/>
      <c r="K251" s="3435"/>
      <c r="L251" s="3435"/>
      <c r="M251" s="3435"/>
      <c r="N251" s="3435"/>
      <c r="O251" s="3441"/>
    </row>
    <row r="252" spans="1:15" s="332" customFormat="1" ht="13.5" thickBot="1">
      <c r="A252" s="301"/>
      <c r="B252" s="3435"/>
      <c r="C252" s="3435"/>
      <c r="D252" s="3435"/>
      <c r="E252" s="3435"/>
      <c r="F252" s="3435"/>
      <c r="G252" s="3435"/>
      <c r="H252" s="3435"/>
      <c r="I252" s="3435"/>
      <c r="J252" s="3435"/>
      <c r="K252" s="3435"/>
      <c r="L252" s="3435"/>
      <c r="M252" s="3435"/>
      <c r="N252" s="3435"/>
      <c r="O252" s="3441"/>
    </row>
    <row r="253" spans="1:15" s="332" customFormat="1" ht="13.5" thickBot="1">
      <c r="A253" s="301"/>
      <c r="B253" s="3435"/>
      <c r="C253" s="3435"/>
      <c r="D253" s="3435"/>
      <c r="E253" s="3435"/>
      <c r="F253" s="3435"/>
      <c r="G253" s="3435"/>
      <c r="H253" s="3435"/>
      <c r="I253" s="3435"/>
      <c r="J253" s="3435"/>
      <c r="K253" s="3435"/>
      <c r="L253" s="3435"/>
      <c r="M253" s="3435"/>
      <c r="N253" s="3435"/>
      <c r="O253" s="3441"/>
    </row>
    <row r="254" spans="1:15" s="332" customFormat="1" ht="13.5" thickBot="1">
      <c r="A254" s="301"/>
      <c r="B254" s="3435"/>
      <c r="C254" s="3435"/>
      <c r="D254" s="3435"/>
      <c r="E254" s="3435"/>
      <c r="F254" s="3435"/>
      <c r="G254" s="3435"/>
      <c r="H254" s="3435"/>
      <c r="I254" s="3435"/>
      <c r="J254" s="3435"/>
      <c r="K254" s="3435"/>
      <c r="L254" s="3435"/>
      <c r="M254" s="3435"/>
      <c r="N254" s="3435"/>
      <c r="O254" s="3441"/>
    </row>
    <row r="255" spans="1:15" s="332" customFormat="1" ht="32.25" customHeight="1" thickBot="1">
      <c r="A255" s="301"/>
      <c r="B255" s="3435"/>
      <c r="C255" s="3435"/>
      <c r="D255" s="3435"/>
      <c r="E255" s="3435"/>
      <c r="F255" s="3435"/>
      <c r="G255" s="3435"/>
      <c r="H255" s="3435"/>
      <c r="I255" s="3435"/>
      <c r="J255" s="3435"/>
      <c r="K255" s="3435"/>
      <c r="L255" s="3435"/>
      <c r="M255" s="3435"/>
      <c r="N255" s="3435"/>
      <c r="O255" s="3441"/>
    </row>
    <row r="256" spans="1:15" s="332" customFormat="1" ht="15" customHeight="1" thickBot="1">
      <c r="A256" s="301"/>
      <c r="B256" s="3435"/>
      <c r="C256" s="3435"/>
      <c r="D256" s="3435"/>
      <c r="E256" s="3435"/>
      <c r="F256" s="3435"/>
      <c r="G256" s="3435"/>
      <c r="H256" s="3435"/>
      <c r="I256" s="3435"/>
      <c r="J256" s="3435"/>
      <c r="K256" s="3435"/>
      <c r="L256" s="3435"/>
      <c r="M256" s="3435"/>
      <c r="N256" s="3435"/>
      <c r="O256" s="3441"/>
    </row>
    <row r="257" spans="1:15" s="332" customFormat="1" ht="12.75" customHeight="1" thickBot="1">
      <c r="A257" s="301"/>
      <c r="B257" s="3435"/>
      <c r="C257" s="3435"/>
      <c r="D257" s="3435"/>
      <c r="E257" s="3435"/>
      <c r="F257" s="3435"/>
      <c r="G257" s="3435"/>
      <c r="H257" s="3435"/>
      <c r="I257" s="3435"/>
      <c r="J257" s="3435"/>
      <c r="K257" s="3435"/>
      <c r="L257" s="3435"/>
      <c r="M257" s="3435"/>
      <c r="N257" s="3435"/>
      <c r="O257" s="3441"/>
    </row>
    <row r="258" spans="1:15" s="332" customFormat="1" ht="13.5" thickBot="1">
      <c r="A258" s="301"/>
      <c r="B258" s="3435"/>
      <c r="C258" s="3435"/>
      <c r="D258" s="3435"/>
      <c r="E258" s="3435"/>
      <c r="F258" s="3435"/>
      <c r="G258" s="3435"/>
      <c r="H258" s="3435"/>
      <c r="I258" s="3435"/>
      <c r="J258" s="3435"/>
      <c r="K258" s="3435"/>
      <c r="L258" s="3435"/>
      <c r="M258" s="3435"/>
      <c r="N258" s="3435"/>
      <c r="O258" s="3441"/>
    </row>
    <row r="259" spans="1:15" s="332" customFormat="1" ht="13.5" thickBot="1">
      <c r="A259" s="301"/>
      <c r="B259" s="3435"/>
      <c r="C259" s="3435"/>
      <c r="D259" s="3435"/>
      <c r="E259" s="3435"/>
      <c r="F259" s="3435"/>
      <c r="G259" s="3435"/>
      <c r="H259" s="3435"/>
      <c r="I259" s="3435"/>
      <c r="J259" s="3435"/>
      <c r="K259" s="3435"/>
      <c r="L259" s="3435"/>
      <c r="M259" s="3435"/>
      <c r="N259" s="3435"/>
      <c r="O259" s="3507"/>
    </row>
    <row r="260" spans="1:15" s="332" customFormat="1" ht="13.5" thickBot="1">
      <c r="A260" s="301"/>
      <c r="B260" s="3435"/>
      <c r="C260" s="3435"/>
      <c r="D260" s="3435"/>
      <c r="E260" s="3435"/>
      <c r="F260" s="3435"/>
      <c r="G260" s="3435"/>
      <c r="H260" s="3435"/>
      <c r="I260" s="3435"/>
      <c r="J260" s="3435"/>
      <c r="K260" s="3435"/>
      <c r="L260" s="3435"/>
      <c r="M260" s="3435"/>
      <c r="N260" s="3435"/>
      <c r="O260" s="3507"/>
    </row>
    <row r="261" spans="1:15" s="332" customFormat="1" ht="21.75" customHeight="1" thickBot="1">
      <c r="A261" s="301"/>
      <c r="B261" s="3435"/>
      <c r="C261" s="3435"/>
      <c r="D261" s="3435"/>
      <c r="E261" s="3435"/>
      <c r="F261" s="3435"/>
      <c r="G261" s="3435"/>
      <c r="H261" s="3435"/>
      <c r="I261" s="3435"/>
      <c r="J261" s="3435"/>
      <c r="K261" s="3435"/>
      <c r="L261" s="3435"/>
      <c r="M261" s="3435"/>
      <c r="N261" s="3435"/>
      <c r="O261" s="3507"/>
    </row>
    <row r="262" spans="1:15" s="332" customFormat="1" ht="12.75" customHeight="1">
      <c r="A262" s="301"/>
      <c r="B262" s="3435"/>
      <c r="C262" s="3435"/>
      <c r="D262" s="3435"/>
      <c r="E262" s="3435"/>
      <c r="F262" s="3435"/>
      <c r="G262" s="3435"/>
      <c r="H262" s="3435"/>
      <c r="I262" s="3435"/>
      <c r="J262" s="3435"/>
      <c r="K262" s="3435"/>
      <c r="L262" s="3435"/>
      <c r="M262" s="3435"/>
      <c r="N262" s="3435"/>
      <c r="O262" s="3508"/>
    </row>
    <row r="263" spans="1:15" s="332" customFormat="1" ht="12.75" customHeight="1">
      <c r="A263" s="301"/>
      <c r="B263" s="3435"/>
      <c r="C263" s="3435"/>
      <c r="D263" s="3435"/>
      <c r="E263" s="3435"/>
      <c r="F263" s="3435"/>
      <c r="G263" s="3435"/>
      <c r="H263" s="3435"/>
      <c r="I263" s="3435"/>
      <c r="J263" s="3435"/>
      <c r="K263" s="3435"/>
      <c r="L263" s="3435"/>
      <c r="M263" s="3435"/>
      <c r="N263" s="3435"/>
      <c r="O263" s="3509"/>
    </row>
    <row r="264" spans="1:15" s="332" customFormat="1">
      <c r="A264" s="301"/>
      <c r="B264" s="3435"/>
      <c r="C264" s="3435"/>
      <c r="D264" s="3435"/>
      <c r="E264" s="3435"/>
      <c r="F264" s="3435"/>
      <c r="G264" s="3435"/>
      <c r="H264" s="3435"/>
      <c r="I264" s="3435"/>
      <c r="J264" s="3435"/>
      <c r="K264" s="3435"/>
      <c r="L264" s="3435"/>
      <c r="M264" s="3435"/>
      <c r="N264" s="3435"/>
      <c r="O264" s="3509"/>
    </row>
    <row r="265" spans="1:15" s="332" customFormat="1">
      <c r="A265" s="301"/>
      <c r="B265" s="3435"/>
      <c r="C265" s="3435"/>
      <c r="D265" s="3435"/>
      <c r="E265" s="3435"/>
      <c r="F265" s="3435"/>
      <c r="G265" s="3435"/>
      <c r="H265" s="3435"/>
      <c r="I265" s="3435"/>
      <c r="J265" s="3435"/>
      <c r="K265" s="3435"/>
      <c r="L265" s="3435"/>
      <c r="M265" s="3435"/>
      <c r="N265" s="3435"/>
      <c r="O265" s="3509"/>
    </row>
    <row r="266" spans="1:15" s="332" customFormat="1">
      <c r="A266" s="301"/>
      <c r="B266" s="3435"/>
      <c r="C266" s="3435"/>
      <c r="D266" s="3435"/>
      <c r="E266" s="3435"/>
      <c r="F266" s="3435"/>
      <c r="G266" s="3435"/>
      <c r="H266" s="3435"/>
      <c r="I266" s="3435"/>
      <c r="J266" s="3435"/>
      <c r="K266" s="3435"/>
      <c r="L266" s="3435"/>
      <c r="M266" s="3435"/>
      <c r="N266" s="3435"/>
      <c r="O266" s="3509"/>
    </row>
    <row r="267" spans="1:15" s="332" customFormat="1">
      <c r="A267" s="301"/>
      <c r="B267" s="3435"/>
      <c r="C267" s="3435"/>
      <c r="D267" s="3435"/>
      <c r="E267" s="3435"/>
      <c r="F267" s="3435"/>
      <c r="G267" s="3435"/>
      <c r="H267" s="3435"/>
      <c r="I267" s="3435"/>
      <c r="J267" s="3435"/>
      <c r="K267" s="3435"/>
      <c r="L267" s="3435"/>
      <c r="M267" s="3435"/>
      <c r="N267" s="3435"/>
      <c r="O267" s="3509"/>
    </row>
    <row r="268" spans="1:15" s="1384" customFormat="1" ht="35.25" customHeight="1">
      <c r="A268" s="301"/>
      <c r="B268" s="3435"/>
      <c r="C268" s="3435"/>
      <c r="D268" s="3435"/>
      <c r="E268" s="3435"/>
      <c r="F268" s="3435"/>
      <c r="G268" s="3435"/>
      <c r="H268" s="3435"/>
      <c r="I268" s="3435"/>
      <c r="J268" s="3435"/>
      <c r="K268" s="3435"/>
      <c r="L268" s="3435"/>
      <c r="M268" s="3435"/>
      <c r="N268" s="3435"/>
      <c r="O268" s="3509"/>
    </row>
    <row r="269" spans="1:15" s="332" customFormat="1" ht="11.25" customHeight="1">
      <c r="A269" s="301"/>
      <c r="B269" s="3435"/>
      <c r="C269" s="3435"/>
      <c r="D269" s="3435"/>
      <c r="E269" s="3435"/>
      <c r="F269" s="3435"/>
      <c r="G269" s="3435"/>
      <c r="H269" s="3435"/>
      <c r="I269" s="3435"/>
      <c r="J269" s="3435"/>
      <c r="K269" s="3435"/>
      <c r="L269" s="3435"/>
      <c r="M269" s="3435"/>
      <c r="N269" s="3435"/>
      <c r="O269" s="3509"/>
    </row>
    <row r="270" spans="1:15" s="332" customFormat="1" ht="12.75" customHeight="1">
      <c r="A270" s="301"/>
      <c r="B270" s="3435"/>
      <c r="C270" s="3435"/>
      <c r="D270" s="3435"/>
      <c r="E270" s="3435"/>
      <c r="F270" s="3435"/>
      <c r="G270" s="3435"/>
      <c r="H270" s="3435"/>
      <c r="I270" s="3435"/>
      <c r="J270" s="3435"/>
      <c r="K270" s="3435"/>
      <c r="L270" s="3435"/>
      <c r="M270" s="3435"/>
      <c r="N270" s="3435"/>
      <c r="O270" s="3509"/>
    </row>
    <row r="271" spans="1:15" s="1384" customFormat="1" ht="14.25" customHeight="1">
      <c r="A271" s="301"/>
      <c r="B271" s="3435"/>
      <c r="C271" s="3435"/>
      <c r="D271" s="3435"/>
      <c r="E271" s="3435"/>
      <c r="F271" s="3435"/>
      <c r="G271" s="3435"/>
      <c r="H271" s="3435"/>
      <c r="I271" s="3435"/>
      <c r="J271" s="3435"/>
      <c r="K271" s="3435"/>
      <c r="L271" s="3435"/>
      <c r="M271" s="3435"/>
      <c r="N271" s="3435"/>
      <c r="O271" s="3509"/>
    </row>
    <row r="272" spans="1:15" s="332" customFormat="1" ht="11.25" customHeight="1">
      <c r="A272" s="301"/>
      <c r="B272" s="3435"/>
      <c r="C272" s="3435"/>
      <c r="D272" s="3435"/>
      <c r="E272" s="3435"/>
      <c r="F272" s="3435"/>
      <c r="G272" s="3435"/>
      <c r="H272" s="3435"/>
      <c r="I272" s="3435"/>
      <c r="J272" s="3435"/>
      <c r="K272" s="3435"/>
      <c r="L272" s="3435"/>
      <c r="M272" s="3435"/>
      <c r="N272" s="3435"/>
      <c r="O272" s="3509"/>
    </row>
    <row r="273" spans="1:17" s="332" customFormat="1" ht="12.75" customHeight="1">
      <c r="A273" s="301"/>
      <c r="B273" s="3435"/>
      <c r="C273" s="3435"/>
      <c r="D273" s="3435"/>
      <c r="E273" s="3435"/>
      <c r="F273" s="3435"/>
      <c r="G273" s="3435"/>
      <c r="H273" s="3435"/>
      <c r="I273" s="3435"/>
      <c r="J273" s="3435"/>
      <c r="K273" s="3435"/>
      <c r="L273" s="3435"/>
      <c r="M273" s="3435"/>
      <c r="N273" s="3435"/>
      <c r="O273" s="3509"/>
    </row>
    <row r="274" spans="1:17" s="1384" customFormat="1" ht="23.25" customHeight="1">
      <c r="A274" s="301"/>
      <c r="B274" s="3435"/>
      <c r="C274" s="3435"/>
      <c r="D274" s="3435"/>
      <c r="E274" s="3435"/>
      <c r="F274" s="3435"/>
      <c r="G274" s="3435"/>
      <c r="H274" s="3435"/>
      <c r="I274" s="3435"/>
      <c r="J274" s="3435"/>
      <c r="K274" s="3435"/>
      <c r="L274" s="3435"/>
      <c r="M274" s="3435"/>
      <c r="N274" s="3435"/>
      <c r="O274" s="3509"/>
    </row>
    <row r="275" spans="1:17" s="332" customFormat="1" ht="11.25" customHeight="1">
      <c r="A275" s="301"/>
      <c r="B275" s="3435"/>
      <c r="C275" s="3435"/>
      <c r="D275" s="3435"/>
      <c r="E275" s="3435"/>
      <c r="F275" s="3435"/>
      <c r="G275" s="3435"/>
      <c r="H275" s="3435"/>
      <c r="I275" s="3435"/>
      <c r="J275" s="3435"/>
      <c r="K275" s="3435"/>
      <c r="L275" s="3435"/>
      <c r="M275" s="3435"/>
      <c r="N275" s="3435"/>
      <c r="O275" s="3509"/>
    </row>
    <row r="276" spans="1:17" s="332" customFormat="1">
      <c r="A276" s="301"/>
      <c r="B276" s="3435"/>
      <c r="C276" s="3435"/>
      <c r="D276" s="3435"/>
      <c r="E276" s="3435"/>
      <c r="F276" s="3435"/>
      <c r="G276" s="3435"/>
      <c r="H276" s="3435"/>
      <c r="I276" s="3435"/>
      <c r="J276" s="3435"/>
      <c r="K276" s="3435"/>
      <c r="L276" s="3435"/>
      <c r="M276" s="3435"/>
      <c r="N276" s="3435"/>
      <c r="O276" s="3509"/>
    </row>
    <row r="277" spans="1:17" s="332" customFormat="1">
      <c r="A277" s="301"/>
      <c r="B277" s="3435"/>
      <c r="C277" s="3435"/>
      <c r="D277" s="3435"/>
      <c r="E277" s="3435"/>
      <c r="F277" s="3435"/>
      <c r="G277" s="3435"/>
      <c r="H277" s="3435"/>
      <c r="I277" s="3435"/>
      <c r="J277" s="3435"/>
      <c r="K277" s="3435"/>
      <c r="L277" s="3435"/>
      <c r="M277" s="3435"/>
      <c r="N277" s="3435"/>
      <c r="O277" s="3509"/>
    </row>
    <row r="278" spans="1:17" s="1384" customFormat="1" ht="23.25" customHeight="1">
      <c r="A278" s="301"/>
      <c r="B278" s="3435"/>
      <c r="C278" s="3435"/>
      <c r="D278" s="3435"/>
      <c r="E278" s="3435"/>
      <c r="F278" s="3435"/>
      <c r="G278" s="3435"/>
      <c r="H278" s="3435"/>
      <c r="I278" s="3435"/>
      <c r="J278" s="3435"/>
      <c r="K278" s="3435"/>
      <c r="L278" s="3435"/>
      <c r="M278" s="3435"/>
      <c r="N278" s="3435"/>
      <c r="O278" s="3509"/>
    </row>
    <row r="279" spans="1:17" s="332" customFormat="1" ht="11.25" customHeight="1">
      <c r="A279" s="301"/>
      <c r="B279" s="3435"/>
      <c r="C279" s="3435"/>
      <c r="D279" s="3435"/>
      <c r="E279" s="3435"/>
      <c r="F279" s="3435"/>
      <c r="G279" s="3435"/>
      <c r="H279" s="3435"/>
      <c r="I279" s="3435"/>
      <c r="J279" s="3435"/>
      <c r="K279" s="3435"/>
      <c r="L279" s="3435"/>
      <c r="M279" s="3435"/>
      <c r="N279" s="3435"/>
      <c r="O279" s="3509"/>
    </row>
    <row r="280" spans="1:17" s="332" customFormat="1">
      <c r="A280" s="301"/>
      <c r="B280" s="3435"/>
      <c r="C280" s="3435"/>
      <c r="D280" s="3435"/>
      <c r="E280" s="3435"/>
      <c r="F280" s="3435"/>
      <c r="G280" s="3435"/>
      <c r="H280" s="3435"/>
      <c r="I280" s="3435"/>
      <c r="J280" s="3435"/>
      <c r="K280" s="3435"/>
      <c r="L280" s="3435"/>
      <c r="M280" s="3435"/>
      <c r="N280" s="3435"/>
      <c r="O280" s="3509"/>
    </row>
    <row r="281" spans="1:17">
      <c r="B281" s="3435"/>
      <c r="C281" s="3435"/>
      <c r="D281" s="3435"/>
      <c r="E281" s="3435"/>
      <c r="F281" s="3435"/>
      <c r="G281" s="3435"/>
      <c r="H281" s="3435"/>
      <c r="I281" s="3435"/>
      <c r="J281" s="3435"/>
      <c r="K281" s="3435"/>
      <c r="L281" s="3435"/>
      <c r="M281" s="3435"/>
      <c r="N281" s="3435"/>
      <c r="O281" s="3509"/>
      <c r="P281" s="3459"/>
      <c r="Q281" s="3459"/>
    </row>
    <row r="282" spans="1:17">
      <c r="B282" s="3435"/>
      <c r="C282" s="3435"/>
      <c r="D282" s="3435"/>
      <c r="E282" s="3435"/>
      <c r="F282" s="3435"/>
      <c r="G282" s="3435"/>
      <c r="H282" s="3435"/>
      <c r="I282" s="3435"/>
      <c r="J282" s="3435"/>
      <c r="K282" s="3435"/>
      <c r="L282" s="3435"/>
      <c r="M282" s="3435"/>
      <c r="N282" s="3435"/>
      <c r="O282" s="3509"/>
      <c r="P282" s="3459"/>
      <c r="Q282" s="3459"/>
    </row>
    <row r="283" spans="1:17">
      <c r="B283" s="3435"/>
      <c r="C283" s="3435"/>
      <c r="D283" s="3435"/>
      <c r="E283" s="3435"/>
      <c r="F283" s="3435"/>
      <c r="G283" s="3435"/>
      <c r="H283" s="3435"/>
      <c r="I283" s="3435"/>
      <c r="J283" s="3435"/>
      <c r="K283" s="3435"/>
      <c r="L283" s="3435"/>
      <c r="M283" s="3435"/>
      <c r="N283" s="3435"/>
      <c r="O283" s="3509"/>
      <c r="P283" s="3459"/>
      <c r="Q283" s="3459"/>
    </row>
    <row r="284" spans="1:17">
      <c r="B284" s="3435"/>
      <c r="C284" s="3435"/>
      <c r="D284" s="3435"/>
      <c r="E284" s="3435"/>
      <c r="F284" s="3435"/>
      <c r="G284" s="3435"/>
      <c r="H284" s="3435"/>
      <c r="I284" s="3435"/>
      <c r="J284" s="3435"/>
      <c r="K284" s="3435"/>
      <c r="L284" s="3435"/>
      <c r="M284" s="3435"/>
      <c r="N284" s="3435"/>
      <c r="O284" s="3509"/>
      <c r="P284" s="3459"/>
      <c r="Q284" s="3459"/>
    </row>
    <row r="285" spans="1:17">
      <c r="B285" s="3435"/>
      <c r="C285" s="3435"/>
      <c r="D285" s="3435"/>
      <c r="E285" s="3435"/>
      <c r="F285" s="3435"/>
      <c r="G285" s="3435"/>
      <c r="H285" s="3435"/>
      <c r="I285" s="3435"/>
      <c r="J285" s="3435"/>
      <c r="K285" s="3435"/>
      <c r="L285" s="3435"/>
      <c r="M285" s="3435"/>
      <c r="N285" s="3435"/>
      <c r="O285" s="3509"/>
      <c r="P285" s="3459"/>
      <c r="Q285" s="3459"/>
    </row>
    <row r="286" spans="1:17">
      <c r="B286" s="3435"/>
      <c r="C286" s="3435"/>
      <c r="D286" s="3435"/>
      <c r="E286" s="3435"/>
      <c r="F286" s="3435"/>
      <c r="G286" s="3435"/>
      <c r="H286" s="3435"/>
      <c r="I286" s="3435"/>
      <c r="J286" s="3435"/>
      <c r="K286" s="3435"/>
      <c r="L286" s="3435"/>
      <c r="M286" s="3435"/>
      <c r="N286" s="3435"/>
      <c r="O286" s="3509"/>
      <c r="P286" s="3459"/>
      <c r="Q286" s="3459"/>
    </row>
    <row r="287" spans="1:17">
      <c r="B287" s="3435"/>
      <c r="C287" s="3435"/>
      <c r="D287" s="3435"/>
      <c r="E287" s="3435"/>
      <c r="F287" s="3435"/>
      <c r="G287" s="3435"/>
      <c r="H287" s="3435"/>
      <c r="I287" s="3435"/>
      <c r="J287" s="3435"/>
      <c r="K287" s="3435"/>
      <c r="L287" s="3435"/>
      <c r="M287" s="3435"/>
      <c r="N287" s="3435"/>
      <c r="O287" s="3509"/>
      <c r="P287" s="3459"/>
      <c r="Q287" s="3459"/>
    </row>
    <row r="288" spans="1:17">
      <c r="B288" s="3435"/>
      <c r="C288" s="3435"/>
      <c r="D288" s="3435"/>
      <c r="E288" s="3435"/>
      <c r="F288" s="3435"/>
      <c r="G288" s="3435"/>
      <c r="H288" s="3435"/>
      <c r="I288" s="3435"/>
      <c r="J288" s="3435"/>
      <c r="K288" s="3435"/>
      <c r="L288" s="3435"/>
      <c r="M288" s="3435"/>
      <c r="N288" s="3435"/>
      <c r="O288" s="3436"/>
      <c r="P288" s="3459"/>
      <c r="Q288" s="3459"/>
    </row>
    <row r="289" spans="2:17">
      <c r="B289" s="3435"/>
      <c r="C289" s="3435"/>
      <c r="D289" s="3435"/>
      <c r="E289" s="3435"/>
      <c r="F289" s="3435"/>
      <c r="G289" s="3435"/>
      <c r="H289" s="3435"/>
      <c r="I289" s="3435"/>
      <c r="J289" s="3435"/>
      <c r="K289" s="3435"/>
      <c r="L289" s="3435"/>
      <c r="M289" s="3435"/>
      <c r="N289" s="3435"/>
      <c r="O289" s="3436"/>
      <c r="P289" s="3459"/>
      <c r="Q289" s="3459"/>
    </row>
    <row r="290" spans="2:17">
      <c r="B290" s="3435"/>
      <c r="C290" s="3435"/>
      <c r="D290" s="3435"/>
      <c r="E290" s="3435"/>
      <c r="F290" s="3435"/>
      <c r="G290" s="3435"/>
      <c r="H290" s="3435"/>
      <c r="I290" s="3435"/>
      <c r="J290" s="3435"/>
      <c r="K290" s="3435"/>
      <c r="L290" s="3435"/>
      <c r="M290" s="3435"/>
      <c r="N290" s="3435"/>
      <c r="O290" s="3436"/>
      <c r="P290" s="3459"/>
      <c r="Q290" s="3459"/>
    </row>
    <row r="291" spans="2:17">
      <c r="B291" s="3435"/>
      <c r="C291" s="3435"/>
      <c r="D291" s="3435"/>
      <c r="E291" s="3435"/>
      <c r="F291" s="3435"/>
      <c r="G291" s="3435"/>
      <c r="H291" s="3435"/>
      <c r="I291" s="3435"/>
      <c r="J291" s="3435"/>
      <c r="K291" s="3435"/>
      <c r="L291" s="3435"/>
      <c r="M291" s="3435"/>
      <c r="N291" s="3435"/>
      <c r="O291" s="3436"/>
      <c r="P291" s="3459"/>
      <c r="Q291" s="3459"/>
    </row>
    <row r="292" spans="2:17">
      <c r="B292" s="3435"/>
      <c r="C292" s="3435"/>
      <c r="D292" s="3435"/>
      <c r="E292" s="3435"/>
      <c r="F292" s="3435"/>
      <c r="G292" s="3435"/>
      <c r="H292" s="3435"/>
      <c r="I292" s="3435"/>
      <c r="J292" s="3435"/>
      <c r="K292" s="3435"/>
      <c r="L292" s="3435"/>
      <c r="M292" s="3435"/>
      <c r="N292" s="3435"/>
      <c r="O292" s="3436"/>
      <c r="P292" s="3459"/>
      <c r="Q292" s="3459"/>
    </row>
    <row r="293" spans="2:17">
      <c r="B293" s="3435"/>
      <c r="C293" s="3435"/>
      <c r="D293" s="3435"/>
      <c r="E293" s="3435"/>
      <c r="F293" s="3435"/>
      <c r="G293" s="3435"/>
      <c r="H293" s="3435"/>
      <c r="I293" s="3435"/>
      <c r="J293" s="3435"/>
      <c r="K293" s="3435"/>
      <c r="L293" s="3435"/>
      <c r="M293" s="3435"/>
      <c r="N293" s="3435"/>
      <c r="O293" s="3436"/>
      <c r="P293" s="3459"/>
      <c r="Q293" s="3459"/>
    </row>
    <row r="294" spans="2:17">
      <c r="B294" s="3435"/>
      <c r="C294" s="3435"/>
      <c r="D294" s="3435"/>
      <c r="E294" s="3435"/>
      <c r="F294" s="3435"/>
      <c r="G294" s="3435"/>
      <c r="H294" s="3435"/>
      <c r="I294" s="3435"/>
      <c r="J294" s="3435"/>
      <c r="K294" s="3435"/>
      <c r="L294" s="3435"/>
      <c r="M294" s="3435"/>
      <c r="N294" s="3435"/>
      <c r="O294" s="3436"/>
      <c r="P294" s="3459"/>
      <c r="Q294" s="3459"/>
    </row>
    <row r="295" spans="2:17">
      <c r="B295" s="3435"/>
      <c r="C295" s="3435"/>
      <c r="D295" s="3435"/>
      <c r="E295" s="3435"/>
      <c r="F295" s="3435"/>
      <c r="G295" s="3435"/>
      <c r="H295" s="3435"/>
      <c r="I295" s="3435"/>
      <c r="J295" s="3435"/>
      <c r="K295" s="3435"/>
      <c r="L295" s="3435"/>
      <c r="M295" s="3435"/>
      <c r="N295" s="3435"/>
      <c r="O295" s="3436"/>
      <c r="P295" s="3459"/>
      <c r="Q295" s="3459"/>
    </row>
    <row r="296" spans="2:17">
      <c r="B296" s="3435"/>
      <c r="C296" s="3435"/>
      <c r="D296" s="3435"/>
      <c r="E296" s="3435"/>
      <c r="F296" s="3435"/>
      <c r="G296" s="3435"/>
      <c r="H296" s="3435"/>
      <c r="I296" s="3435"/>
      <c r="J296" s="3435"/>
      <c r="K296" s="3435"/>
      <c r="L296" s="3435"/>
      <c r="M296" s="3435"/>
      <c r="N296" s="3435"/>
      <c r="O296" s="3436"/>
      <c r="P296" s="3459"/>
      <c r="Q296" s="3459"/>
    </row>
    <row r="297" spans="2:17">
      <c r="B297" s="3435"/>
      <c r="C297" s="3435"/>
      <c r="D297" s="3435"/>
      <c r="E297" s="3435"/>
      <c r="F297" s="3435"/>
      <c r="G297" s="3435"/>
      <c r="H297" s="3435"/>
      <c r="I297" s="3435"/>
      <c r="J297" s="3435"/>
      <c r="K297" s="3435"/>
      <c r="L297" s="3435"/>
      <c r="M297" s="3435"/>
      <c r="N297" s="3435"/>
      <c r="O297" s="3436"/>
      <c r="P297" s="3459"/>
      <c r="Q297" s="3459"/>
    </row>
    <row r="298" spans="2:17">
      <c r="B298" s="3435"/>
      <c r="C298" s="3435"/>
      <c r="D298" s="3435"/>
      <c r="E298" s="3435"/>
      <c r="F298" s="3435"/>
      <c r="G298" s="3435"/>
      <c r="H298" s="3435"/>
      <c r="I298" s="3435"/>
      <c r="J298" s="3435"/>
      <c r="K298" s="3435"/>
      <c r="L298" s="3435"/>
      <c r="M298" s="3435"/>
      <c r="N298" s="3435"/>
      <c r="O298" s="3436"/>
      <c r="P298" s="3459"/>
      <c r="Q298" s="3459"/>
    </row>
    <row r="299" spans="2:17">
      <c r="B299" s="3435"/>
      <c r="C299" s="3435"/>
      <c r="D299" s="3435"/>
      <c r="E299" s="3435"/>
      <c r="F299" s="3435"/>
      <c r="G299" s="3435"/>
      <c r="H299" s="3435"/>
      <c r="I299" s="3435"/>
      <c r="J299" s="3435"/>
      <c r="K299" s="3435"/>
      <c r="L299" s="3435"/>
      <c r="M299" s="3435"/>
      <c r="N299" s="3435"/>
      <c r="O299" s="3436"/>
      <c r="P299" s="3459"/>
      <c r="Q299" s="3459"/>
    </row>
    <row r="300" spans="2:17">
      <c r="B300" s="3435"/>
      <c r="C300" s="3435"/>
      <c r="D300" s="3435"/>
      <c r="E300" s="3435"/>
      <c r="F300" s="3435"/>
      <c r="G300" s="3435"/>
      <c r="H300" s="3435"/>
      <c r="I300" s="3435"/>
      <c r="J300" s="3435"/>
      <c r="K300" s="3435"/>
      <c r="L300" s="3435"/>
      <c r="M300" s="3435"/>
      <c r="N300" s="3435"/>
      <c r="O300" s="3436"/>
      <c r="P300" s="3459"/>
      <c r="Q300" s="3459"/>
    </row>
    <row r="301" spans="2:17">
      <c r="B301" s="3435"/>
      <c r="C301" s="3435"/>
      <c r="D301" s="3435"/>
      <c r="E301" s="3435"/>
      <c r="F301" s="3435"/>
      <c r="G301" s="3435"/>
      <c r="H301" s="3435"/>
      <c r="I301" s="3435"/>
      <c r="J301" s="3435"/>
      <c r="K301" s="3435"/>
      <c r="L301" s="3435"/>
      <c r="M301" s="3435"/>
      <c r="N301" s="3435"/>
      <c r="O301" s="3436"/>
      <c r="P301" s="3459"/>
      <c r="Q301" s="3459"/>
    </row>
    <row r="302" spans="2:17">
      <c r="B302" s="3435"/>
      <c r="C302" s="3435"/>
      <c r="D302" s="3435"/>
      <c r="E302" s="3435"/>
      <c r="F302" s="3435"/>
      <c r="G302" s="3435"/>
      <c r="H302" s="3435"/>
      <c r="I302" s="3435"/>
      <c r="J302" s="3435"/>
      <c r="K302" s="3435"/>
      <c r="L302" s="3435"/>
      <c r="M302" s="3435"/>
      <c r="N302" s="3435"/>
      <c r="O302" s="3436"/>
      <c r="P302" s="3459"/>
      <c r="Q302" s="3459"/>
    </row>
    <row r="303" spans="2:17">
      <c r="B303" s="3435"/>
      <c r="C303" s="3435"/>
      <c r="D303" s="3435"/>
      <c r="E303" s="3435"/>
      <c r="F303" s="3435"/>
      <c r="G303" s="3435"/>
      <c r="H303" s="3435"/>
      <c r="I303" s="3435"/>
      <c r="J303" s="3435"/>
      <c r="K303" s="3435"/>
      <c r="L303" s="3435"/>
      <c r="M303" s="3435"/>
      <c r="N303" s="3435"/>
      <c r="O303" s="3436"/>
      <c r="P303" s="3459"/>
      <c r="Q303" s="3459"/>
    </row>
    <row r="304" spans="2:17">
      <c r="B304" s="3435"/>
      <c r="C304" s="3435"/>
      <c r="D304" s="3435"/>
      <c r="E304" s="3435"/>
      <c r="F304" s="3435"/>
      <c r="G304" s="3435"/>
      <c r="H304" s="3435"/>
      <c r="I304" s="3435"/>
      <c r="J304" s="3435"/>
      <c r="K304" s="3435"/>
      <c r="L304" s="3435"/>
      <c r="M304" s="3435"/>
      <c r="N304" s="3435"/>
      <c r="O304" s="3436"/>
      <c r="P304" s="3459"/>
      <c r="Q304" s="3459"/>
    </row>
    <row r="305" spans="2:17">
      <c r="B305" s="3435"/>
      <c r="C305" s="3435"/>
      <c r="D305" s="3435"/>
      <c r="E305" s="3435"/>
      <c r="F305" s="3435"/>
      <c r="G305" s="3435"/>
      <c r="H305" s="3435"/>
      <c r="I305" s="3435"/>
      <c r="J305" s="3435"/>
      <c r="K305" s="3435"/>
      <c r="L305" s="3435"/>
      <c r="M305" s="3435"/>
      <c r="N305" s="3435"/>
      <c r="O305" s="3436"/>
      <c r="P305" s="3459"/>
      <c r="Q305" s="3459"/>
    </row>
    <row r="306" spans="2:17">
      <c r="B306" s="3435"/>
      <c r="C306" s="3435"/>
      <c r="D306" s="3435"/>
      <c r="E306" s="3435"/>
      <c r="F306" s="3435"/>
      <c r="G306" s="3435"/>
      <c r="H306" s="3435"/>
      <c r="I306" s="3435"/>
      <c r="J306" s="3435"/>
      <c r="K306" s="3435"/>
      <c r="L306" s="3435"/>
      <c r="M306" s="3435"/>
      <c r="N306" s="3435"/>
      <c r="O306" s="3436"/>
      <c r="P306" s="3459"/>
      <c r="Q306" s="3459"/>
    </row>
    <row r="307" spans="2:17">
      <c r="B307" s="3435"/>
      <c r="C307" s="3435"/>
      <c r="D307" s="3435"/>
      <c r="E307" s="3435"/>
      <c r="F307" s="3435"/>
      <c r="G307" s="3435"/>
      <c r="H307" s="3435"/>
      <c r="I307" s="3435"/>
      <c r="J307" s="3435"/>
      <c r="K307" s="3435"/>
      <c r="L307" s="3435"/>
      <c r="M307" s="3435"/>
      <c r="N307" s="3435"/>
      <c r="O307" s="3436"/>
      <c r="P307" s="3459"/>
      <c r="Q307" s="3459"/>
    </row>
    <row r="308" spans="2:17">
      <c r="B308" s="3435"/>
      <c r="C308" s="3435"/>
      <c r="D308" s="3435"/>
      <c r="E308" s="3435"/>
      <c r="F308" s="3435"/>
      <c r="G308" s="3435"/>
      <c r="H308" s="3435"/>
      <c r="I308" s="3435"/>
      <c r="J308" s="3435"/>
      <c r="K308" s="3435"/>
      <c r="L308" s="3435"/>
      <c r="M308" s="3435"/>
      <c r="N308" s="3435"/>
      <c r="O308" s="3436"/>
      <c r="P308" s="3459"/>
      <c r="Q308" s="3459"/>
    </row>
    <row r="309" spans="2:17">
      <c r="B309" s="3435"/>
      <c r="C309" s="3435"/>
      <c r="D309" s="3435"/>
      <c r="E309" s="3435"/>
      <c r="F309" s="3435"/>
      <c r="G309" s="3435"/>
      <c r="H309" s="3435"/>
      <c r="I309" s="3435"/>
      <c r="J309" s="3435"/>
      <c r="K309" s="3435"/>
      <c r="L309" s="3435"/>
      <c r="M309" s="3435"/>
      <c r="N309" s="3435"/>
      <c r="O309" s="3436"/>
      <c r="P309" s="3459"/>
      <c r="Q309" s="3459"/>
    </row>
    <row r="310" spans="2:17">
      <c r="B310" s="3435"/>
      <c r="C310" s="3435"/>
      <c r="D310" s="3435"/>
      <c r="E310" s="3435"/>
      <c r="F310" s="3435"/>
      <c r="G310" s="3435"/>
      <c r="H310" s="3435"/>
      <c r="I310" s="3435"/>
      <c r="J310" s="3435"/>
      <c r="K310" s="3435"/>
      <c r="L310" s="3435"/>
      <c r="M310" s="3435"/>
      <c r="N310" s="3435"/>
      <c r="O310" s="3436"/>
      <c r="P310" s="3459"/>
      <c r="Q310" s="3459"/>
    </row>
    <row r="311" spans="2:17">
      <c r="B311" s="3435"/>
      <c r="C311" s="3435"/>
      <c r="D311" s="3435"/>
      <c r="E311" s="3435"/>
      <c r="F311" s="3435"/>
      <c r="G311" s="3435"/>
      <c r="H311" s="3435"/>
      <c r="I311" s="3435"/>
      <c r="J311" s="3435"/>
      <c r="K311" s="3435"/>
      <c r="L311" s="3435"/>
      <c r="M311" s="3435"/>
      <c r="N311" s="3435"/>
      <c r="O311" s="3436"/>
      <c r="P311" s="3459"/>
      <c r="Q311" s="3459"/>
    </row>
    <row r="312" spans="2:17">
      <c r="B312" s="3435"/>
      <c r="C312" s="3435"/>
      <c r="D312" s="3435"/>
      <c r="E312" s="3435"/>
      <c r="F312" s="3435"/>
      <c r="G312" s="3435"/>
      <c r="H312" s="3435"/>
      <c r="I312" s="3435"/>
      <c r="J312" s="3435"/>
      <c r="K312" s="3435"/>
      <c r="L312" s="3435"/>
      <c r="M312" s="3435"/>
      <c r="N312" s="3435"/>
      <c r="O312" s="3436"/>
      <c r="P312" s="3459"/>
      <c r="Q312" s="3459"/>
    </row>
    <row r="313" spans="2:17">
      <c r="B313" s="3435"/>
      <c r="C313" s="3435"/>
      <c r="D313" s="3435"/>
      <c r="E313" s="3435"/>
      <c r="F313" s="3435"/>
      <c r="G313" s="3435"/>
      <c r="H313" s="3435"/>
      <c r="I313" s="3435"/>
      <c r="J313" s="3435"/>
      <c r="K313" s="3435"/>
      <c r="L313" s="3435"/>
      <c r="M313" s="3435"/>
      <c r="N313" s="3435"/>
      <c r="O313" s="3436"/>
      <c r="P313" s="3459"/>
      <c r="Q313" s="3459"/>
    </row>
    <row r="314" spans="2:17">
      <c r="B314" s="3435"/>
      <c r="C314" s="3435"/>
      <c r="D314" s="3435"/>
      <c r="E314" s="3435"/>
      <c r="F314" s="3435"/>
      <c r="G314" s="3435"/>
      <c r="H314" s="3435"/>
      <c r="I314" s="3435"/>
      <c r="J314" s="3435"/>
      <c r="K314" s="3435"/>
      <c r="L314" s="3435"/>
      <c r="M314" s="3435"/>
      <c r="N314" s="3435"/>
      <c r="O314" s="3436"/>
      <c r="P314" s="3459"/>
      <c r="Q314" s="3459"/>
    </row>
    <row r="315" spans="2:17">
      <c r="B315" s="3435"/>
      <c r="C315" s="3435"/>
      <c r="D315" s="3435"/>
      <c r="E315" s="3435"/>
      <c r="F315" s="3435"/>
      <c r="G315" s="3435"/>
      <c r="H315" s="3435"/>
      <c r="I315" s="3435"/>
      <c r="J315" s="3435"/>
      <c r="K315" s="3435"/>
      <c r="L315" s="3435"/>
      <c r="M315" s="3435"/>
      <c r="N315" s="3435"/>
      <c r="O315" s="3436"/>
      <c r="P315" s="3459"/>
      <c r="Q315" s="3459"/>
    </row>
    <row r="316" spans="2:17">
      <c r="B316" s="3435"/>
      <c r="C316" s="3435"/>
      <c r="D316" s="3435"/>
      <c r="E316" s="3435"/>
      <c r="F316" s="3435"/>
      <c r="G316" s="3435"/>
      <c r="H316" s="3435"/>
      <c r="I316" s="3435"/>
      <c r="J316" s="3435"/>
      <c r="K316" s="3435"/>
      <c r="L316" s="3435"/>
      <c r="M316" s="3435"/>
      <c r="N316" s="3435"/>
      <c r="O316" s="3436"/>
      <c r="P316" s="3459"/>
      <c r="Q316" s="3459"/>
    </row>
    <row r="317" spans="2:17">
      <c r="B317" s="3435"/>
      <c r="C317" s="3435"/>
      <c r="D317" s="3435"/>
      <c r="E317" s="3435"/>
      <c r="F317" s="3435"/>
      <c r="G317" s="3435"/>
      <c r="H317" s="3435"/>
      <c r="I317" s="3435"/>
      <c r="J317" s="3435"/>
      <c r="K317" s="3435"/>
      <c r="L317" s="3435"/>
      <c r="M317" s="3435"/>
      <c r="N317" s="3435"/>
      <c r="O317" s="3436"/>
      <c r="P317" s="3459"/>
      <c r="Q317" s="3459"/>
    </row>
    <row r="318" spans="2:17">
      <c r="B318" s="3435"/>
      <c r="C318" s="3435"/>
      <c r="D318" s="3435"/>
      <c r="E318" s="3435"/>
      <c r="F318" s="3435"/>
      <c r="G318" s="3435"/>
      <c r="H318" s="3435"/>
      <c r="I318" s="3435"/>
      <c r="J318" s="3435"/>
      <c r="K318" s="3435"/>
      <c r="L318" s="3435"/>
      <c r="M318" s="3435"/>
      <c r="N318" s="3435"/>
      <c r="O318" s="3436"/>
      <c r="P318" s="3459"/>
      <c r="Q318" s="3459"/>
    </row>
    <row r="319" spans="2:17">
      <c r="B319" s="3435"/>
      <c r="C319" s="3435"/>
      <c r="D319" s="3435"/>
      <c r="E319" s="3435"/>
      <c r="F319" s="3435"/>
      <c r="G319" s="3435"/>
      <c r="H319" s="3435"/>
      <c r="I319" s="3435"/>
      <c r="J319" s="3435"/>
      <c r="K319" s="3435"/>
      <c r="L319" s="3435"/>
      <c r="M319" s="3435"/>
      <c r="N319" s="3435"/>
      <c r="O319" s="3436"/>
      <c r="P319" s="3459"/>
      <c r="Q319" s="3459"/>
    </row>
    <row r="320" spans="2:17">
      <c r="B320" s="3435"/>
      <c r="C320" s="3435"/>
      <c r="D320" s="3435"/>
      <c r="E320" s="3435"/>
      <c r="F320" s="3435"/>
      <c r="G320" s="3435"/>
      <c r="H320" s="3435"/>
      <c r="I320" s="3435"/>
      <c r="J320" s="3435"/>
      <c r="K320" s="3435"/>
      <c r="L320" s="3435"/>
      <c r="M320" s="3435"/>
      <c r="N320" s="3435"/>
      <c r="O320" s="3436"/>
      <c r="P320" s="3459"/>
      <c r="Q320" s="3459"/>
    </row>
    <row r="321" spans="2:17">
      <c r="B321" s="3435"/>
      <c r="C321" s="3435"/>
      <c r="D321" s="3435"/>
      <c r="E321" s="3435"/>
      <c r="F321" s="3435"/>
      <c r="G321" s="3435"/>
      <c r="H321" s="3435"/>
      <c r="I321" s="3435"/>
      <c r="J321" s="3435"/>
      <c r="K321" s="3435"/>
      <c r="L321" s="3435"/>
      <c r="M321" s="3435"/>
      <c r="N321" s="3435"/>
      <c r="O321" s="3436"/>
      <c r="P321" s="3459"/>
      <c r="Q321" s="3459"/>
    </row>
    <row r="322" spans="2:17">
      <c r="B322" s="3435"/>
      <c r="C322" s="3435"/>
      <c r="D322" s="3435"/>
      <c r="E322" s="3435"/>
      <c r="F322" s="3435"/>
      <c r="G322" s="3435"/>
      <c r="H322" s="3435"/>
      <c r="I322" s="3435"/>
      <c r="J322" s="3435"/>
      <c r="K322" s="3435"/>
      <c r="L322" s="3435"/>
      <c r="M322" s="3435"/>
      <c r="N322" s="3435"/>
      <c r="O322" s="3436"/>
      <c r="P322" s="3459"/>
      <c r="Q322" s="3459"/>
    </row>
    <row r="323" spans="2:17">
      <c r="B323" s="3435"/>
      <c r="C323" s="3435"/>
      <c r="D323" s="3435"/>
      <c r="E323" s="3435"/>
      <c r="F323" s="3435"/>
      <c r="G323" s="3435"/>
      <c r="H323" s="3435"/>
      <c r="I323" s="3435"/>
      <c r="J323" s="3435"/>
      <c r="K323" s="3435"/>
      <c r="L323" s="3435"/>
      <c r="M323" s="3435"/>
      <c r="N323" s="3435"/>
      <c r="O323" s="3436"/>
      <c r="P323" s="3459"/>
      <c r="Q323" s="3459"/>
    </row>
    <row r="324" spans="2:17">
      <c r="B324" s="3435"/>
      <c r="C324" s="3435"/>
      <c r="D324" s="3435"/>
      <c r="E324" s="3435"/>
      <c r="F324" s="3435"/>
      <c r="G324" s="3435"/>
      <c r="H324" s="3435"/>
      <c r="I324" s="3435"/>
      <c r="J324" s="3435"/>
      <c r="K324" s="3435"/>
      <c r="L324" s="3435"/>
      <c r="M324" s="3435"/>
      <c r="N324" s="3435"/>
      <c r="O324" s="3436"/>
      <c r="P324" s="3459"/>
      <c r="Q324" s="3459"/>
    </row>
    <row r="325" spans="2:17">
      <c r="B325" s="3435"/>
      <c r="C325" s="3435"/>
      <c r="D325" s="3435"/>
      <c r="E325" s="3435"/>
      <c r="F325" s="3435"/>
      <c r="G325" s="3435"/>
      <c r="H325" s="3435"/>
      <c r="I325" s="3435"/>
      <c r="J325" s="3435"/>
      <c r="K325" s="3435"/>
      <c r="L325" s="3435"/>
      <c r="M325" s="3435"/>
      <c r="N325" s="3435"/>
      <c r="O325" s="3436"/>
      <c r="P325" s="3459"/>
      <c r="Q325" s="3459"/>
    </row>
    <row r="326" spans="2:17">
      <c r="B326" s="3435"/>
      <c r="C326" s="3435"/>
      <c r="D326" s="3435"/>
      <c r="E326" s="3435"/>
      <c r="F326" s="3435"/>
      <c r="G326" s="3435"/>
      <c r="H326" s="3435"/>
      <c r="I326" s="3435"/>
      <c r="J326" s="3435"/>
      <c r="K326" s="3435"/>
      <c r="L326" s="3435"/>
      <c r="M326" s="3435"/>
      <c r="N326" s="3435"/>
      <c r="O326" s="3436"/>
      <c r="P326" s="3459"/>
      <c r="Q326" s="3459"/>
    </row>
    <row r="327" spans="2:17">
      <c r="B327" s="3435"/>
      <c r="C327" s="3435"/>
      <c r="D327" s="3435"/>
      <c r="E327" s="3435"/>
      <c r="F327" s="3435"/>
      <c r="G327" s="3435"/>
      <c r="H327" s="3435"/>
      <c r="I327" s="3435"/>
      <c r="J327" s="3435"/>
      <c r="K327" s="3435"/>
      <c r="L327" s="3435"/>
      <c r="M327" s="3435"/>
      <c r="N327" s="3435"/>
      <c r="O327" s="3436"/>
      <c r="P327" s="3459"/>
      <c r="Q327" s="3459"/>
    </row>
    <row r="328" spans="2:17">
      <c r="B328" s="3435"/>
      <c r="C328" s="3435"/>
      <c r="D328" s="3435"/>
      <c r="E328" s="3435"/>
      <c r="F328" s="3435"/>
      <c r="G328" s="3435"/>
      <c r="H328" s="3435"/>
      <c r="I328" s="3435"/>
      <c r="J328" s="3435"/>
      <c r="K328" s="3435"/>
      <c r="L328" s="3435"/>
      <c r="M328" s="3435"/>
      <c r="N328" s="3435"/>
      <c r="O328" s="3436"/>
      <c r="P328" s="3459"/>
      <c r="Q328" s="3459"/>
    </row>
    <row r="329" spans="2:17">
      <c r="B329" s="3435"/>
      <c r="C329" s="3435"/>
      <c r="D329" s="3435"/>
      <c r="E329" s="3435"/>
      <c r="F329" s="3435"/>
      <c r="G329" s="3435"/>
      <c r="H329" s="3435"/>
      <c r="I329" s="3435"/>
      <c r="J329" s="3435"/>
      <c r="K329" s="3435"/>
      <c r="L329" s="3435"/>
      <c r="M329" s="3435"/>
      <c r="N329" s="3435"/>
      <c r="O329" s="3436"/>
      <c r="P329" s="3459"/>
      <c r="Q329" s="3459"/>
    </row>
    <row r="330" spans="2:17">
      <c r="B330" s="3435"/>
      <c r="C330" s="3435"/>
      <c r="D330" s="3435"/>
      <c r="E330" s="3435"/>
      <c r="F330" s="3435"/>
      <c r="G330" s="3435"/>
      <c r="H330" s="3435"/>
      <c r="I330" s="3435"/>
      <c r="J330" s="3435"/>
      <c r="K330" s="3435"/>
      <c r="L330" s="3435"/>
      <c r="M330" s="3435"/>
      <c r="N330" s="3435"/>
      <c r="O330" s="3436"/>
      <c r="P330" s="3459"/>
      <c r="Q330" s="3459"/>
    </row>
    <row r="331" spans="2:17">
      <c r="B331" s="3435"/>
      <c r="C331" s="3435"/>
      <c r="D331" s="3435"/>
      <c r="E331" s="3435"/>
      <c r="F331" s="3435"/>
      <c r="G331" s="3435"/>
      <c r="H331" s="3435"/>
      <c r="I331" s="3435"/>
      <c r="J331" s="3435"/>
      <c r="K331" s="3435"/>
      <c r="L331" s="3435"/>
      <c r="M331" s="3435"/>
      <c r="N331" s="3435"/>
      <c r="O331" s="3436"/>
      <c r="P331" s="3459"/>
      <c r="Q331" s="3459"/>
    </row>
    <row r="332" spans="2:17">
      <c r="B332" s="3435"/>
      <c r="C332" s="3435"/>
      <c r="D332" s="3435"/>
      <c r="E332" s="3435"/>
      <c r="F332" s="3435"/>
      <c r="G332" s="3435"/>
      <c r="H332" s="3435"/>
      <c r="I332" s="3435"/>
      <c r="J332" s="3435"/>
      <c r="K332" s="3435"/>
      <c r="L332" s="3435"/>
      <c r="M332" s="3435"/>
      <c r="N332" s="3435"/>
      <c r="O332" s="3436"/>
      <c r="P332" s="3459"/>
      <c r="Q332" s="3459"/>
    </row>
    <row r="333" spans="2:17">
      <c r="B333" s="3435"/>
      <c r="C333" s="3435"/>
      <c r="D333" s="3435"/>
      <c r="E333" s="3435"/>
      <c r="F333" s="3435"/>
      <c r="G333" s="3435"/>
      <c r="H333" s="3435"/>
      <c r="I333" s="3435"/>
      <c r="J333" s="3435"/>
      <c r="K333" s="3435"/>
      <c r="L333" s="3435"/>
      <c r="M333" s="3435"/>
      <c r="N333" s="3435"/>
      <c r="O333" s="3436"/>
      <c r="P333" s="3459"/>
      <c r="Q333" s="3459"/>
    </row>
    <row r="334" spans="2:17">
      <c r="B334" s="3435"/>
      <c r="C334" s="3435"/>
      <c r="D334" s="3435"/>
      <c r="E334" s="3435"/>
      <c r="F334" s="3435"/>
      <c r="G334" s="3435"/>
      <c r="H334" s="3435"/>
      <c r="I334" s="3435"/>
      <c r="J334" s="3435"/>
      <c r="K334" s="3435"/>
      <c r="L334" s="3435"/>
      <c r="M334" s="3435"/>
      <c r="N334" s="3435"/>
      <c r="O334" s="3436"/>
      <c r="P334" s="3459"/>
      <c r="Q334" s="3459"/>
    </row>
    <row r="335" spans="2:17">
      <c r="B335" s="3435"/>
      <c r="C335" s="3435"/>
      <c r="D335" s="3435"/>
      <c r="E335" s="3435"/>
      <c r="F335" s="3435"/>
      <c r="G335" s="3435"/>
      <c r="H335" s="3435"/>
      <c r="I335" s="3435"/>
      <c r="J335" s="3435"/>
      <c r="K335" s="3435"/>
      <c r="L335" s="3435"/>
      <c r="M335" s="3435"/>
      <c r="N335" s="3435"/>
      <c r="O335" s="3436"/>
      <c r="P335" s="3459"/>
      <c r="Q335" s="3459"/>
    </row>
    <row r="336" spans="2:17">
      <c r="B336" s="3435"/>
      <c r="C336" s="3435"/>
      <c r="D336" s="3435"/>
      <c r="E336" s="3435"/>
      <c r="F336" s="3435"/>
      <c r="G336" s="3435"/>
      <c r="H336" s="3435"/>
      <c r="I336" s="3435"/>
      <c r="J336" s="3435"/>
      <c r="K336" s="3435"/>
      <c r="L336" s="3435"/>
      <c r="M336" s="3435"/>
      <c r="N336" s="3435"/>
      <c r="O336" s="3436"/>
      <c r="P336" s="3459"/>
      <c r="Q336" s="3459"/>
    </row>
    <row r="337" spans="2:17">
      <c r="B337" s="3435"/>
      <c r="C337" s="3435"/>
      <c r="D337" s="3435"/>
      <c r="E337" s="3435"/>
      <c r="F337" s="3435"/>
      <c r="G337" s="3435"/>
      <c r="H337" s="3435"/>
      <c r="I337" s="3435"/>
      <c r="J337" s="3435"/>
      <c r="K337" s="3435"/>
      <c r="L337" s="3435"/>
      <c r="M337" s="3435"/>
      <c r="N337" s="3435"/>
      <c r="O337" s="3436"/>
      <c r="P337" s="3459"/>
      <c r="Q337" s="3459"/>
    </row>
    <row r="338" spans="2:17">
      <c r="B338" s="3435"/>
      <c r="C338" s="3435"/>
      <c r="D338" s="3435"/>
      <c r="E338" s="3435"/>
      <c r="F338" s="3435"/>
      <c r="G338" s="3435"/>
      <c r="H338" s="3435"/>
      <c r="I338" s="3435"/>
      <c r="J338" s="3435"/>
      <c r="K338" s="3435"/>
      <c r="L338" s="3435"/>
      <c r="M338" s="3435"/>
      <c r="N338" s="3435"/>
      <c r="O338" s="3436"/>
      <c r="P338" s="3459"/>
      <c r="Q338" s="3459"/>
    </row>
    <row r="339" spans="2:17">
      <c r="B339" s="3435"/>
      <c r="C339" s="3435"/>
      <c r="D339" s="3435"/>
      <c r="E339" s="3435"/>
      <c r="F339" s="3435"/>
      <c r="G339" s="3435"/>
      <c r="H339" s="3435"/>
      <c r="I339" s="3435"/>
      <c r="J339" s="3435"/>
      <c r="K339" s="3435"/>
      <c r="L339" s="3435"/>
      <c r="M339" s="3435"/>
      <c r="N339" s="3435"/>
      <c r="O339" s="3436"/>
      <c r="P339" s="3459"/>
      <c r="Q339" s="3459"/>
    </row>
    <row r="340" spans="2:17">
      <c r="B340" s="3435"/>
      <c r="C340" s="3435"/>
      <c r="D340" s="3435"/>
      <c r="E340" s="3435"/>
      <c r="F340" s="3435"/>
      <c r="G340" s="3435"/>
      <c r="H340" s="3435"/>
      <c r="I340" s="3435"/>
      <c r="J340" s="3435"/>
      <c r="K340" s="3435"/>
      <c r="L340" s="3435"/>
      <c r="M340" s="3435"/>
      <c r="N340" s="3435"/>
      <c r="O340" s="3436"/>
      <c r="P340" s="3459"/>
      <c r="Q340" s="3459"/>
    </row>
    <row r="341" spans="2:17">
      <c r="B341" s="3435"/>
      <c r="C341" s="3435"/>
      <c r="D341" s="3435"/>
      <c r="E341" s="3435"/>
      <c r="F341" s="3435"/>
      <c r="G341" s="3435"/>
      <c r="H341" s="3435"/>
      <c r="I341" s="3435"/>
      <c r="J341" s="3435"/>
      <c r="K341" s="3435"/>
      <c r="L341" s="3435"/>
      <c r="M341" s="3435"/>
      <c r="N341" s="3435"/>
      <c r="O341" s="3436"/>
      <c r="P341" s="3459"/>
      <c r="Q341" s="3459"/>
    </row>
    <row r="342" spans="2:17">
      <c r="B342" s="3435"/>
      <c r="C342" s="3435"/>
      <c r="D342" s="3435"/>
      <c r="E342" s="3435"/>
      <c r="F342" s="3435"/>
      <c r="G342" s="3435"/>
      <c r="H342" s="3435"/>
      <c r="I342" s="3435"/>
      <c r="J342" s="3435"/>
      <c r="K342" s="3435"/>
      <c r="L342" s="3435"/>
      <c r="M342" s="3435"/>
      <c r="N342" s="3435"/>
      <c r="O342" s="3436"/>
      <c r="P342" s="3459"/>
      <c r="Q342" s="3459"/>
    </row>
    <row r="343" spans="2:17">
      <c r="B343" s="3435"/>
      <c r="C343" s="3435"/>
      <c r="D343" s="3435"/>
      <c r="E343" s="3435"/>
      <c r="F343" s="3435"/>
      <c r="G343" s="3435"/>
      <c r="H343" s="3435"/>
      <c r="I343" s="3435"/>
      <c r="J343" s="3435"/>
      <c r="K343" s="3435"/>
      <c r="L343" s="3435"/>
      <c r="M343" s="3435"/>
      <c r="N343" s="3435"/>
      <c r="O343" s="3436"/>
      <c r="P343" s="3459"/>
      <c r="Q343" s="3459"/>
    </row>
    <row r="344" spans="2:17">
      <c r="B344" s="3435"/>
      <c r="C344" s="3435"/>
      <c r="D344" s="3435"/>
      <c r="E344" s="3435"/>
      <c r="F344" s="3435"/>
      <c r="G344" s="3435"/>
      <c r="H344" s="3435"/>
      <c r="I344" s="3435"/>
      <c r="J344" s="3435"/>
      <c r="K344" s="3435"/>
      <c r="L344" s="3435"/>
      <c r="M344" s="3435"/>
      <c r="N344" s="3435"/>
      <c r="O344" s="3436"/>
      <c r="P344" s="3459"/>
      <c r="Q344" s="3459"/>
    </row>
    <row r="345" spans="2:17">
      <c r="B345" s="3435"/>
      <c r="C345" s="3435"/>
      <c r="D345" s="3435"/>
      <c r="E345" s="3435"/>
      <c r="F345" s="3435"/>
      <c r="G345" s="3435"/>
      <c r="H345" s="3435"/>
      <c r="I345" s="3435"/>
      <c r="J345" s="3435"/>
      <c r="K345" s="3435"/>
      <c r="L345" s="3435"/>
      <c r="M345" s="3435"/>
      <c r="N345" s="3435"/>
      <c r="O345" s="3436"/>
      <c r="P345" s="3459"/>
      <c r="Q345" s="3459"/>
    </row>
    <row r="346" spans="2:17">
      <c r="B346" s="3435"/>
      <c r="C346" s="3435"/>
      <c r="D346" s="3435"/>
      <c r="E346" s="3435"/>
      <c r="F346" s="3435"/>
      <c r="G346" s="3435"/>
      <c r="H346" s="3435"/>
      <c r="I346" s="3435"/>
      <c r="J346" s="3435"/>
      <c r="K346" s="3435"/>
      <c r="L346" s="3435"/>
      <c r="M346" s="3435"/>
      <c r="N346" s="3435"/>
      <c r="O346" s="3436"/>
      <c r="P346" s="3459"/>
      <c r="Q346" s="3459"/>
    </row>
    <row r="347" spans="2:17">
      <c r="B347" s="3435"/>
      <c r="C347" s="3435"/>
      <c r="D347" s="3435"/>
      <c r="E347" s="3435"/>
      <c r="F347" s="3435"/>
      <c r="G347" s="3435"/>
      <c r="H347" s="3435"/>
      <c r="I347" s="3435"/>
      <c r="J347" s="3435"/>
      <c r="K347" s="3435"/>
      <c r="L347" s="3435"/>
      <c r="M347" s="3435"/>
      <c r="N347" s="3435"/>
      <c r="O347" s="3436"/>
      <c r="P347" s="3459"/>
      <c r="Q347" s="3459"/>
    </row>
    <row r="348" spans="2:17">
      <c r="B348" s="3435"/>
      <c r="C348" s="3435"/>
      <c r="D348" s="3435"/>
      <c r="E348" s="3435"/>
      <c r="F348" s="3435"/>
      <c r="G348" s="3435"/>
      <c r="H348" s="3435"/>
      <c r="I348" s="3435"/>
      <c r="J348" s="3435"/>
      <c r="K348" s="3435"/>
      <c r="L348" s="3435"/>
      <c r="M348" s="3435"/>
      <c r="N348" s="3435"/>
      <c r="O348" s="3436"/>
      <c r="P348" s="3459"/>
      <c r="Q348" s="3459"/>
    </row>
    <row r="349" spans="2:17">
      <c r="B349" s="3435"/>
      <c r="C349" s="3435"/>
      <c r="D349" s="3435"/>
      <c r="E349" s="3435"/>
      <c r="F349" s="3435"/>
      <c r="G349" s="3435"/>
      <c r="H349" s="3435"/>
      <c r="I349" s="3435"/>
      <c r="J349" s="3435"/>
      <c r="K349" s="3435"/>
      <c r="L349" s="3435"/>
      <c r="M349" s="3435"/>
      <c r="N349" s="3435"/>
      <c r="O349" s="3436"/>
      <c r="P349" s="3459"/>
      <c r="Q349" s="3459"/>
    </row>
    <row r="350" spans="2:17">
      <c r="B350" s="3435"/>
      <c r="C350" s="3435"/>
      <c r="D350" s="3435"/>
      <c r="E350" s="3435"/>
      <c r="F350" s="3435"/>
      <c r="G350" s="3435"/>
      <c r="H350" s="3435"/>
      <c r="I350" s="3435"/>
      <c r="J350" s="3435"/>
      <c r="K350" s="3435"/>
      <c r="L350" s="3435"/>
      <c r="M350" s="3435"/>
      <c r="N350" s="3435"/>
      <c r="O350" s="3436"/>
      <c r="P350" s="3459"/>
      <c r="Q350" s="3459"/>
    </row>
    <row r="351" spans="2:17">
      <c r="B351" s="3435"/>
      <c r="C351" s="3435"/>
      <c r="D351" s="3435"/>
      <c r="E351" s="3435"/>
      <c r="F351" s="3435"/>
      <c r="G351" s="3435"/>
      <c r="H351" s="3435"/>
      <c r="I351" s="3435"/>
      <c r="J351" s="3435"/>
      <c r="K351" s="3435"/>
      <c r="L351" s="3435"/>
      <c r="M351" s="3435"/>
      <c r="N351" s="3435"/>
      <c r="O351" s="3436"/>
      <c r="P351" s="3459"/>
      <c r="Q351" s="3459"/>
    </row>
    <row r="352" spans="2:17">
      <c r="B352" s="3435"/>
      <c r="C352" s="3435"/>
      <c r="D352" s="3435"/>
      <c r="E352" s="3435"/>
      <c r="F352" s="3435"/>
      <c r="G352" s="3435"/>
      <c r="H352" s="3435"/>
      <c r="I352" s="3435"/>
      <c r="J352" s="3435"/>
      <c r="K352" s="3435"/>
      <c r="L352" s="3435"/>
      <c r="M352" s="3435"/>
      <c r="N352" s="3435"/>
      <c r="O352" s="3436"/>
      <c r="P352" s="3459"/>
      <c r="Q352" s="3459"/>
    </row>
    <row r="353" spans="2:17">
      <c r="B353" s="3435"/>
      <c r="C353" s="3435"/>
      <c r="D353" s="3435"/>
      <c r="E353" s="3435"/>
      <c r="F353" s="3435"/>
      <c r="G353" s="3435"/>
      <c r="H353" s="3435"/>
      <c r="I353" s="3435"/>
      <c r="J353" s="3435"/>
      <c r="K353" s="3435"/>
      <c r="L353" s="3435"/>
      <c r="M353" s="3435"/>
      <c r="N353" s="3435"/>
      <c r="O353" s="3436"/>
      <c r="P353" s="3459"/>
      <c r="Q353" s="3459"/>
    </row>
    <row r="354" spans="2:17">
      <c r="B354" s="3435"/>
      <c r="C354" s="3435"/>
      <c r="D354" s="3435"/>
      <c r="E354" s="3435"/>
      <c r="F354" s="3435"/>
      <c r="G354" s="3435"/>
      <c r="H354" s="3435"/>
      <c r="I354" s="3435"/>
      <c r="J354" s="3435"/>
      <c r="K354" s="3435"/>
      <c r="L354" s="3435"/>
      <c r="M354" s="3435"/>
      <c r="N354" s="3435"/>
      <c r="O354" s="3436"/>
      <c r="P354" s="3459"/>
      <c r="Q354" s="3459"/>
    </row>
    <row r="355" spans="2:17">
      <c r="B355" s="3435"/>
      <c r="C355" s="3435"/>
      <c r="D355" s="3435"/>
      <c r="E355" s="3435"/>
      <c r="F355" s="3435"/>
      <c r="G355" s="3435"/>
      <c r="H355" s="3435"/>
      <c r="I355" s="3435"/>
      <c r="J355" s="3435"/>
      <c r="K355" s="3435"/>
      <c r="L355" s="3435"/>
      <c r="M355" s="3435"/>
      <c r="N355" s="3435"/>
      <c r="O355" s="3436"/>
      <c r="P355" s="3459"/>
      <c r="Q355" s="3459"/>
    </row>
    <row r="356" spans="2:17">
      <c r="B356" s="3435"/>
      <c r="C356" s="3435"/>
      <c r="D356" s="3435"/>
      <c r="E356" s="3435"/>
      <c r="F356" s="3435"/>
      <c r="G356" s="3435"/>
      <c r="H356" s="3435"/>
      <c r="I356" s="3435"/>
      <c r="J356" s="3435"/>
      <c r="K356" s="3435"/>
      <c r="L356" s="3435"/>
      <c r="M356" s="3435"/>
      <c r="N356" s="3435"/>
      <c r="O356" s="3436"/>
      <c r="P356" s="3459"/>
      <c r="Q356" s="3459"/>
    </row>
    <row r="357" spans="2:17">
      <c r="B357" s="3435"/>
      <c r="C357" s="3435"/>
      <c r="D357" s="3435"/>
      <c r="E357" s="3435"/>
      <c r="F357" s="3435"/>
      <c r="G357" s="3435"/>
      <c r="H357" s="3435"/>
      <c r="I357" s="3435"/>
      <c r="J357" s="3435"/>
      <c r="K357" s="3435"/>
      <c r="L357" s="3435"/>
      <c r="M357" s="3435"/>
      <c r="N357" s="3435"/>
      <c r="O357" s="3436"/>
      <c r="P357" s="3459"/>
      <c r="Q357" s="3459"/>
    </row>
    <row r="358" spans="2:17">
      <c r="B358" s="3435"/>
      <c r="C358" s="3435"/>
      <c r="D358" s="3435"/>
      <c r="E358" s="3435"/>
      <c r="F358" s="3435"/>
      <c r="G358" s="3435"/>
      <c r="H358" s="3435"/>
      <c r="I358" s="3435"/>
      <c r="J358" s="3435"/>
      <c r="K358" s="3435"/>
      <c r="L358" s="3435"/>
      <c r="M358" s="3435"/>
      <c r="N358" s="3435"/>
      <c r="O358" s="3436"/>
      <c r="P358" s="3459"/>
      <c r="Q358" s="3459"/>
    </row>
    <row r="359" spans="2:17">
      <c r="B359" s="3435"/>
      <c r="C359" s="3435"/>
      <c r="D359" s="3435"/>
      <c r="E359" s="3435"/>
      <c r="F359" s="3435"/>
      <c r="G359" s="3435"/>
      <c r="H359" s="3435"/>
      <c r="I359" s="3435"/>
      <c r="J359" s="3435"/>
      <c r="K359" s="3435"/>
      <c r="L359" s="3435"/>
      <c r="M359" s="3435"/>
      <c r="N359" s="3435"/>
      <c r="O359" s="3436"/>
      <c r="P359" s="3459"/>
      <c r="Q359" s="3459"/>
    </row>
    <row r="360" spans="2:17">
      <c r="B360" s="3435"/>
      <c r="C360" s="3435"/>
      <c r="D360" s="3435"/>
      <c r="E360" s="3435"/>
      <c r="F360" s="3435"/>
      <c r="G360" s="3435"/>
      <c r="H360" s="3435"/>
      <c r="I360" s="3435"/>
      <c r="J360" s="3435"/>
      <c r="K360" s="3435"/>
      <c r="L360" s="3435"/>
      <c r="M360" s="3435"/>
      <c r="N360" s="3435"/>
      <c r="O360" s="3436"/>
      <c r="P360" s="3459"/>
      <c r="Q360" s="3459"/>
    </row>
    <row r="361" spans="2:17">
      <c r="B361" s="3435"/>
      <c r="C361" s="3435"/>
      <c r="D361" s="3435"/>
      <c r="E361" s="3435"/>
      <c r="F361" s="3435"/>
      <c r="G361" s="3435"/>
      <c r="H361" s="3435"/>
      <c r="I361" s="3435"/>
      <c r="J361" s="3435"/>
      <c r="K361" s="3435"/>
      <c r="L361" s="3435"/>
      <c r="M361" s="3435"/>
      <c r="N361" s="3435"/>
      <c r="O361" s="3436"/>
      <c r="P361" s="3459"/>
      <c r="Q361" s="3459"/>
    </row>
    <row r="362" spans="2:17">
      <c r="B362" s="3435"/>
      <c r="C362" s="3435"/>
      <c r="D362" s="3435"/>
      <c r="E362" s="3435"/>
      <c r="F362" s="3435"/>
      <c r="G362" s="3435"/>
      <c r="H362" s="3435"/>
      <c r="I362" s="3435"/>
      <c r="J362" s="3435"/>
      <c r="K362" s="3435"/>
      <c r="L362" s="3435"/>
      <c r="M362" s="3435"/>
      <c r="N362" s="3435"/>
      <c r="O362" s="3436"/>
      <c r="P362" s="3459"/>
      <c r="Q362" s="3459"/>
    </row>
    <row r="363" spans="2:17">
      <c r="B363" s="3435"/>
      <c r="C363" s="3435"/>
      <c r="D363" s="3435"/>
      <c r="E363" s="3435"/>
      <c r="F363" s="3435"/>
      <c r="G363" s="3435"/>
      <c r="H363" s="3435"/>
      <c r="I363" s="3435"/>
      <c r="J363" s="3435"/>
      <c r="K363" s="3435"/>
      <c r="L363" s="3435"/>
      <c r="M363" s="3435"/>
      <c r="N363" s="3435"/>
      <c r="O363" s="3436"/>
      <c r="P363" s="3459"/>
      <c r="Q363" s="3459"/>
    </row>
    <row r="364" spans="2:17">
      <c r="B364" s="3435"/>
      <c r="C364" s="3435"/>
      <c r="D364" s="3435"/>
      <c r="E364" s="3435"/>
      <c r="F364" s="3435"/>
      <c r="G364" s="3435"/>
      <c r="H364" s="3435"/>
      <c r="I364" s="3435"/>
      <c r="J364" s="3435"/>
      <c r="K364" s="3435"/>
      <c r="L364" s="3435"/>
      <c r="M364" s="3435"/>
      <c r="N364" s="3435"/>
      <c r="O364" s="3436"/>
      <c r="P364" s="3459"/>
      <c r="Q364" s="3459"/>
    </row>
    <row r="365" spans="2:17">
      <c r="B365" s="3435"/>
      <c r="C365" s="3435"/>
      <c r="D365" s="3435"/>
      <c r="E365" s="3435"/>
      <c r="F365" s="3435"/>
      <c r="G365" s="3435"/>
      <c r="H365" s="3435"/>
      <c r="I365" s="3435"/>
      <c r="J365" s="3435"/>
      <c r="K365" s="3435"/>
      <c r="L365" s="3435"/>
      <c r="M365" s="3435"/>
      <c r="N365" s="3435"/>
      <c r="O365" s="3436"/>
      <c r="P365" s="3459"/>
      <c r="Q365" s="3459"/>
    </row>
    <row r="366" spans="2:17">
      <c r="B366" s="3435"/>
      <c r="C366" s="3435"/>
      <c r="D366" s="3435"/>
      <c r="E366" s="3435"/>
      <c r="F366" s="3435"/>
      <c r="G366" s="3435"/>
      <c r="H366" s="3435"/>
      <c r="I366" s="3435"/>
      <c r="J366" s="3435"/>
      <c r="K366" s="3435"/>
      <c r="L366" s="3435"/>
      <c r="M366" s="3435"/>
      <c r="N366" s="3435"/>
      <c r="O366" s="3436"/>
      <c r="P366" s="3459"/>
      <c r="Q366" s="3459"/>
    </row>
    <row r="367" spans="2:17">
      <c r="B367" s="3435"/>
      <c r="C367" s="3435"/>
      <c r="D367" s="3435"/>
      <c r="E367" s="3435"/>
      <c r="F367" s="3435"/>
      <c r="G367" s="3435"/>
      <c r="H367" s="3435"/>
      <c r="I367" s="3435"/>
      <c r="J367" s="3435"/>
      <c r="K367" s="3435"/>
      <c r="L367" s="3435"/>
      <c r="M367" s="3435"/>
      <c r="N367" s="3435"/>
      <c r="O367" s="3436"/>
      <c r="P367" s="3459"/>
      <c r="Q367" s="3459"/>
    </row>
    <row r="368" spans="2:17">
      <c r="B368" s="3435"/>
      <c r="C368" s="3435"/>
      <c r="D368" s="3435"/>
      <c r="E368" s="3435"/>
      <c r="F368" s="3435"/>
      <c r="G368" s="3435"/>
      <c r="H368" s="3435"/>
      <c r="I368" s="3435"/>
      <c r="J368" s="3435"/>
      <c r="K368" s="3435"/>
      <c r="L368" s="3435"/>
      <c r="M368" s="3435"/>
      <c r="N368" s="3435"/>
      <c r="O368" s="3436"/>
      <c r="P368" s="3459"/>
      <c r="Q368" s="3459"/>
    </row>
    <row r="369" spans="2:17">
      <c r="B369" s="3435"/>
      <c r="C369" s="3435"/>
      <c r="D369" s="3435"/>
      <c r="E369" s="3435"/>
      <c r="F369" s="3435"/>
      <c r="G369" s="3435"/>
      <c r="H369" s="3435"/>
      <c r="I369" s="3435"/>
      <c r="J369" s="3435"/>
      <c r="K369" s="3435"/>
      <c r="L369" s="3435"/>
      <c r="M369" s="3435"/>
      <c r="N369" s="3435"/>
      <c r="O369" s="3436"/>
      <c r="P369" s="3459"/>
      <c r="Q369" s="3459"/>
    </row>
    <row r="370" spans="2:17">
      <c r="B370" s="3435"/>
      <c r="C370" s="3435"/>
      <c r="D370" s="3435"/>
      <c r="E370" s="3435"/>
      <c r="F370" s="3435"/>
      <c r="G370" s="3435"/>
      <c r="H370" s="3435"/>
      <c r="I370" s="3435"/>
      <c r="J370" s="3435"/>
      <c r="K370" s="3435"/>
      <c r="L370" s="3435"/>
      <c r="M370" s="3435"/>
      <c r="N370" s="3435"/>
      <c r="O370" s="3436"/>
      <c r="P370" s="3459"/>
      <c r="Q370" s="3459"/>
    </row>
    <row r="371" spans="2:17">
      <c r="B371" s="3435"/>
      <c r="C371" s="3435"/>
      <c r="D371" s="3435"/>
      <c r="E371" s="3435"/>
      <c r="F371" s="3435"/>
      <c r="G371" s="3435"/>
      <c r="H371" s="3435"/>
      <c r="I371" s="3435"/>
      <c r="J371" s="3435"/>
      <c r="K371" s="3435"/>
      <c r="L371" s="3435"/>
      <c r="M371" s="3435"/>
      <c r="N371" s="3435"/>
      <c r="O371" s="3436"/>
      <c r="P371" s="3459"/>
      <c r="Q371" s="3459"/>
    </row>
    <row r="372" spans="2:17">
      <c r="B372" s="3435"/>
      <c r="C372" s="3435"/>
      <c r="D372" s="3435"/>
      <c r="E372" s="3435"/>
      <c r="F372" s="3435"/>
      <c r="G372" s="3435"/>
      <c r="H372" s="3435"/>
      <c r="I372" s="3435"/>
      <c r="J372" s="3435"/>
      <c r="K372" s="3435"/>
      <c r="L372" s="3435"/>
      <c r="M372" s="3435"/>
      <c r="N372" s="3435"/>
      <c r="O372" s="3436"/>
      <c r="P372" s="3459"/>
      <c r="Q372" s="3459"/>
    </row>
    <row r="373" spans="2:17">
      <c r="B373" s="3435"/>
      <c r="C373" s="3435"/>
      <c r="D373" s="3435"/>
      <c r="E373" s="3435"/>
      <c r="F373" s="3435"/>
      <c r="G373" s="3435"/>
      <c r="H373" s="3435"/>
      <c r="I373" s="3435"/>
      <c r="J373" s="3435"/>
      <c r="K373" s="3435"/>
      <c r="L373" s="3435"/>
      <c r="M373" s="3435"/>
      <c r="N373" s="3435"/>
      <c r="O373" s="3436"/>
      <c r="P373" s="3459"/>
      <c r="Q373" s="3459"/>
    </row>
    <row r="374" spans="2:17">
      <c r="B374" s="3435"/>
      <c r="C374" s="3435"/>
      <c r="D374" s="3435"/>
      <c r="E374" s="3435"/>
      <c r="F374" s="3435"/>
      <c r="G374" s="3435"/>
      <c r="H374" s="3435"/>
      <c r="I374" s="3435"/>
      <c r="J374" s="3435"/>
      <c r="K374" s="3435"/>
      <c r="L374" s="3435"/>
      <c r="M374" s="3435"/>
      <c r="N374" s="3435"/>
      <c r="O374" s="3436"/>
      <c r="P374" s="3459"/>
      <c r="Q374" s="3459"/>
    </row>
    <row r="375" spans="2:17">
      <c r="B375" s="3435"/>
      <c r="C375" s="3435"/>
      <c r="D375" s="3435"/>
      <c r="E375" s="3435"/>
      <c r="F375" s="3435"/>
      <c r="G375" s="3435"/>
      <c r="H375" s="3435"/>
      <c r="I375" s="3435"/>
      <c r="J375" s="3435"/>
      <c r="K375" s="3435"/>
      <c r="L375" s="3435"/>
      <c r="M375" s="3435"/>
      <c r="N375" s="3435"/>
      <c r="O375" s="3436"/>
      <c r="P375" s="3459"/>
      <c r="Q375" s="3459"/>
    </row>
    <row r="376" spans="2:17">
      <c r="B376" s="3435"/>
      <c r="C376" s="3435"/>
      <c r="D376" s="3435"/>
      <c r="E376" s="3435"/>
      <c r="F376" s="3435"/>
      <c r="G376" s="3435"/>
      <c r="H376" s="3435"/>
      <c r="I376" s="3435"/>
      <c r="J376" s="3435"/>
      <c r="K376" s="3435"/>
      <c r="L376" s="3435"/>
      <c r="M376" s="3435"/>
      <c r="N376" s="3435"/>
      <c r="O376" s="3436"/>
      <c r="P376" s="3459"/>
      <c r="Q376" s="3459"/>
    </row>
    <row r="377" spans="2:17">
      <c r="B377" s="3435"/>
      <c r="C377" s="3435"/>
      <c r="D377" s="3435"/>
      <c r="E377" s="3435"/>
      <c r="F377" s="3435"/>
      <c r="G377" s="3435"/>
      <c r="H377" s="3435"/>
      <c r="I377" s="3435"/>
      <c r="J377" s="3435"/>
      <c r="K377" s="3435"/>
      <c r="L377" s="3435"/>
      <c r="M377" s="3435"/>
      <c r="N377" s="3435"/>
      <c r="O377" s="3436"/>
      <c r="P377" s="3459"/>
      <c r="Q377" s="3459"/>
    </row>
    <row r="378" spans="2:17">
      <c r="B378" s="3435"/>
      <c r="C378" s="3435"/>
      <c r="D378" s="3435"/>
      <c r="E378" s="3435"/>
      <c r="F378" s="3435"/>
      <c r="G378" s="3435"/>
      <c r="H378" s="3435"/>
      <c r="I378" s="3435"/>
      <c r="J378" s="3435"/>
      <c r="K378" s="3435"/>
      <c r="L378" s="3435"/>
      <c r="M378" s="3435"/>
      <c r="N378" s="3435"/>
      <c r="O378" s="3436"/>
      <c r="P378" s="3459"/>
      <c r="Q378" s="3459"/>
    </row>
    <row r="379" spans="2:17">
      <c r="B379" s="3435"/>
      <c r="C379" s="3435"/>
      <c r="D379" s="3435"/>
      <c r="E379" s="3435"/>
      <c r="F379" s="3435"/>
      <c r="G379" s="3435"/>
      <c r="H379" s="3435"/>
      <c r="I379" s="3435"/>
      <c r="J379" s="3435"/>
      <c r="K379" s="3435"/>
      <c r="L379" s="3435"/>
      <c r="M379" s="3435"/>
      <c r="N379" s="3435"/>
      <c r="O379" s="3436"/>
      <c r="P379" s="3459"/>
      <c r="Q379" s="3459"/>
    </row>
    <row r="380" spans="2:17">
      <c r="B380" s="3435"/>
      <c r="C380" s="3435"/>
      <c r="D380" s="3435"/>
      <c r="E380" s="3435"/>
      <c r="F380" s="3435"/>
      <c r="G380" s="3435"/>
      <c r="H380" s="3435"/>
      <c r="I380" s="3435"/>
      <c r="J380" s="3435"/>
      <c r="K380" s="3435"/>
      <c r="L380" s="3435"/>
      <c r="M380" s="3435"/>
      <c r="N380" s="3435"/>
      <c r="O380" s="3436"/>
      <c r="P380" s="3459"/>
      <c r="Q380" s="3459"/>
    </row>
    <row r="381" spans="2:17">
      <c r="B381" s="3435"/>
      <c r="C381" s="3435"/>
      <c r="D381" s="3435"/>
      <c r="E381" s="3435"/>
      <c r="F381" s="3435"/>
      <c r="G381" s="3435"/>
      <c r="H381" s="3435"/>
      <c r="I381" s="3435"/>
      <c r="J381" s="3435"/>
      <c r="K381" s="3435"/>
      <c r="L381" s="3435"/>
      <c r="M381" s="3435"/>
      <c r="N381" s="3435"/>
      <c r="O381" s="3436"/>
      <c r="P381" s="3459"/>
      <c r="Q381" s="3459"/>
    </row>
    <row r="382" spans="2:17">
      <c r="B382" s="3435"/>
      <c r="C382" s="3435"/>
      <c r="D382" s="3435"/>
      <c r="E382" s="3435"/>
      <c r="F382" s="3435"/>
      <c r="G382" s="3435"/>
      <c r="H382" s="3435"/>
      <c r="I382" s="3435"/>
      <c r="J382" s="3435"/>
      <c r="K382" s="3435"/>
      <c r="L382" s="3435"/>
      <c r="M382" s="3435"/>
      <c r="N382" s="3435"/>
      <c r="O382" s="3436"/>
      <c r="P382" s="3459"/>
      <c r="Q382" s="3459"/>
    </row>
    <row r="383" spans="2:17">
      <c r="B383" s="3435"/>
      <c r="C383" s="3435"/>
      <c r="D383" s="3435"/>
      <c r="E383" s="3435"/>
      <c r="F383" s="3435"/>
      <c r="G383" s="3435"/>
      <c r="H383" s="3435"/>
      <c r="I383" s="3435"/>
      <c r="J383" s="3435"/>
      <c r="K383" s="3435"/>
      <c r="L383" s="3435"/>
      <c r="M383" s="3435"/>
      <c r="N383" s="3435"/>
      <c r="O383" s="3436"/>
      <c r="P383" s="3459"/>
      <c r="Q383" s="3459"/>
    </row>
    <row r="384" spans="2:17">
      <c r="B384" s="3435"/>
      <c r="C384" s="3435"/>
      <c r="D384" s="3435"/>
      <c r="E384" s="3435"/>
      <c r="F384" s="3435"/>
      <c r="G384" s="3435"/>
      <c r="H384" s="3435"/>
      <c r="I384" s="3435"/>
      <c r="J384" s="3435"/>
      <c r="K384" s="3435"/>
      <c r="L384" s="3435"/>
      <c r="M384" s="3435"/>
      <c r="N384" s="3435"/>
      <c r="O384" s="3436"/>
      <c r="P384" s="3459"/>
      <c r="Q384" s="3459"/>
    </row>
    <row r="385" spans="2:17">
      <c r="B385" s="3435"/>
      <c r="C385" s="3435"/>
      <c r="D385" s="3435"/>
      <c r="E385" s="3435"/>
      <c r="F385" s="3435"/>
      <c r="G385" s="3435"/>
      <c r="H385" s="3435"/>
      <c r="I385" s="3435"/>
      <c r="J385" s="3435"/>
      <c r="K385" s="3435"/>
      <c r="L385" s="3435"/>
      <c r="M385" s="3435"/>
      <c r="N385" s="3435"/>
      <c r="O385" s="3436"/>
      <c r="P385" s="3459"/>
      <c r="Q385" s="3459"/>
    </row>
    <row r="386" spans="2:17">
      <c r="B386" s="3435"/>
      <c r="C386" s="3435"/>
      <c r="D386" s="3435"/>
      <c r="E386" s="3435"/>
      <c r="F386" s="3435"/>
      <c r="G386" s="3435"/>
      <c r="H386" s="3435"/>
      <c r="I386" s="3435"/>
      <c r="J386" s="3435"/>
      <c r="K386" s="3435"/>
      <c r="L386" s="3435"/>
      <c r="M386" s="3435"/>
      <c r="N386" s="3435"/>
      <c r="O386" s="3436"/>
      <c r="P386" s="3459"/>
      <c r="Q386" s="3459"/>
    </row>
    <row r="387" spans="2:17">
      <c r="B387" s="3435"/>
      <c r="C387" s="3435"/>
      <c r="D387" s="3435"/>
      <c r="E387" s="3435"/>
      <c r="F387" s="3435"/>
      <c r="G387" s="3435"/>
      <c r="H387" s="3435"/>
      <c r="I387" s="3435"/>
      <c r="J387" s="3435"/>
      <c r="K387" s="3435"/>
      <c r="L387" s="3435"/>
      <c r="M387" s="3435"/>
      <c r="N387" s="3435"/>
      <c r="O387" s="3436"/>
      <c r="P387" s="3459"/>
      <c r="Q387" s="3459"/>
    </row>
    <row r="388" spans="2:17">
      <c r="B388" s="3435"/>
      <c r="C388" s="3435"/>
      <c r="D388" s="3435"/>
      <c r="E388" s="3435"/>
      <c r="F388" s="3435"/>
      <c r="G388" s="3435"/>
      <c r="H388" s="3435"/>
      <c r="I388" s="3435"/>
      <c r="J388" s="3435"/>
      <c r="K388" s="3435"/>
      <c r="L388" s="3435"/>
      <c r="M388" s="3435"/>
      <c r="N388" s="3435"/>
      <c r="O388" s="3436"/>
      <c r="P388" s="3459"/>
      <c r="Q388" s="3459"/>
    </row>
    <row r="389" spans="2:17">
      <c r="B389" s="3435"/>
      <c r="C389" s="3435"/>
      <c r="D389" s="3435"/>
      <c r="E389" s="3435"/>
      <c r="F389" s="3435"/>
      <c r="G389" s="3435"/>
      <c r="H389" s="3435"/>
      <c r="I389" s="3435"/>
      <c r="J389" s="3435"/>
      <c r="K389" s="3435"/>
      <c r="L389" s="3435"/>
      <c r="M389" s="3435"/>
      <c r="N389" s="3435"/>
      <c r="O389" s="3436"/>
      <c r="P389" s="3459"/>
      <c r="Q389" s="3459"/>
    </row>
    <row r="390" spans="2:17">
      <c r="B390" s="3435"/>
      <c r="C390" s="3435"/>
      <c r="D390" s="3435"/>
      <c r="E390" s="3435"/>
      <c r="F390" s="3435"/>
      <c r="G390" s="3435"/>
      <c r="H390" s="3435"/>
      <c r="I390" s="3435"/>
      <c r="J390" s="3435"/>
      <c r="K390" s="3435"/>
      <c r="L390" s="3435"/>
      <c r="M390" s="3435"/>
      <c r="N390" s="3435"/>
      <c r="O390" s="3436"/>
      <c r="P390" s="3459"/>
      <c r="Q390" s="3459"/>
    </row>
    <row r="391" spans="2:17">
      <c r="B391" s="3435"/>
      <c r="C391" s="3435"/>
      <c r="D391" s="3435"/>
      <c r="E391" s="3435"/>
      <c r="F391" s="3435"/>
      <c r="G391" s="3435"/>
      <c r="H391" s="3435"/>
      <c r="I391" s="3435"/>
      <c r="J391" s="3435"/>
      <c r="K391" s="3435"/>
      <c r="L391" s="3435"/>
      <c r="M391" s="3435"/>
      <c r="N391" s="3435"/>
      <c r="O391" s="3436"/>
      <c r="P391" s="3459"/>
      <c r="Q391" s="3459"/>
    </row>
    <row r="392" spans="2:17">
      <c r="B392" s="3435"/>
      <c r="C392" s="3435"/>
      <c r="D392" s="3435"/>
      <c r="E392" s="3435"/>
      <c r="F392" s="3435"/>
      <c r="G392" s="3435"/>
      <c r="H392" s="3435"/>
      <c r="I392" s="3435"/>
      <c r="J392" s="3435"/>
      <c r="K392" s="3435"/>
      <c r="L392" s="3435"/>
      <c r="M392" s="3435"/>
      <c r="N392" s="3435"/>
      <c r="O392" s="3436"/>
      <c r="P392" s="3459"/>
      <c r="Q392" s="3459"/>
    </row>
    <row r="393" spans="2:17">
      <c r="B393" s="3435"/>
      <c r="C393" s="3435"/>
      <c r="D393" s="3435"/>
      <c r="E393" s="3435"/>
      <c r="F393" s="3435"/>
      <c r="G393" s="3435"/>
      <c r="H393" s="3435"/>
      <c r="I393" s="3435"/>
      <c r="J393" s="3435"/>
      <c r="K393" s="3435"/>
      <c r="L393" s="3435"/>
      <c r="M393" s="3435"/>
      <c r="N393" s="3435"/>
      <c r="O393" s="3436"/>
      <c r="P393" s="3459"/>
      <c r="Q393" s="3459"/>
    </row>
    <row r="394" spans="2:17">
      <c r="B394" s="3435"/>
      <c r="C394" s="3435"/>
      <c r="D394" s="3435"/>
      <c r="E394" s="3435"/>
      <c r="F394" s="3435"/>
      <c r="G394" s="3435"/>
      <c r="H394" s="3435"/>
      <c r="I394" s="3435"/>
      <c r="J394" s="3435"/>
      <c r="K394" s="3435"/>
      <c r="L394" s="3435"/>
      <c r="M394" s="3435"/>
      <c r="N394" s="3435"/>
      <c r="O394" s="3436"/>
      <c r="P394" s="3459"/>
      <c r="Q394" s="3459"/>
    </row>
    <row r="395" spans="2:17">
      <c r="B395" s="3435"/>
      <c r="C395" s="3435"/>
      <c r="D395" s="3435"/>
      <c r="E395" s="3435"/>
      <c r="F395" s="3435"/>
      <c r="G395" s="3435"/>
      <c r="H395" s="3435"/>
      <c r="I395" s="3435"/>
      <c r="J395" s="3435"/>
      <c r="K395" s="3435"/>
      <c r="L395" s="3435"/>
      <c r="M395" s="3435"/>
      <c r="N395" s="3435"/>
      <c r="O395" s="3436"/>
      <c r="P395" s="3459"/>
      <c r="Q395" s="3459"/>
    </row>
    <row r="396" spans="2:17">
      <c r="B396" s="3435"/>
      <c r="C396" s="3435"/>
      <c r="D396" s="3435"/>
      <c r="E396" s="3435"/>
      <c r="F396" s="3435"/>
      <c r="G396" s="3435"/>
      <c r="H396" s="3435"/>
      <c r="I396" s="3435"/>
      <c r="J396" s="3435"/>
      <c r="K396" s="3435"/>
      <c r="L396" s="3435"/>
      <c r="M396" s="3435"/>
      <c r="N396" s="3435"/>
      <c r="O396" s="3436"/>
      <c r="P396" s="3459"/>
      <c r="Q396" s="3459"/>
    </row>
    <row r="397" spans="2:17">
      <c r="B397" s="3435"/>
      <c r="C397" s="3435"/>
      <c r="D397" s="3435"/>
      <c r="E397" s="3435"/>
      <c r="F397" s="3435"/>
      <c r="G397" s="3435"/>
      <c r="H397" s="3435"/>
      <c r="I397" s="3435"/>
      <c r="J397" s="3435"/>
      <c r="K397" s="3435"/>
      <c r="L397" s="3435"/>
      <c r="M397" s="3435"/>
      <c r="N397" s="3435"/>
      <c r="O397" s="3436"/>
      <c r="P397" s="3459"/>
      <c r="Q397" s="3459"/>
    </row>
    <row r="398" spans="2:17">
      <c r="B398" s="3435"/>
      <c r="C398" s="3435"/>
      <c r="D398" s="3435"/>
      <c r="E398" s="3435"/>
      <c r="F398" s="3435"/>
      <c r="G398" s="3435"/>
      <c r="H398" s="3435"/>
      <c r="I398" s="3435"/>
      <c r="J398" s="3435"/>
      <c r="K398" s="3435"/>
      <c r="L398" s="3435"/>
      <c r="M398" s="3435"/>
      <c r="N398" s="3435"/>
      <c r="O398" s="3436"/>
      <c r="P398" s="3459"/>
      <c r="Q398" s="3459"/>
    </row>
    <row r="399" spans="2:17">
      <c r="B399" s="3435"/>
      <c r="C399" s="3435"/>
      <c r="D399" s="3435"/>
      <c r="E399" s="3435"/>
      <c r="F399" s="3435"/>
      <c r="G399" s="3435"/>
      <c r="H399" s="3435"/>
      <c r="I399" s="3435"/>
      <c r="J399" s="3435"/>
      <c r="K399" s="3435"/>
      <c r="L399" s="3435"/>
      <c r="M399" s="3435"/>
      <c r="N399" s="3435"/>
      <c r="O399" s="3436"/>
      <c r="P399" s="3459"/>
      <c r="Q399" s="3459"/>
    </row>
    <row r="400" spans="2:17">
      <c r="B400" s="3435"/>
      <c r="C400" s="3435"/>
      <c r="D400" s="3435"/>
      <c r="E400" s="3435"/>
      <c r="F400" s="3435"/>
      <c r="G400" s="3435"/>
      <c r="H400" s="3435"/>
      <c r="I400" s="3435"/>
      <c r="J400" s="3435"/>
      <c r="K400" s="3435"/>
      <c r="L400" s="3435"/>
      <c r="M400" s="3435"/>
      <c r="N400" s="3435"/>
      <c r="O400" s="3436"/>
      <c r="P400" s="3459"/>
      <c r="Q400" s="3459"/>
    </row>
    <row r="401" spans="1:17" ht="13.5" thickBot="1">
      <c r="A401" s="2377"/>
      <c r="B401" s="3435"/>
      <c r="C401" s="3435"/>
      <c r="D401" s="3435"/>
      <c r="E401" s="3435"/>
      <c r="F401" s="3435"/>
      <c r="G401" s="3435"/>
      <c r="H401" s="3435"/>
      <c r="I401" s="3435"/>
      <c r="J401" s="3435"/>
      <c r="K401" s="3435"/>
      <c r="L401" s="3435"/>
      <c r="M401" s="3435"/>
      <c r="N401" s="3435"/>
      <c r="O401" s="3436"/>
      <c r="P401" s="3459"/>
      <c r="Q401" s="3459"/>
    </row>
    <row r="402" spans="1:17" ht="13.5" thickBot="1">
      <c r="A402" s="2791"/>
      <c r="B402" s="3435"/>
      <c r="C402" s="3435"/>
      <c r="D402" s="3435"/>
      <c r="E402" s="3435"/>
      <c r="F402" s="3435"/>
      <c r="G402" s="3435"/>
      <c r="H402" s="3435"/>
      <c r="I402" s="3435"/>
      <c r="J402" s="3435"/>
      <c r="K402" s="3435"/>
      <c r="L402" s="3435"/>
      <c r="M402" s="3435"/>
      <c r="N402" s="3435"/>
      <c r="O402" s="3436"/>
      <c r="P402" s="3459"/>
      <c r="Q402" s="3459"/>
    </row>
    <row r="403" spans="1:17" ht="13.5" thickBot="1">
      <c r="A403" s="2791"/>
      <c r="B403" s="3435"/>
      <c r="C403" s="3435"/>
      <c r="D403" s="3435"/>
      <c r="E403" s="3435"/>
      <c r="F403" s="3435"/>
      <c r="G403" s="3435"/>
      <c r="H403" s="3435"/>
      <c r="I403" s="3435"/>
      <c r="J403" s="3435"/>
      <c r="K403" s="3435"/>
      <c r="L403" s="3435"/>
      <c r="M403" s="3435"/>
      <c r="N403" s="3435"/>
      <c r="O403" s="3436"/>
      <c r="P403" s="3459"/>
      <c r="Q403" s="3459"/>
    </row>
    <row r="404" spans="1:17" ht="13.5" thickBot="1">
      <c r="A404" s="2791"/>
      <c r="B404" s="3435"/>
      <c r="C404" s="3435"/>
      <c r="D404" s="3435"/>
      <c r="E404" s="3435"/>
      <c r="F404" s="3435"/>
      <c r="G404" s="3435"/>
      <c r="H404" s="3435"/>
      <c r="I404" s="3435"/>
      <c r="J404" s="3435"/>
      <c r="K404" s="3435"/>
      <c r="L404" s="3435"/>
      <c r="M404" s="3435"/>
      <c r="N404" s="3435"/>
      <c r="O404" s="3436"/>
      <c r="P404" s="3459"/>
      <c r="Q404" s="3459"/>
    </row>
    <row r="405" spans="1:17" ht="13.5" thickBot="1">
      <c r="A405" s="2791"/>
      <c r="B405" s="3435"/>
      <c r="C405" s="3435"/>
      <c r="D405" s="3435"/>
      <c r="E405" s="3435"/>
      <c r="F405" s="3435"/>
      <c r="G405" s="3435"/>
      <c r="H405" s="3435"/>
      <c r="I405" s="3435"/>
      <c r="J405" s="3435"/>
      <c r="K405" s="3435"/>
      <c r="L405" s="3435"/>
      <c r="M405" s="3435"/>
      <c r="N405" s="3435"/>
      <c r="O405" s="3436"/>
      <c r="P405" s="3459"/>
      <c r="Q405" s="3459"/>
    </row>
    <row r="406" spans="1:17" ht="13.5" thickBot="1">
      <c r="A406" s="2791"/>
      <c r="B406" s="3435"/>
      <c r="C406" s="3435"/>
      <c r="D406" s="3435"/>
      <c r="E406" s="3435"/>
      <c r="F406" s="3435"/>
      <c r="G406" s="3435"/>
      <c r="H406" s="3435"/>
      <c r="I406" s="3435"/>
      <c r="J406" s="3435"/>
      <c r="K406" s="3435"/>
      <c r="L406" s="3435"/>
      <c r="M406" s="3435"/>
      <c r="N406" s="3435"/>
      <c r="O406" s="3436"/>
      <c r="P406" s="3459"/>
      <c r="Q406" s="3459"/>
    </row>
    <row r="407" spans="1:17" ht="13.5" thickBot="1">
      <c r="A407" s="2791"/>
      <c r="B407" s="3435"/>
      <c r="C407" s="3435"/>
      <c r="D407" s="3435"/>
      <c r="E407" s="3435"/>
      <c r="F407" s="3435"/>
      <c r="G407" s="3435"/>
      <c r="H407" s="3435"/>
      <c r="I407" s="3435"/>
      <c r="J407" s="3435"/>
      <c r="K407" s="3435"/>
      <c r="L407" s="3435"/>
      <c r="M407" s="3435"/>
      <c r="N407" s="3438"/>
      <c r="O407" s="3439"/>
      <c r="P407" s="3459"/>
      <c r="Q407" s="3459"/>
    </row>
    <row r="408" spans="1:17" ht="13.5" thickBot="1">
      <c r="A408" s="2791"/>
      <c r="B408" s="3435"/>
      <c r="C408" s="3438"/>
      <c r="D408" s="3435"/>
      <c r="E408" s="3435"/>
      <c r="F408" s="3435"/>
      <c r="G408" s="3435"/>
      <c r="H408" s="3435"/>
      <c r="I408" s="3435"/>
      <c r="J408" s="3435"/>
      <c r="K408" s="3435"/>
      <c r="L408" s="3435"/>
      <c r="M408" s="3435"/>
      <c r="N408" s="3440"/>
      <c r="O408" s="3441"/>
      <c r="P408" s="3459"/>
      <c r="Q408" s="3459"/>
    </row>
    <row r="409" spans="1:17" ht="13.5" thickBot="1">
      <c r="A409" s="2791"/>
      <c r="B409" s="3435"/>
      <c r="C409" s="3440"/>
      <c r="D409" s="3438"/>
      <c r="E409" s="3438"/>
      <c r="F409" s="3438"/>
      <c r="G409" s="3438"/>
      <c r="H409" s="3438"/>
      <c r="I409" s="3438"/>
      <c r="J409" s="3438"/>
      <c r="K409" s="3438"/>
      <c r="L409" s="3438"/>
      <c r="M409" s="3435"/>
      <c r="N409" s="3440"/>
      <c r="O409" s="3441"/>
      <c r="P409" s="3459"/>
      <c r="Q409" s="3459"/>
    </row>
    <row r="410" spans="1:17" ht="13.5" thickBot="1">
      <c r="A410" s="2791"/>
      <c r="B410" s="3435"/>
      <c r="C410" s="3442"/>
      <c r="D410" s="3442"/>
      <c r="E410" s="3442"/>
      <c r="F410" s="3442"/>
      <c r="G410" s="3442"/>
      <c r="H410" s="3442"/>
      <c r="I410" s="3442"/>
      <c r="J410" s="3442"/>
      <c r="K410" s="3442"/>
      <c r="L410" s="3442"/>
      <c r="M410" s="3435"/>
      <c r="N410" s="3442"/>
      <c r="O410" s="3441"/>
      <c r="P410" s="3459"/>
      <c r="Q410" s="3459"/>
    </row>
    <row r="411" spans="1:17" ht="13.5" thickBot="1">
      <c r="A411" s="2791"/>
      <c r="B411" s="3435"/>
      <c r="C411" s="3435"/>
      <c r="D411" s="3435"/>
      <c r="E411" s="3435"/>
      <c r="F411" s="3435"/>
      <c r="G411" s="3435"/>
      <c r="H411" s="3435"/>
      <c r="I411" s="3435"/>
      <c r="J411" s="3435"/>
      <c r="K411" s="3435"/>
      <c r="L411" s="3435"/>
      <c r="M411" s="3435"/>
      <c r="N411" s="3435"/>
      <c r="O411" s="3441"/>
      <c r="P411" s="3459"/>
      <c r="Q411" s="3459"/>
    </row>
    <row r="412" spans="1:17" ht="13.5" thickBot="1">
      <c r="A412" s="2791"/>
      <c r="B412" s="3435"/>
      <c r="C412" s="3435"/>
      <c r="D412" s="3435"/>
      <c r="E412" s="3435"/>
      <c r="F412" s="3435"/>
      <c r="G412" s="3435"/>
      <c r="H412" s="3435"/>
      <c r="I412" s="3435"/>
      <c r="J412" s="3435"/>
      <c r="K412" s="3435"/>
      <c r="L412" s="3435"/>
      <c r="M412" s="3435"/>
      <c r="N412" s="3435"/>
      <c r="O412" s="3441"/>
      <c r="P412" s="3459"/>
      <c r="Q412" s="3459"/>
    </row>
    <row r="413" spans="1:17" ht="13.5" thickBot="1">
      <c r="A413" s="2791"/>
      <c r="B413" s="3435"/>
      <c r="C413" s="3435"/>
      <c r="D413" s="3435"/>
      <c r="E413" s="3435"/>
      <c r="F413" s="3435"/>
      <c r="G413" s="3435"/>
      <c r="H413" s="3435"/>
      <c r="I413" s="3435"/>
      <c r="J413" s="3435"/>
      <c r="K413" s="3435"/>
      <c r="L413" s="3435"/>
      <c r="M413" s="3435"/>
      <c r="N413" s="3435"/>
      <c r="O413" s="3441"/>
      <c r="P413" s="3459"/>
      <c r="Q413" s="3459"/>
    </row>
    <row r="414" spans="1:17" ht="13.5" thickBot="1">
      <c r="A414" s="2791"/>
      <c r="B414" s="3435"/>
      <c r="C414" s="3435"/>
      <c r="D414" s="3435"/>
      <c r="E414" s="3435"/>
      <c r="F414" s="3435"/>
      <c r="G414" s="3435"/>
      <c r="H414" s="3435"/>
      <c r="I414" s="3435"/>
      <c r="J414" s="3435"/>
      <c r="K414" s="3435"/>
      <c r="L414" s="3435"/>
      <c r="M414" s="3435"/>
      <c r="N414" s="3435"/>
      <c r="O414" s="3441"/>
      <c r="P414" s="3459"/>
      <c r="Q414" s="3459"/>
    </row>
    <row r="415" spans="1:17" ht="13.5" thickBot="1">
      <c r="A415" s="2791"/>
      <c r="B415" s="3435"/>
      <c r="C415" s="3435"/>
      <c r="D415" s="3435"/>
      <c r="E415" s="3435"/>
      <c r="F415" s="3435"/>
      <c r="G415" s="3435"/>
      <c r="H415" s="3435"/>
      <c r="I415" s="3435"/>
      <c r="J415" s="3435"/>
      <c r="K415" s="3435"/>
      <c r="L415" s="3435"/>
      <c r="M415" s="3435"/>
      <c r="N415" s="3435"/>
      <c r="O415" s="3443"/>
      <c r="P415" s="3459"/>
      <c r="Q415" s="3459"/>
    </row>
    <row r="416" spans="1:17" ht="13.5" thickBot="1">
      <c r="A416" s="2791"/>
      <c r="B416" s="3435"/>
      <c r="C416" s="3435"/>
      <c r="D416" s="3435"/>
      <c r="E416" s="3435"/>
      <c r="F416" s="3435"/>
      <c r="G416" s="3435"/>
      <c r="H416" s="3435"/>
      <c r="I416" s="3435"/>
      <c r="J416" s="3435"/>
      <c r="K416" s="3435"/>
      <c r="L416" s="3435"/>
      <c r="M416" s="3435"/>
      <c r="N416" s="3435"/>
      <c r="O416" s="3436"/>
      <c r="P416" s="3459"/>
      <c r="Q416" s="3459"/>
    </row>
    <row r="417" spans="1:17" ht="13.5" thickBot="1">
      <c r="A417" s="2791"/>
      <c r="B417" s="3435"/>
      <c r="C417" s="3435"/>
      <c r="D417" s="3435"/>
      <c r="E417" s="3435"/>
      <c r="F417" s="3435"/>
      <c r="G417" s="3435"/>
      <c r="H417" s="3435"/>
      <c r="I417" s="3435"/>
      <c r="J417" s="3435"/>
      <c r="K417" s="3435"/>
      <c r="L417" s="3435"/>
      <c r="M417" s="3435"/>
      <c r="N417" s="3435"/>
      <c r="O417" s="3436"/>
      <c r="P417" s="3459"/>
      <c r="Q417" s="3459"/>
    </row>
    <row r="418" spans="1:17">
      <c r="A418" s="2792"/>
      <c r="B418" s="3435"/>
      <c r="C418" s="3435"/>
      <c r="D418" s="3435"/>
      <c r="E418" s="3435"/>
      <c r="F418" s="3435"/>
      <c r="G418" s="3435"/>
      <c r="H418" s="3435"/>
      <c r="I418" s="3435"/>
      <c r="J418" s="3435"/>
      <c r="K418" s="3435"/>
      <c r="L418" s="3435"/>
      <c r="M418" s="3435"/>
      <c r="N418" s="3435"/>
      <c r="O418" s="3436"/>
      <c r="P418" s="3459"/>
      <c r="Q418" s="3459"/>
    </row>
    <row r="419" spans="1:17">
      <c r="B419" s="3435"/>
      <c r="C419" s="3435"/>
      <c r="D419" s="3435"/>
      <c r="E419" s="3435"/>
      <c r="F419" s="3435"/>
      <c r="G419" s="3435"/>
      <c r="H419" s="3435"/>
      <c r="I419" s="3435"/>
      <c r="J419" s="3435"/>
      <c r="K419" s="3435"/>
      <c r="L419" s="3435"/>
      <c r="M419" s="3435"/>
      <c r="N419" s="3435"/>
      <c r="O419" s="3436"/>
      <c r="P419" s="3459"/>
      <c r="Q419" s="3459"/>
    </row>
    <row r="420" spans="1:17">
      <c r="B420" s="3435"/>
      <c r="C420" s="3435"/>
      <c r="D420" s="3435"/>
      <c r="E420" s="3435"/>
      <c r="F420" s="3435"/>
      <c r="G420" s="3435"/>
      <c r="H420" s="3435"/>
      <c r="I420" s="3435"/>
      <c r="J420" s="3435"/>
      <c r="K420" s="3435"/>
      <c r="L420" s="3435"/>
      <c r="M420" s="3435"/>
      <c r="N420" s="3435"/>
      <c r="O420" s="3436"/>
      <c r="P420" s="3459"/>
      <c r="Q420" s="3459"/>
    </row>
    <row r="421" spans="1:17">
      <c r="B421" s="3435"/>
      <c r="C421" s="3435"/>
      <c r="D421" s="3435"/>
      <c r="E421" s="3435"/>
      <c r="F421" s="3435"/>
      <c r="G421" s="3435"/>
      <c r="H421" s="3435"/>
      <c r="I421" s="3435"/>
      <c r="J421" s="3435"/>
      <c r="K421" s="3435"/>
      <c r="L421" s="3435"/>
      <c r="M421" s="3435"/>
      <c r="N421" s="3435"/>
      <c r="O421" s="3436"/>
      <c r="P421" s="3459"/>
      <c r="Q421" s="3459"/>
    </row>
    <row r="422" spans="1:17">
      <c r="B422" s="3435"/>
      <c r="C422" s="3435"/>
      <c r="D422" s="3435"/>
      <c r="E422" s="3435"/>
      <c r="F422" s="3435"/>
      <c r="G422" s="3435"/>
      <c r="H422" s="3435"/>
      <c r="I422" s="3435"/>
      <c r="J422" s="3435"/>
      <c r="K422" s="3435"/>
      <c r="L422" s="3435"/>
      <c r="M422" s="3435"/>
      <c r="N422" s="3435"/>
      <c r="O422" s="3436"/>
      <c r="P422" s="3459"/>
      <c r="Q422" s="3459"/>
    </row>
    <row r="423" spans="1:17">
      <c r="B423" s="3435"/>
      <c r="C423" s="3435"/>
      <c r="D423" s="3435"/>
      <c r="E423" s="3435"/>
      <c r="F423" s="3435"/>
      <c r="G423" s="3435"/>
      <c r="H423" s="3435"/>
      <c r="I423" s="3435"/>
      <c r="J423" s="3435"/>
      <c r="K423" s="3435"/>
      <c r="L423" s="3435"/>
      <c r="M423" s="3435"/>
      <c r="N423" s="3435"/>
      <c r="O423" s="3436"/>
      <c r="P423" s="3459"/>
      <c r="Q423" s="3459"/>
    </row>
    <row r="424" spans="1:17">
      <c r="B424" s="3435"/>
      <c r="C424" s="3435"/>
      <c r="D424" s="3435"/>
      <c r="E424" s="3435"/>
      <c r="F424" s="3435"/>
      <c r="G424" s="3435"/>
      <c r="H424" s="3435"/>
      <c r="I424" s="3435"/>
      <c r="J424" s="3435"/>
      <c r="K424" s="3435"/>
      <c r="L424" s="3435"/>
      <c r="M424" s="3435"/>
      <c r="N424" s="3435"/>
      <c r="O424" s="3436"/>
      <c r="P424" s="3459"/>
      <c r="Q424" s="3459"/>
    </row>
    <row r="425" spans="1:17">
      <c r="B425" s="3435"/>
      <c r="C425" s="3435"/>
      <c r="D425" s="3435"/>
      <c r="E425" s="3435"/>
      <c r="F425" s="3435"/>
      <c r="G425" s="3435"/>
      <c r="H425" s="3435"/>
      <c r="I425" s="3435"/>
      <c r="J425" s="3435"/>
      <c r="K425" s="3435"/>
      <c r="L425" s="3435"/>
      <c r="M425" s="3435"/>
      <c r="N425" s="3435"/>
      <c r="O425" s="3436"/>
      <c r="P425" s="3459"/>
      <c r="Q425" s="3459"/>
    </row>
    <row r="426" spans="1:17">
      <c r="B426" s="3435"/>
      <c r="C426" s="3435"/>
      <c r="D426" s="3435"/>
      <c r="E426" s="3435"/>
      <c r="F426" s="3435"/>
      <c r="G426" s="3435"/>
      <c r="H426" s="3435"/>
      <c r="I426" s="3435"/>
      <c r="J426" s="3435"/>
      <c r="K426" s="3435"/>
      <c r="L426" s="3435"/>
      <c r="M426" s="3435"/>
      <c r="N426" s="3435"/>
      <c r="O426" s="3436"/>
      <c r="P426" s="3459"/>
      <c r="Q426" s="3459"/>
    </row>
    <row r="427" spans="1:17">
      <c r="B427" s="3435"/>
      <c r="C427" s="3435"/>
      <c r="D427" s="3435"/>
      <c r="E427" s="3435"/>
      <c r="F427" s="3435"/>
      <c r="G427" s="3435"/>
      <c r="H427" s="3435"/>
      <c r="I427" s="3435"/>
      <c r="J427" s="3435"/>
      <c r="K427" s="3435"/>
      <c r="L427" s="3435"/>
      <c r="M427" s="3435"/>
      <c r="N427" s="3435"/>
      <c r="O427" s="3436"/>
      <c r="P427" s="3459"/>
      <c r="Q427" s="3459"/>
    </row>
    <row r="428" spans="1:17">
      <c r="B428" s="3435"/>
      <c r="C428" s="3435"/>
      <c r="D428" s="3435"/>
      <c r="E428" s="3435"/>
      <c r="F428" s="3435"/>
      <c r="G428" s="3435"/>
      <c r="H428" s="3435"/>
      <c r="I428" s="3435"/>
      <c r="J428" s="3435"/>
      <c r="K428" s="3435"/>
      <c r="L428" s="3435"/>
      <c r="M428" s="3435"/>
      <c r="N428" s="3435"/>
      <c r="O428" s="3436"/>
      <c r="P428" s="3459"/>
      <c r="Q428" s="3459"/>
    </row>
    <row r="429" spans="1:17">
      <c r="B429" s="3435"/>
      <c r="C429" s="3435"/>
      <c r="D429" s="3435"/>
      <c r="E429" s="3435"/>
      <c r="F429" s="3435"/>
      <c r="G429" s="3435"/>
      <c r="H429" s="3435"/>
      <c r="I429" s="3435"/>
      <c r="J429" s="3435"/>
      <c r="K429" s="3435"/>
      <c r="L429" s="3435"/>
      <c r="M429" s="3435"/>
      <c r="N429" s="3435"/>
      <c r="O429" s="3436"/>
      <c r="P429" s="3459"/>
      <c r="Q429" s="3459"/>
    </row>
    <row r="430" spans="1:17">
      <c r="B430" s="3435"/>
      <c r="C430" s="3435"/>
      <c r="D430" s="3435"/>
      <c r="E430" s="3435"/>
      <c r="F430" s="3435"/>
      <c r="G430" s="3435"/>
      <c r="H430" s="3435"/>
      <c r="I430" s="3435"/>
      <c r="J430" s="3435"/>
      <c r="K430" s="3435"/>
      <c r="L430" s="3435"/>
      <c r="M430" s="3435"/>
      <c r="N430" s="3435"/>
      <c r="O430" s="3436"/>
      <c r="P430" s="3459"/>
      <c r="Q430" s="3459"/>
    </row>
    <row r="431" spans="1:17">
      <c r="B431" s="3435"/>
      <c r="C431" s="3435"/>
      <c r="D431" s="3435"/>
      <c r="E431" s="3435"/>
      <c r="F431" s="3435"/>
      <c r="G431" s="3435"/>
      <c r="H431" s="3435"/>
      <c r="I431" s="3435"/>
      <c r="J431" s="3435"/>
      <c r="K431" s="3435"/>
      <c r="L431" s="3435"/>
      <c r="M431" s="3435"/>
      <c r="N431" s="3435"/>
      <c r="O431" s="3436"/>
      <c r="P431" s="3459"/>
      <c r="Q431" s="3459"/>
    </row>
    <row r="432" spans="1:17">
      <c r="B432" s="3435"/>
      <c r="C432" s="3435"/>
      <c r="D432" s="3435"/>
      <c r="E432" s="3435"/>
      <c r="F432" s="3435"/>
      <c r="G432" s="3435"/>
      <c r="H432" s="3435"/>
      <c r="I432" s="3435"/>
      <c r="J432" s="3435"/>
      <c r="K432" s="3435"/>
      <c r="L432" s="3435"/>
      <c r="M432" s="3435"/>
      <c r="N432" s="3435"/>
      <c r="O432" s="3436"/>
      <c r="P432" s="3459"/>
      <c r="Q432" s="3459"/>
    </row>
    <row r="433" spans="2:17">
      <c r="B433" s="3435"/>
      <c r="C433" s="3435"/>
      <c r="D433" s="3435"/>
      <c r="E433" s="3435"/>
      <c r="F433" s="3435"/>
      <c r="G433" s="3435"/>
      <c r="H433" s="3435"/>
      <c r="I433" s="3435"/>
      <c r="J433" s="3435"/>
      <c r="K433" s="3435"/>
      <c r="L433" s="3435"/>
      <c r="M433" s="3435"/>
      <c r="N433" s="3435"/>
      <c r="O433" s="3436"/>
      <c r="P433" s="3459"/>
      <c r="Q433" s="3459"/>
    </row>
    <row r="434" spans="2:17">
      <c r="B434" s="3435"/>
      <c r="C434" s="3435"/>
      <c r="D434" s="3435"/>
      <c r="E434" s="3435"/>
      <c r="F434" s="3435"/>
      <c r="G434" s="3435"/>
      <c r="H434" s="3435"/>
      <c r="I434" s="3435"/>
      <c r="J434" s="3435"/>
      <c r="K434" s="3435"/>
      <c r="L434" s="3435"/>
      <c r="M434" s="3435"/>
      <c r="N434" s="3435"/>
      <c r="O434" s="3436"/>
      <c r="P434" s="3459"/>
      <c r="Q434" s="3459"/>
    </row>
    <row r="435" spans="2:17">
      <c r="B435" s="3435"/>
      <c r="C435" s="3435"/>
      <c r="D435" s="3435"/>
      <c r="E435" s="3435"/>
      <c r="F435" s="3435"/>
      <c r="G435" s="3435"/>
      <c r="H435" s="3435"/>
      <c r="I435" s="3435"/>
      <c r="J435" s="3435"/>
      <c r="K435" s="3435"/>
      <c r="L435" s="3435"/>
      <c r="M435" s="3435"/>
      <c r="N435" s="3435"/>
      <c r="O435" s="3436"/>
      <c r="P435" s="3459"/>
      <c r="Q435" s="3459"/>
    </row>
    <row r="436" spans="2:17">
      <c r="B436" s="3435"/>
      <c r="C436" s="3435"/>
      <c r="D436" s="3435"/>
      <c r="E436" s="3435"/>
      <c r="F436" s="3435"/>
      <c r="G436" s="3435"/>
      <c r="H436" s="3435"/>
      <c r="I436" s="3435"/>
      <c r="J436" s="3435"/>
      <c r="K436" s="3435"/>
      <c r="L436" s="3435"/>
      <c r="M436" s="3435"/>
      <c r="N436" s="3435"/>
      <c r="O436" s="3436"/>
      <c r="P436" s="3459"/>
      <c r="Q436" s="3459"/>
    </row>
    <row r="437" spans="2:17">
      <c r="B437" s="3435"/>
      <c r="C437" s="3435"/>
      <c r="D437" s="3435"/>
      <c r="E437" s="3435"/>
      <c r="F437" s="3435"/>
      <c r="G437" s="3435"/>
      <c r="H437" s="3435"/>
      <c r="I437" s="3435"/>
      <c r="J437" s="3435"/>
      <c r="K437" s="3435"/>
      <c r="L437" s="3435"/>
      <c r="M437" s="3435"/>
      <c r="N437" s="3435"/>
      <c r="O437" s="3436"/>
      <c r="P437" s="3459"/>
      <c r="Q437" s="3459"/>
    </row>
    <row r="438" spans="2:17">
      <c r="B438" s="3435"/>
      <c r="C438" s="3435"/>
      <c r="D438" s="3435"/>
      <c r="E438" s="3435"/>
      <c r="F438" s="3435"/>
      <c r="G438" s="3435"/>
      <c r="H438" s="3435"/>
      <c r="I438" s="3435"/>
      <c r="J438" s="3435"/>
      <c r="K438" s="3435"/>
      <c r="L438" s="3435"/>
      <c r="M438" s="3435"/>
      <c r="N438" s="3435"/>
      <c r="O438" s="3436"/>
      <c r="P438" s="3459"/>
      <c r="Q438" s="3459"/>
    </row>
    <row r="439" spans="2:17">
      <c r="B439" s="3435"/>
      <c r="C439" s="3435"/>
      <c r="D439" s="3435"/>
      <c r="E439" s="3435"/>
      <c r="F439" s="3435"/>
      <c r="G439" s="3435"/>
      <c r="H439" s="3435"/>
      <c r="I439" s="3435"/>
      <c r="J439" s="3435"/>
      <c r="K439" s="3435"/>
      <c r="L439" s="3435"/>
      <c r="M439" s="3435"/>
      <c r="N439" s="3435"/>
      <c r="O439" s="3436"/>
      <c r="P439" s="3459"/>
      <c r="Q439" s="3459"/>
    </row>
    <row r="440" spans="2:17">
      <c r="B440" s="3435"/>
      <c r="C440" s="3435"/>
      <c r="D440" s="3435"/>
      <c r="E440" s="3435"/>
      <c r="F440" s="3435"/>
      <c r="G440" s="3435"/>
      <c r="H440" s="3435"/>
      <c r="I440" s="3435"/>
      <c r="J440" s="3435"/>
      <c r="K440" s="3435"/>
      <c r="L440" s="3435"/>
      <c r="M440" s="3435"/>
      <c r="N440" s="3435"/>
      <c r="O440" s="3436"/>
      <c r="P440" s="3459"/>
      <c r="Q440" s="3459"/>
    </row>
    <row r="441" spans="2:17">
      <c r="B441" s="3435"/>
      <c r="C441" s="3435"/>
      <c r="D441" s="3435"/>
      <c r="E441" s="3435"/>
      <c r="F441" s="3435"/>
      <c r="G441" s="3435"/>
      <c r="H441" s="3435"/>
      <c r="I441" s="3435"/>
      <c r="J441" s="3435"/>
      <c r="K441" s="3435"/>
      <c r="L441" s="3435"/>
      <c r="M441" s="3435"/>
      <c r="N441" s="3435"/>
      <c r="O441" s="3436"/>
      <c r="P441" s="3459"/>
      <c r="Q441" s="3459"/>
    </row>
    <row r="442" spans="2:17">
      <c r="B442" s="3435"/>
      <c r="C442" s="3435"/>
      <c r="D442" s="3435"/>
      <c r="E442" s="3435"/>
      <c r="F442" s="3435"/>
      <c r="G442" s="3435"/>
      <c r="H442" s="3435"/>
      <c r="I442" s="3435"/>
      <c r="J442" s="3435"/>
      <c r="K442" s="3435"/>
      <c r="L442" s="3435"/>
      <c r="M442" s="3435"/>
      <c r="N442" s="3435"/>
      <c r="O442" s="3436"/>
      <c r="P442" s="3459"/>
      <c r="Q442" s="3459"/>
    </row>
    <row r="443" spans="2:17">
      <c r="B443" s="3435"/>
      <c r="C443" s="3435"/>
      <c r="D443" s="3435"/>
      <c r="E443" s="3435"/>
      <c r="F443" s="3435"/>
      <c r="G443" s="3435"/>
      <c r="H443" s="3435"/>
      <c r="I443" s="3435"/>
      <c r="J443" s="3435"/>
      <c r="K443" s="3435"/>
      <c r="L443" s="3435"/>
      <c r="M443" s="3435"/>
      <c r="N443" s="3435"/>
      <c r="O443" s="3436"/>
      <c r="P443" s="3459"/>
      <c r="Q443" s="3459"/>
    </row>
    <row r="444" spans="2:17">
      <c r="B444" s="3435"/>
      <c r="C444" s="3435"/>
      <c r="D444" s="3435"/>
      <c r="E444" s="3435"/>
      <c r="F444" s="3435"/>
      <c r="G444" s="3435"/>
      <c r="H444" s="3435"/>
      <c r="I444" s="3435"/>
      <c r="J444" s="3435"/>
      <c r="K444" s="3435"/>
      <c r="L444" s="3435"/>
      <c r="M444" s="3435"/>
      <c r="N444" s="3435"/>
      <c r="O444" s="3436"/>
      <c r="P444" s="3459"/>
      <c r="Q444" s="3459"/>
    </row>
    <row r="445" spans="2:17">
      <c r="B445" s="3435"/>
      <c r="C445" s="3435"/>
      <c r="D445" s="3435"/>
      <c r="E445" s="3435"/>
      <c r="F445" s="3435"/>
      <c r="G445" s="3435"/>
      <c r="H445" s="3435"/>
      <c r="I445" s="3435"/>
      <c r="J445" s="3435"/>
      <c r="K445" s="3435"/>
      <c r="L445" s="3435"/>
      <c r="M445" s="3435"/>
      <c r="N445" s="3435"/>
      <c r="O445" s="3436"/>
      <c r="P445" s="3459"/>
      <c r="Q445" s="3459"/>
    </row>
    <row r="446" spans="2:17">
      <c r="B446" s="3435"/>
      <c r="C446" s="3435"/>
      <c r="D446" s="3435"/>
      <c r="E446" s="3435"/>
      <c r="F446" s="3435"/>
      <c r="G446" s="3435"/>
      <c r="H446" s="3435"/>
      <c r="I446" s="3435"/>
      <c r="J446" s="3435"/>
      <c r="K446" s="3435"/>
      <c r="L446" s="3435"/>
      <c r="M446" s="3435"/>
      <c r="N446" s="3435"/>
      <c r="O446" s="3436"/>
      <c r="P446" s="3459"/>
      <c r="Q446" s="3459"/>
    </row>
    <row r="447" spans="2:17">
      <c r="B447" s="3435"/>
      <c r="C447" s="3435"/>
      <c r="D447" s="3435"/>
      <c r="E447" s="3435"/>
      <c r="F447" s="3435"/>
      <c r="G447" s="3435"/>
      <c r="H447" s="3435"/>
      <c r="I447" s="3435"/>
      <c r="J447" s="3435"/>
      <c r="K447" s="3435"/>
      <c r="L447" s="3435"/>
      <c r="M447" s="3435"/>
      <c r="N447" s="3435"/>
      <c r="O447" s="3436"/>
      <c r="P447" s="3459"/>
      <c r="Q447" s="3459"/>
    </row>
    <row r="448" spans="2:17">
      <c r="B448" s="3435"/>
      <c r="C448" s="3435"/>
      <c r="D448" s="3435"/>
      <c r="E448" s="3435"/>
      <c r="F448" s="3435"/>
      <c r="G448" s="3435"/>
      <c r="H448" s="3435"/>
      <c r="I448" s="3435"/>
      <c r="J448" s="3435"/>
      <c r="K448" s="3435"/>
      <c r="L448" s="3435"/>
      <c r="M448" s="3435"/>
      <c r="N448" s="3435"/>
      <c r="O448" s="3436"/>
      <c r="P448" s="3459"/>
      <c r="Q448" s="3459"/>
    </row>
    <row r="449" spans="2:17">
      <c r="B449" s="3435"/>
      <c r="C449" s="3435"/>
      <c r="D449" s="3435"/>
      <c r="E449" s="3435"/>
      <c r="F449" s="3435"/>
      <c r="G449" s="3435"/>
      <c r="H449" s="3435"/>
      <c r="I449" s="3435"/>
      <c r="J449" s="3435"/>
      <c r="K449" s="3435"/>
      <c r="L449" s="3435"/>
      <c r="M449" s="3435"/>
      <c r="N449" s="3435"/>
      <c r="O449" s="3436"/>
      <c r="P449" s="3459"/>
      <c r="Q449" s="3459"/>
    </row>
    <row r="450" spans="2:17">
      <c r="B450" s="3435"/>
      <c r="C450" s="3435"/>
      <c r="D450" s="3435"/>
      <c r="E450" s="3435"/>
      <c r="F450" s="3435"/>
      <c r="G450" s="3435"/>
      <c r="H450" s="3435"/>
      <c r="I450" s="3435"/>
      <c r="J450" s="3435"/>
      <c r="K450" s="3435"/>
      <c r="L450" s="3435"/>
      <c r="M450" s="3435"/>
      <c r="N450" s="3435"/>
      <c r="O450" s="3436"/>
      <c r="P450" s="3459"/>
      <c r="Q450" s="3459"/>
    </row>
    <row r="451" spans="2:17">
      <c r="B451" s="3435"/>
      <c r="C451" s="3435"/>
      <c r="D451" s="3435"/>
      <c r="E451" s="3435"/>
      <c r="F451" s="3435"/>
      <c r="G451" s="3435"/>
      <c r="H451" s="3435"/>
      <c r="I451" s="3435"/>
      <c r="J451" s="3435"/>
      <c r="K451" s="3435"/>
      <c r="L451" s="3435"/>
      <c r="M451" s="3435"/>
      <c r="N451" s="3435"/>
      <c r="O451" s="3436"/>
      <c r="P451" s="3459"/>
      <c r="Q451" s="3459"/>
    </row>
    <row r="452" spans="2:17">
      <c r="B452" s="3435"/>
      <c r="C452" s="3435"/>
      <c r="D452" s="3435"/>
      <c r="E452" s="3435"/>
      <c r="F452" s="3435"/>
      <c r="G452" s="3435"/>
      <c r="H452" s="3435"/>
      <c r="I452" s="3435"/>
      <c r="J452" s="3435"/>
      <c r="K452" s="3435"/>
      <c r="L452" s="3435"/>
      <c r="M452" s="3435"/>
      <c r="N452" s="3435"/>
      <c r="O452" s="3436"/>
      <c r="P452" s="3459"/>
      <c r="Q452" s="3459"/>
    </row>
    <row r="453" spans="2:17">
      <c r="B453" s="3435"/>
      <c r="C453" s="3435"/>
      <c r="D453" s="3435"/>
      <c r="E453" s="3435"/>
      <c r="F453" s="3435"/>
      <c r="G453" s="3435"/>
      <c r="H453" s="3435"/>
      <c r="I453" s="3435"/>
      <c r="J453" s="3435"/>
      <c r="K453" s="3435"/>
      <c r="L453" s="3435"/>
      <c r="M453" s="3435"/>
      <c r="N453" s="3435"/>
      <c r="O453" s="3436"/>
      <c r="P453" s="3459"/>
      <c r="Q453" s="3459"/>
    </row>
    <row r="454" spans="2:17">
      <c r="B454" s="3435"/>
      <c r="C454" s="3435"/>
      <c r="D454" s="3435"/>
      <c r="E454" s="3435"/>
      <c r="F454" s="3435"/>
      <c r="G454" s="3435"/>
      <c r="H454" s="3435"/>
      <c r="I454" s="3435"/>
      <c r="J454" s="3435"/>
      <c r="K454" s="3435"/>
      <c r="L454" s="3435"/>
      <c r="M454" s="3435"/>
      <c r="N454" s="3435"/>
      <c r="O454" s="3436"/>
      <c r="P454" s="3459"/>
      <c r="Q454" s="3459"/>
    </row>
    <row r="455" spans="2:17">
      <c r="B455" s="3435"/>
      <c r="C455" s="3435"/>
      <c r="D455" s="3435"/>
      <c r="E455" s="3435"/>
      <c r="F455" s="3435"/>
      <c r="G455" s="3435"/>
      <c r="H455" s="3435"/>
      <c r="I455" s="3435"/>
      <c r="J455" s="3435"/>
      <c r="K455" s="3435"/>
      <c r="L455" s="3435"/>
      <c r="M455" s="3435"/>
      <c r="N455" s="3435"/>
      <c r="O455" s="3436"/>
      <c r="P455" s="3459"/>
      <c r="Q455" s="3459"/>
    </row>
    <row r="456" spans="2:17">
      <c r="B456" s="3435"/>
      <c r="C456" s="3435"/>
      <c r="D456" s="3435"/>
      <c r="E456" s="3435"/>
      <c r="F456" s="3435"/>
      <c r="G456" s="3435"/>
      <c r="H456" s="3435"/>
      <c r="I456" s="3435"/>
      <c r="J456" s="3435"/>
      <c r="K456" s="3435"/>
      <c r="L456" s="3435"/>
      <c r="M456" s="3435"/>
      <c r="N456" s="3435"/>
      <c r="O456" s="3436"/>
      <c r="P456" s="3459"/>
      <c r="Q456" s="3459"/>
    </row>
    <row r="457" spans="2:17">
      <c r="B457" s="3435"/>
      <c r="C457" s="3435"/>
      <c r="D457" s="3435"/>
      <c r="E457" s="3435"/>
      <c r="F457" s="3435"/>
      <c r="G457" s="3435"/>
      <c r="H457" s="3435"/>
      <c r="I457" s="3435"/>
      <c r="J457" s="3435"/>
      <c r="K457" s="3435"/>
      <c r="L457" s="3435"/>
      <c r="M457" s="3435"/>
      <c r="N457" s="3435"/>
      <c r="O457" s="3436"/>
      <c r="P457" s="3459"/>
      <c r="Q457" s="3459"/>
    </row>
    <row r="458" spans="2:17">
      <c r="B458" s="3435"/>
      <c r="C458" s="3435"/>
      <c r="D458" s="3435"/>
      <c r="E458" s="3435"/>
      <c r="F458" s="3435"/>
      <c r="G458" s="3435"/>
      <c r="H458" s="3435"/>
      <c r="I458" s="3435"/>
      <c r="J458" s="3435"/>
      <c r="K458" s="3435"/>
      <c r="L458" s="3435"/>
      <c r="M458" s="3435"/>
      <c r="N458" s="3435"/>
      <c r="O458" s="3436"/>
      <c r="P458" s="3459"/>
      <c r="Q458" s="3459"/>
    </row>
    <row r="459" spans="2:17">
      <c r="B459" s="3435"/>
      <c r="C459" s="3435"/>
      <c r="D459" s="3435"/>
      <c r="E459" s="3435"/>
      <c r="F459" s="3435"/>
      <c r="G459" s="3435"/>
      <c r="H459" s="3435"/>
      <c r="I459" s="3435"/>
      <c r="J459" s="3435"/>
      <c r="K459" s="3435"/>
      <c r="L459" s="3435"/>
      <c r="M459" s="3435"/>
      <c r="N459" s="3435"/>
      <c r="O459" s="3436"/>
      <c r="P459" s="3459"/>
      <c r="Q459" s="3459"/>
    </row>
    <row r="460" spans="2:17">
      <c r="B460" s="3435"/>
      <c r="C460" s="3435"/>
      <c r="D460" s="3435"/>
      <c r="E460" s="3435"/>
      <c r="F460" s="3435"/>
      <c r="G460" s="3435"/>
      <c r="H460" s="3435"/>
      <c r="I460" s="3435"/>
      <c r="J460" s="3435"/>
      <c r="K460" s="3435"/>
      <c r="L460" s="3435"/>
      <c r="M460" s="3435"/>
      <c r="N460" s="3435"/>
      <c r="O460" s="3436"/>
      <c r="P460" s="3459"/>
      <c r="Q460" s="3459"/>
    </row>
    <row r="461" spans="2:17">
      <c r="B461" s="3435"/>
      <c r="C461" s="3435"/>
      <c r="D461" s="3435"/>
      <c r="E461" s="3435"/>
      <c r="F461" s="3435"/>
      <c r="G461" s="3435"/>
      <c r="H461" s="3435"/>
      <c r="I461" s="3435"/>
      <c r="J461" s="3435"/>
      <c r="K461" s="3435"/>
      <c r="L461" s="3435"/>
      <c r="M461" s="3435"/>
      <c r="N461" s="3435"/>
      <c r="O461" s="3436"/>
      <c r="P461" s="3459"/>
      <c r="Q461" s="3459"/>
    </row>
    <row r="462" spans="2:17">
      <c r="B462" s="3435"/>
      <c r="C462" s="3435"/>
      <c r="D462" s="3435"/>
      <c r="E462" s="3435"/>
      <c r="F462" s="3435"/>
      <c r="G462" s="3435"/>
      <c r="H462" s="3435"/>
      <c r="I462" s="3435"/>
      <c r="J462" s="3435"/>
      <c r="K462" s="3435"/>
      <c r="L462" s="3435"/>
      <c r="M462" s="3435"/>
      <c r="N462" s="3435"/>
      <c r="O462" s="3436"/>
      <c r="P462" s="3459"/>
      <c r="Q462" s="3459"/>
    </row>
    <row r="463" spans="2:17">
      <c r="B463" s="3435"/>
      <c r="C463" s="3435"/>
      <c r="D463" s="3435"/>
      <c r="E463" s="3435"/>
      <c r="F463" s="3435"/>
      <c r="G463" s="3435"/>
      <c r="H463" s="3435"/>
      <c r="I463" s="3435"/>
      <c r="J463" s="3435"/>
      <c r="K463" s="3435"/>
      <c r="L463" s="3435"/>
      <c r="M463" s="3435"/>
      <c r="N463" s="3435"/>
      <c r="O463" s="3436"/>
      <c r="P463" s="3459"/>
      <c r="Q463" s="3459"/>
    </row>
    <row r="464" spans="2:17">
      <c r="B464" s="3435"/>
      <c r="C464" s="3435"/>
      <c r="D464" s="3435"/>
      <c r="E464" s="3435"/>
      <c r="F464" s="3435"/>
      <c r="G464" s="3435"/>
      <c r="H464" s="3435"/>
      <c r="I464" s="3435"/>
      <c r="J464" s="3435"/>
      <c r="K464" s="3435"/>
      <c r="L464" s="3435"/>
      <c r="M464" s="3435"/>
      <c r="N464" s="3435"/>
      <c r="O464" s="3436"/>
      <c r="P464" s="3459"/>
      <c r="Q464" s="3459"/>
    </row>
    <row r="465" spans="2:17">
      <c r="B465" s="3435"/>
      <c r="C465" s="3435"/>
      <c r="D465" s="3435"/>
      <c r="E465" s="3435"/>
      <c r="F465" s="3435"/>
      <c r="G465" s="3435"/>
      <c r="H465" s="3435"/>
      <c r="I465" s="3435"/>
      <c r="J465" s="3435"/>
      <c r="K465" s="3435"/>
      <c r="L465" s="3435"/>
      <c r="M465" s="3435"/>
      <c r="N465" s="3435"/>
      <c r="O465" s="3436"/>
      <c r="P465" s="3459"/>
      <c r="Q465" s="3459"/>
    </row>
    <row r="466" spans="2:17">
      <c r="B466" s="3435"/>
      <c r="C466" s="3435"/>
      <c r="D466" s="3435"/>
      <c r="E466" s="3435"/>
      <c r="F466" s="3435"/>
      <c r="G466" s="3435"/>
      <c r="H466" s="3435"/>
      <c r="I466" s="3435"/>
      <c r="J466" s="3435"/>
      <c r="K466" s="3435"/>
      <c r="L466" s="3435"/>
      <c r="M466" s="3435"/>
      <c r="N466" s="3435"/>
      <c r="O466" s="3436"/>
      <c r="P466" s="3459"/>
      <c r="Q466" s="3459"/>
    </row>
    <row r="467" spans="2:17">
      <c r="B467" s="3435"/>
      <c r="C467" s="3435"/>
      <c r="D467" s="3435"/>
      <c r="E467" s="3435"/>
      <c r="F467" s="3435"/>
      <c r="G467" s="3435"/>
      <c r="H467" s="3435"/>
      <c r="I467" s="3435"/>
      <c r="J467" s="3435"/>
      <c r="K467" s="3435"/>
      <c r="L467" s="3435"/>
      <c r="M467" s="3435"/>
      <c r="N467" s="3435"/>
      <c r="O467" s="3436"/>
      <c r="P467" s="3459"/>
      <c r="Q467" s="3459"/>
    </row>
    <row r="468" spans="2:17">
      <c r="B468" s="3435"/>
      <c r="C468" s="3435"/>
      <c r="D468" s="3435"/>
      <c r="E468" s="3435"/>
      <c r="F468" s="3435"/>
      <c r="G468" s="3435"/>
      <c r="H468" s="3435"/>
      <c r="I468" s="3435"/>
      <c r="J468" s="3435"/>
      <c r="K468" s="3435"/>
      <c r="L468" s="3435"/>
      <c r="M468" s="3435"/>
      <c r="N468" s="3435"/>
      <c r="O468" s="3436"/>
      <c r="P468" s="3459"/>
      <c r="Q468" s="3459"/>
    </row>
    <row r="469" spans="2:17">
      <c r="B469" s="3435"/>
      <c r="C469" s="3435"/>
      <c r="D469" s="3435"/>
      <c r="E469" s="3435"/>
      <c r="F469" s="3435"/>
      <c r="G469" s="3435"/>
      <c r="H469" s="3435"/>
      <c r="I469" s="3435"/>
      <c r="J469" s="3435"/>
      <c r="K469" s="3435"/>
      <c r="L469" s="3435"/>
      <c r="M469" s="3435"/>
      <c r="N469" s="3435"/>
      <c r="O469" s="3436"/>
      <c r="P469" s="3459"/>
      <c r="Q469" s="3459"/>
    </row>
    <row r="470" spans="2:17">
      <c r="B470" s="3435"/>
      <c r="C470" s="3435"/>
      <c r="D470" s="3435"/>
      <c r="E470" s="3435"/>
      <c r="F470" s="3435"/>
      <c r="G470" s="3435"/>
      <c r="H470" s="3435"/>
      <c r="I470" s="3435"/>
      <c r="J470" s="3435"/>
      <c r="K470" s="3435"/>
      <c r="L470" s="3435"/>
      <c r="M470" s="3435"/>
      <c r="N470" s="3435"/>
      <c r="O470" s="3436"/>
      <c r="P470" s="3459"/>
      <c r="Q470" s="3459"/>
    </row>
    <row r="471" spans="2:17">
      <c r="B471" s="3435"/>
      <c r="C471" s="3435"/>
      <c r="D471" s="3435"/>
      <c r="E471" s="3435"/>
      <c r="F471" s="3435"/>
      <c r="G471" s="3435"/>
      <c r="H471" s="3435"/>
      <c r="I471" s="3435"/>
      <c r="J471" s="3435"/>
      <c r="K471" s="3435"/>
      <c r="L471" s="3435"/>
      <c r="M471" s="3435"/>
      <c r="N471" s="3435"/>
      <c r="O471" s="3436"/>
      <c r="P471" s="3459"/>
      <c r="Q471" s="3459"/>
    </row>
    <row r="472" spans="2:17">
      <c r="B472" s="3435"/>
      <c r="C472" s="3435"/>
      <c r="D472" s="3435"/>
      <c r="E472" s="3435"/>
      <c r="F472" s="3435"/>
      <c r="G472" s="3435"/>
      <c r="H472" s="3435"/>
      <c r="I472" s="3435"/>
      <c r="J472" s="3435"/>
      <c r="K472" s="3435"/>
      <c r="L472" s="3435"/>
      <c r="M472" s="3435"/>
      <c r="N472" s="3435"/>
      <c r="O472" s="3436"/>
      <c r="P472" s="3459"/>
      <c r="Q472" s="3459"/>
    </row>
    <row r="473" spans="2:17">
      <c r="B473" s="3435"/>
      <c r="C473" s="3435"/>
      <c r="D473" s="3435"/>
      <c r="E473" s="3435"/>
      <c r="F473" s="3435"/>
      <c r="G473" s="3435"/>
      <c r="H473" s="3435"/>
      <c r="I473" s="3435"/>
      <c r="J473" s="3435"/>
      <c r="K473" s="3435"/>
      <c r="L473" s="3435"/>
      <c r="M473" s="3435"/>
      <c r="N473" s="3435"/>
      <c r="O473" s="3436"/>
      <c r="P473" s="3459"/>
      <c r="Q473" s="3459"/>
    </row>
    <row r="474" spans="2:17">
      <c r="B474" s="3435"/>
      <c r="C474" s="3435"/>
      <c r="D474" s="3435"/>
      <c r="E474" s="3435"/>
      <c r="F474" s="3435"/>
      <c r="G474" s="3435"/>
      <c r="H474" s="3435"/>
      <c r="I474" s="3435"/>
      <c r="J474" s="3435"/>
      <c r="K474" s="3435"/>
      <c r="L474" s="3435"/>
      <c r="M474" s="3435"/>
      <c r="N474" s="3435"/>
      <c r="O474" s="3436"/>
      <c r="P474" s="3459"/>
      <c r="Q474" s="3459"/>
    </row>
    <row r="475" spans="2:17">
      <c r="B475" s="3435"/>
      <c r="C475" s="3435"/>
      <c r="D475" s="3435"/>
      <c r="E475" s="3435"/>
      <c r="F475" s="3435"/>
      <c r="G475" s="3435"/>
      <c r="H475" s="3435"/>
      <c r="I475" s="3435"/>
      <c r="J475" s="3435"/>
      <c r="K475" s="3435"/>
      <c r="L475" s="3435"/>
      <c r="M475" s="3435"/>
      <c r="N475" s="3435"/>
      <c r="O475" s="3436"/>
      <c r="P475" s="3459"/>
      <c r="Q475" s="3459"/>
    </row>
    <row r="476" spans="2:17">
      <c r="B476" s="3435"/>
      <c r="C476" s="3435"/>
      <c r="D476" s="3435"/>
      <c r="E476" s="3435"/>
      <c r="F476" s="3435"/>
      <c r="G476" s="3435"/>
      <c r="H476" s="3435"/>
      <c r="I476" s="3435"/>
      <c r="J476" s="3435"/>
      <c r="K476" s="3435"/>
      <c r="L476" s="3435"/>
      <c r="M476" s="3435"/>
      <c r="N476" s="3435"/>
      <c r="O476" s="3436"/>
      <c r="P476" s="3459"/>
      <c r="Q476" s="3459"/>
    </row>
    <row r="477" spans="2:17">
      <c r="B477" s="3435"/>
      <c r="C477" s="3435"/>
      <c r="D477" s="3435"/>
      <c r="E477" s="3435"/>
      <c r="F477" s="3435"/>
      <c r="G477" s="3435"/>
      <c r="H477" s="3435"/>
      <c r="I477" s="3435"/>
      <c r="J477" s="3435"/>
      <c r="K477" s="3435"/>
      <c r="L477" s="3435"/>
      <c r="M477" s="3435"/>
      <c r="N477" s="3435"/>
      <c r="O477" s="3436"/>
      <c r="P477" s="3459"/>
      <c r="Q477" s="3459"/>
    </row>
    <row r="478" spans="2:17">
      <c r="B478" s="3435"/>
      <c r="C478" s="3435"/>
      <c r="D478" s="3435"/>
      <c r="E478" s="3435"/>
      <c r="F478" s="3435"/>
      <c r="G478" s="3435"/>
      <c r="H478" s="3435"/>
      <c r="I478" s="3435"/>
      <c r="J478" s="3435"/>
      <c r="K478" s="3435"/>
      <c r="L478" s="3435"/>
      <c r="M478" s="3435"/>
      <c r="N478" s="3435"/>
      <c r="O478" s="3436"/>
      <c r="P478" s="3459"/>
      <c r="Q478" s="3459"/>
    </row>
    <row r="479" spans="2:17">
      <c r="B479" s="3435"/>
      <c r="C479" s="3435"/>
      <c r="D479" s="3435"/>
      <c r="E479" s="3435"/>
      <c r="F479" s="3435"/>
      <c r="G479" s="3435"/>
      <c r="H479" s="3435"/>
      <c r="I479" s="3435"/>
      <c r="J479" s="3435"/>
      <c r="K479" s="3435"/>
      <c r="L479" s="3435"/>
      <c r="M479" s="3435"/>
      <c r="N479" s="3435"/>
      <c r="O479" s="3436"/>
      <c r="P479" s="3459"/>
      <c r="Q479" s="3459"/>
    </row>
    <row r="480" spans="2:17">
      <c r="B480" s="3435"/>
      <c r="C480" s="3435"/>
      <c r="D480" s="3435"/>
      <c r="E480" s="3435"/>
      <c r="F480" s="3435"/>
      <c r="G480" s="3435"/>
      <c r="H480" s="3435"/>
      <c r="I480" s="3435"/>
      <c r="J480" s="3435"/>
      <c r="K480" s="3435"/>
      <c r="L480" s="3435"/>
      <c r="M480" s="3435"/>
      <c r="N480" s="3435"/>
      <c r="O480" s="3436"/>
      <c r="P480" s="3459"/>
      <c r="Q480" s="3459"/>
    </row>
    <row r="481" spans="2:17">
      <c r="B481" s="3435"/>
      <c r="C481" s="3435"/>
      <c r="D481" s="3435"/>
      <c r="E481" s="3435"/>
      <c r="F481" s="3435"/>
      <c r="G481" s="3435"/>
      <c r="H481" s="3435"/>
      <c r="I481" s="3435"/>
      <c r="J481" s="3435"/>
      <c r="K481" s="3435"/>
      <c r="L481" s="3435"/>
      <c r="M481" s="3435"/>
      <c r="N481" s="3435"/>
      <c r="O481" s="3436"/>
      <c r="P481" s="3459"/>
      <c r="Q481" s="3459"/>
    </row>
    <row r="482" spans="2:17">
      <c r="B482" s="3435"/>
      <c r="C482" s="3435"/>
      <c r="D482" s="3435"/>
      <c r="E482" s="3435"/>
      <c r="F482" s="3435"/>
      <c r="G482" s="3435"/>
      <c r="H482" s="3435"/>
      <c r="I482" s="3435"/>
      <c r="J482" s="3435"/>
      <c r="K482" s="3435"/>
      <c r="L482" s="3435"/>
      <c r="M482" s="3435"/>
      <c r="N482" s="3435"/>
      <c r="O482" s="3436"/>
      <c r="P482" s="3459"/>
      <c r="Q482" s="3459"/>
    </row>
    <row r="483" spans="2:17">
      <c r="B483" s="3435"/>
      <c r="C483" s="3435"/>
      <c r="D483" s="3435"/>
      <c r="E483" s="3435"/>
      <c r="F483" s="3435"/>
      <c r="G483" s="3435"/>
      <c r="H483" s="3435"/>
      <c r="I483" s="3435"/>
      <c r="J483" s="3435"/>
      <c r="K483" s="3435"/>
      <c r="L483" s="3435"/>
      <c r="M483" s="3435"/>
      <c r="N483" s="3435"/>
      <c r="O483" s="3436"/>
      <c r="P483" s="3459"/>
      <c r="Q483" s="3459"/>
    </row>
    <row r="484" spans="2:17">
      <c r="B484" s="3435"/>
      <c r="C484" s="3435"/>
      <c r="D484" s="3435"/>
      <c r="E484" s="3435"/>
      <c r="F484" s="3435"/>
      <c r="G484" s="3435"/>
      <c r="H484" s="3435"/>
      <c r="I484" s="3435"/>
      <c r="J484" s="3435"/>
      <c r="K484" s="3435"/>
      <c r="L484" s="3435"/>
      <c r="M484" s="3435"/>
      <c r="N484" s="3435"/>
      <c r="O484" s="3436"/>
      <c r="P484" s="3459"/>
      <c r="Q484" s="3459"/>
    </row>
    <row r="485" spans="2:17">
      <c r="B485" s="3435"/>
      <c r="C485" s="3435"/>
      <c r="D485" s="3435"/>
      <c r="E485" s="3435"/>
      <c r="F485" s="3435"/>
      <c r="G485" s="3435"/>
      <c r="H485" s="3435"/>
      <c r="I485" s="3435"/>
      <c r="J485" s="3435"/>
      <c r="K485" s="3435"/>
      <c r="L485" s="3435"/>
      <c r="M485" s="3435"/>
      <c r="N485" s="3435"/>
      <c r="O485" s="3436"/>
      <c r="P485" s="3459"/>
      <c r="Q485" s="3459"/>
    </row>
    <row r="486" spans="2:17">
      <c r="B486" s="3435"/>
      <c r="C486" s="3435"/>
      <c r="D486" s="3435"/>
      <c r="E486" s="3435"/>
      <c r="F486" s="3435"/>
      <c r="G486" s="3435"/>
      <c r="H486" s="3435"/>
      <c r="I486" s="3435"/>
      <c r="J486" s="3435"/>
      <c r="K486" s="3435"/>
      <c r="L486" s="3435"/>
      <c r="M486" s="3435"/>
      <c r="N486" s="3435"/>
      <c r="O486" s="3436"/>
      <c r="P486" s="3459"/>
      <c r="Q486" s="3459"/>
    </row>
    <row r="487" spans="2:17">
      <c r="B487" s="3435"/>
      <c r="C487" s="3435"/>
      <c r="D487" s="3435"/>
      <c r="E487" s="3435"/>
      <c r="F487" s="3435"/>
      <c r="G487" s="3435"/>
      <c r="H487" s="3435"/>
      <c r="I487" s="3435"/>
      <c r="J487" s="3435"/>
      <c r="K487" s="3435"/>
      <c r="L487" s="3435"/>
      <c r="M487" s="3435"/>
      <c r="N487" s="3435"/>
      <c r="O487" s="3436"/>
      <c r="P487" s="3459"/>
      <c r="Q487" s="3459"/>
    </row>
    <row r="488" spans="2:17">
      <c r="B488" s="3435"/>
      <c r="C488" s="3435"/>
      <c r="D488" s="3435"/>
      <c r="E488" s="3435"/>
      <c r="F488" s="3435"/>
      <c r="G488" s="3435"/>
      <c r="H488" s="3435"/>
      <c r="I488" s="3435"/>
      <c r="J488" s="3435"/>
      <c r="K488" s="3435"/>
      <c r="L488" s="3435"/>
      <c r="M488" s="3435"/>
      <c r="N488" s="3435"/>
      <c r="O488" s="3436"/>
      <c r="P488" s="3459"/>
      <c r="Q488" s="3459"/>
    </row>
    <row r="489" spans="2:17">
      <c r="B489" s="3435"/>
      <c r="C489" s="3435"/>
      <c r="D489" s="3435"/>
      <c r="E489" s="3435"/>
      <c r="F489" s="3435"/>
      <c r="G489" s="3435"/>
      <c r="H489" s="3435"/>
      <c r="I489" s="3435"/>
      <c r="J489" s="3435"/>
      <c r="K489" s="3435"/>
      <c r="L489" s="3435"/>
      <c r="M489" s="3435"/>
      <c r="N489" s="3435"/>
      <c r="O489" s="3436"/>
      <c r="P489" s="3459"/>
      <c r="Q489" s="3459"/>
    </row>
    <row r="490" spans="2:17">
      <c r="B490" s="3435"/>
      <c r="C490" s="3435"/>
      <c r="D490" s="3435"/>
      <c r="E490" s="3435"/>
      <c r="F490" s="3435"/>
      <c r="G490" s="3435"/>
      <c r="H490" s="3435"/>
      <c r="I490" s="3435"/>
      <c r="J490" s="3435"/>
      <c r="K490" s="3435"/>
      <c r="L490" s="3435"/>
      <c r="M490" s="3435"/>
      <c r="N490" s="3435"/>
      <c r="O490" s="3436"/>
      <c r="P490" s="3459"/>
      <c r="Q490" s="3459"/>
    </row>
    <row r="491" spans="2:17">
      <c r="B491" s="3435"/>
      <c r="C491" s="3435"/>
      <c r="D491" s="3435"/>
      <c r="E491" s="3435"/>
      <c r="F491" s="3435"/>
      <c r="G491" s="3435"/>
      <c r="H491" s="3435"/>
      <c r="I491" s="3435"/>
      <c r="J491" s="3435"/>
      <c r="K491" s="3435"/>
      <c r="L491" s="3435"/>
      <c r="M491" s="3435"/>
      <c r="N491" s="3435"/>
      <c r="O491" s="3436"/>
      <c r="P491" s="3459"/>
      <c r="Q491" s="3459"/>
    </row>
    <row r="492" spans="2:17">
      <c r="B492" s="3435"/>
      <c r="C492" s="3435"/>
      <c r="D492" s="3435"/>
      <c r="E492" s="3435"/>
      <c r="F492" s="3435"/>
      <c r="G492" s="3435"/>
      <c r="H492" s="3435"/>
      <c r="I492" s="3435"/>
      <c r="J492" s="3435"/>
      <c r="K492" s="3435"/>
      <c r="L492" s="3435"/>
      <c r="M492" s="3435"/>
      <c r="N492" s="3435"/>
      <c r="O492" s="3436"/>
      <c r="P492" s="3459"/>
      <c r="Q492" s="3459"/>
    </row>
    <row r="493" spans="2:17">
      <c r="B493" s="3435"/>
      <c r="C493" s="3435"/>
      <c r="D493" s="3435"/>
      <c r="E493" s="3435"/>
      <c r="F493" s="3435"/>
      <c r="G493" s="3435"/>
      <c r="H493" s="3435"/>
      <c r="I493" s="3435"/>
      <c r="J493" s="3435"/>
      <c r="K493" s="3435"/>
      <c r="L493" s="3435"/>
      <c r="M493" s="3435"/>
      <c r="N493" s="3435"/>
      <c r="O493" s="3436"/>
      <c r="P493" s="3459"/>
      <c r="Q493" s="3459"/>
    </row>
    <row r="494" spans="2:17">
      <c r="B494" s="3435"/>
      <c r="C494" s="3435"/>
      <c r="D494" s="3435"/>
      <c r="E494" s="3435"/>
      <c r="F494" s="3435"/>
      <c r="G494" s="3435"/>
      <c r="H494" s="3435"/>
      <c r="I494" s="3435"/>
      <c r="J494" s="3435"/>
      <c r="K494" s="3435"/>
      <c r="L494" s="3435"/>
      <c r="M494" s="3435"/>
      <c r="N494" s="3435"/>
      <c r="O494" s="3436"/>
      <c r="P494" s="3459"/>
      <c r="Q494" s="3459"/>
    </row>
    <row r="495" spans="2:17">
      <c r="B495" s="3435"/>
      <c r="C495" s="3435"/>
      <c r="D495" s="3435"/>
      <c r="E495" s="3435"/>
      <c r="F495" s="3435"/>
      <c r="G495" s="3435"/>
      <c r="H495" s="3435"/>
      <c r="I495" s="3435"/>
      <c r="J495" s="3435"/>
      <c r="K495" s="3435"/>
      <c r="L495" s="3435"/>
      <c r="M495" s="3435"/>
      <c r="N495" s="3435"/>
      <c r="O495" s="3436"/>
      <c r="P495" s="3459"/>
      <c r="Q495" s="3459"/>
    </row>
    <row r="496" spans="2:17">
      <c r="B496" s="3435"/>
      <c r="C496" s="3435"/>
      <c r="D496" s="3435"/>
      <c r="E496" s="3435"/>
      <c r="F496" s="3435"/>
      <c r="G496" s="3435"/>
      <c r="H496" s="3435"/>
      <c r="I496" s="3435"/>
      <c r="J496" s="3435"/>
      <c r="K496" s="3435"/>
      <c r="L496" s="3435"/>
      <c r="M496" s="3435"/>
      <c r="N496" s="3435"/>
      <c r="O496" s="3436"/>
      <c r="P496" s="3459"/>
      <c r="Q496" s="3459"/>
    </row>
    <row r="497" spans="1:17">
      <c r="B497" s="3435"/>
      <c r="C497" s="3435"/>
      <c r="D497" s="3435"/>
      <c r="E497" s="3435"/>
      <c r="F497" s="3435"/>
      <c r="G497" s="3435"/>
      <c r="H497" s="3435"/>
      <c r="I497" s="3435"/>
      <c r="J497" s="3435"/>
      <c r="K497" s="3435"/>
      <c r="L497" s="3435"/>
      <c r="M497" s="3435"/>
      <c r="N497" s="3435"/>
      <c r="O497" s="3436"/>
      <c r="P497" s="3459"/>
      <c r="Q497" s="3459"/>
    </row>
    <row r="498" spans="1:17">
      <c r="B498" s="3435"/>
      <c r="C498" s="3435"/>
      <c r="D498" s="3435"/>
      <c r="E498" s="3435"/>
      <c r="F498" s="3435"/>
      <c r="G498" s="3435"/>
      <c r="H498" s="3435"/>
      <c r="I498" s="3435"/>
      <c r="J498" s="3435"/>
      <c r="K498" s="3435"/>
      <c r="L498" s="3435"/>
      <c r="M498" s="3435"/>
      <c r="N498" s="3435"/>
      <c r="O498" s="3436"/>
      <c r="P498" s="3459"/>
      <c r="Q498" s="3459"/>
    </row>
    <row r="499" spans="1:17">
      <c r="B499" s="3435"/>
      <c r="C499" s="3435"/>
      <c r="D499" s="3435"/>
      <c r="E499" s="3435"/>
      <c r="F499" s="3435"/>
      <c r="G499" s="3435"/>
      <c r="H499" s="3435"/>
      <c r="I499" s="3435"/>
      <c r="J499" s="3435"/>
      <c r="K499" s="3435"/>
      <c r="L499" s="3435"/>
      <c r="M499" s="3435"/>
      <c r="N499" s="3435"/>
      <c r="O499" s="3436"/>
      <c r="P499" s="3459"/>
      <c r="Q499" s="3459"/>
    </row>
    <row r="500" spans="1:17">
      <c r="B500" s="3435"/>
      <c r="C500" s="3435"/>
      <c r="D500" s="3435"/>
      <c r="E500" s="3435"/>
      <c r="F500" s="3435"/>
      <c r="G500" s="3435"/>
      <c r="H500" s="3435"/>
      <c r="I500" s="3435"/>
      <c r="J500" s="3435"/>
      <c r="K500" s="3435"/>
      <c r="L500" s="3435"/>
      <c r="M500" s="3435"/>
      <c r="N500" s="3435"/>
      <c r="O500" s="3436"/>
      <c r="P500" s="3459"/>
      <c r="Q500" s="3459"/>
    </row>
    <row r="501" spans="1:17">
      <c r="B501" s="3435"/>
      <c r="C501" s="3435"/>
      <c r="D501" s="3435"/>
      <c r="E501" s="3435"/>
      <c r="F501" s="3435"/>
      <c r="G501" s="3435"/>
      <c r="H501" s="3435"/>
      <c r="I501" s="3435"/>
      <c r="J501" s="3435"/>
      <c r="K501" s="3435"/>
      <c r="L501" s="3435"/>
      <c r="M501" s="3435"/>
      <c r="N501" s="3435"/>
      <c r="O501" s="3436"/>
      <c r="P501" s="3459"/>
      <c r="Q501" s="3459"/>
    </row>
    <row r="502" spans="1:17" ht="13.5" thickBot="1">
      <c r="B502" s="3435"/>
      <c r="C502" s="3435"/>
      <c r="D502" s="3435"/>
      <c r="E502" s="3435"/>
      <c r="F502" s="3435"/>
      <c r="G502" s="3435"/>
      <c r="H502" s="3435"/>
      <c r="I502" s="3435"/>
      <c r="J502" s="3435"/>
      <c r="K502" s="3435"/>
      <c r="L502" s="3435"/>
      <c r="M502" s="3435"/>
      <c r="N502" s="3435"/>
      <c r="O502" s="3436"/>
      <c r="P502" s="3459"/>
      <c r="Q502" s="3459"/>
    </row>
    <row r="503" spans="1:17" ht="33.75">
      <c r="A503" s="371"/>
      <c r="B503" s="372" t="s">
        <v>69</v>
      </c>
      <c r="C503" s="372"/>
      <c r="D503" s="3442"/>
      <c r="E503" s="3442"/>
      <c r="F503" s="3442"/>
      <c r="G503" s="3442"/>
      <c r="H503" s="3442"/>
      <c r="I503" s="3442"/>
      <c r="J503" s="3442"/>
      <c r="K503" s="3442"/>
      <c r="L503" s="3442"/>
      <c r="M503" s="3442"/>
      <c r="N503" s="3442"/>
      <c r="O503" s="3510"/>
      <c r="P503" s="3459"/>
      <c r="Q503" s="3459"/>
    </row>
    <row r="504" spans="1:17">
      <c r="A504" s="375"/>
      <c r="B504" s="3435"/>
      <c r="C504" s="3435"/>
      <c r="D504" s="3435"/>
      <c r="E504" s="3435"/>
      <c r="F504" s="3435"/>
      <c r="G504" s="3435"/>
      <c r="H504" s="3435"/>
      <c r="I504" s="3435"/>
      <c r="J504" s="3435"/>
      <c r="K504" s="3435"/>
      <c r="L504" s="3435"/>
      <c r="M504" s="3435"/>
      <c r="N504" s="3435"/>
      <c r="O504" s="3511"/>
      <c r="P504" s="3459"/>
      <c r="Q504" s="3459"/>
    </row>
    <row r="505" spans="1:17">
      <c r="A505" s="375"/>
      <c r="B505" s="3435"/>
      <c r="C505" s="3435"/>
      <c r="D505" s="3435"/>
      <c r="E505" s="3435"/>
      <c r="F505" s="3435"/>
      <c r="G505" s="3435"/>
      <c r="H505" s="3435"/>
      <c r="I505" s="3435"/>
      <c r="J505" s="3435"/>
      <c r="K505" s="3435"/>
      <c r="L505" s="3435"/>
      <c r="M505" s="3435"/>
      <c r="N505" s="3435"/>
      <c r="O505" s="3511"/>
      <c r="P505" s="3459"/>
      <c r="Q505" s="3459"/>
    </row>
    <row r="506" spans="1:17">
      <c r="A506" s="375"/>
      <c r="B506" s="3435"/>
      <c r="C506" s="3435"/>
      <c r="D506" s="3435"/>
      <c r="E506" s="3435"/>
      <c r="F506" s="3435"/>
      <c r="G506" s="3435"/>
      <c r="H506" s="3435"/>
      <c r="I506" s="3435"/>
      <c r="J506" s="3435"/>
      <c r="K506" s="3435"/>
      <c r="L506" s="3435"/>
      <c r="M506" s="3435"/>
      <c r="N506" s="3435"/>
      <c r="O506" s="3511"/>
      <c r="P506" s="3459"/>
      <c r="Q506" s="3459"/>
    </row>
    <row r="507" spans="1:17">
      <c r="A507" s="375"/>
      <c r="B507" s="3435"/>
      <c r="C507" s="3435"/>
      <c r="D507" s="3435"/>
      <c r="E507" s="3435"/>
      <c r="F507" s="3435"/>
      <c r="G507" s="3435"/>
      <c r="H507" s="3435"/>
      <c r="I507" s="3435"/>
      <c r="J507" s="3435"/>
      <c r="K507" s="3435"/>
      <c r="L507" s="3435"/>
      <c r="M507" s="3435"/>
      <c r="N507" s="3435"/>
      <c r="O507" s="3511"/>
      <c r="P507" s="3459"/>
      <c r="Q507" s="3459"/>
    </row>
    <row r="508" spans="1:17">
      <c r="A508" s="375"/>
      <c r="B508" s="3435"/>
      <c r="C508" s="3435"/>
      <c r="D508" s="3435"/>
      <c r="E508" s="3435"/>
      <c r="F508" s="3435"/>
      <c r="G508" s="3435"/>
      <c r="H508" s="3435"/>
      <c r="I508" s="3435"/>
      <c r="J508" s="3435"/>
      <c r="K508" s="3435"/>
      <c r="L508" s="3435"/>
      <c r="M508" s="3435"/>
      <c r="N508" s="3435"/>
      <c r="O508" s="3511"/>
      <c r="P508" s="3459"/>
      <c r="Q508" s="3459"/>
    </row>
    <row r="509" spans="1:17">
      <c r="A509" s="375"/>
      <c r="B509" s="3435"/>
      <c r="C509" s="3435"/>
      <c r="D509" s="3435"/>
      <c r="E509" s="3435"/>
      <c r="F509" s="3435"/>
      <c r="G509" s="3435"/>
      <c r="H509" s="3435"/>
      <c r="I509" s="3435"/>
      <c r="J509" s="3435"/>
      <c r="K509" s="3435"/>
      <c r="L509" s="3435"/>
      <c r="M509" s="3435"/>
      <c r="N509" s="3435"/>
      <c r="O509" s="3511"/>
      <c r="P509" s="3459"/>
      <c r="Q509" s="3459"/>
    </row>
    <row r="510" spans="1:17">
      <c r="A510" s="375"/>
      <c r="B510" s="3435"/>
      <c r="C510" s="3435"/>
      <c r="D510" s="3435"/>
      <c r="E510" s="3435"/>
      <c r="F510" s="3435"/>
      <c r="G510" s="3435"/>
      <c r="H510" s="3435"/>
      <c r="I510" s="3435"/>
      <c r="J510" s="3435"/>
      <c r="K510" s="3435"/>
      <c r="L510" s="3435"/>
      <c r="M510" s="3435"/>
      <c r="N510" s="3435"/>
      <c r="O510" s="3511"/>
      <c r="P510" s="3459"/>
      <c r="Q510" s="3459"/>
    </row>
    <row r="511" spans="1:17">
      <c r="A511" s="375"/>
      <c r="B511" s="3435"/>
      <c r="C511" s="3435"/>
      <c r="D511" s="3435"/>
      <c r="E511" s="3435"/>
      <c r="F511" s="3435"/>
      <c r="G511" s="3435"/>
      <c r="H511" s="3435"/>
      <c r="I511" s="3435"/>
      <c r="J511" s="3435"/>
      <c r="K511" s="3435"/>
      <c r="L511" s="3435"/>
      <c r="M511" s="3435"/>
      <c r="N511" s="3435"/>
      <c r="O511" s="3511"/>
      <c r="P511" s="3459"/>
      <c r="Q511" s="3459"/>
    </row>
    <row r="512" spans="1:17">
      <c r="A512" s="375"/>
      <c r="B512" s="3435"/>
      <c r="C512" s="3435"/>
      <c r="D512" s="3435"/>
      <c r="E512" s="3435"/>
      <c r="F512" s="3435"/>
      <c r="G512" s="3435"/>
      <c r="H512" s="3435"/>
      <c r="I512" s="3435"/>
      <c r="J512" s="3435"/>
      <c r="K512" s="3435"/>
      <c r="L512" s="3435"/>
      <c r="M512" s="3435"/>
      <c r="N512" s="3435"/>
      <c r="O512" s="3511"/>
      <c r="P512" s="3459"/>
      <c r="Q512" s="3459"/>
    </row>
    <row r="513" spans="1:17">
      <c r="A513" s="375"/>
      <c r="B513" s="3435"/>
      <c r="C513" s="3435"/>
      <c r="D513" s="3435"/>
      <c r="E513" s="3435"/>
      <c r="F513" s="3435"/>
      <c r="G513" s="3435"/>
      <c r="H513" s="3435"/>
      <c r="I513" s="3435"/>
      <c r="J513" s="3435"/>
      <c r="K513" s="3435"/>
      <c r="L513" s="3435"/>
      <c r="M513" s="3435"/>
      <c r="N513" s="3435"/>
      <c r="O513" s="3511"/>
      <c r="P513" s="3459"/>
      <c r="Q513" s="3459"/>
    </row>
    <row r="514" spans="1:17" ht="13.5" thickBot="1">
      <c r="A514" s="377"/>
      <c r="B514" s="3438"/>
      <c r="C514" s="3438"/>
      <c r="D514" s="3438"/>
      <c r="E514" s="3438"/>
      <c r="F514" s="3438"/>
      <c r="G514" s="3438"/>
      <c r="H514" s="3438"/>
      <c r="I514" s="3438"/>
      <c r="J514" s="3438"/>
      <c r="K514" s="3438"/>
      <c r="L514" s="3438"/>
      <c r="M514" s="3438"/>
      <c r="N514" s="3438"/>
      <c r="O514" s="3512"/>
      <c r="P514" s="3459"/>
      <c r="Q514" s="3459"/>
    </row>
    <row r="515" spans="1:17">
      <c r="B515" s="3435"/>
      <c r="C515" s="3435"/>
      <c r="D515" s="3435"/>
      <c r="E515" s="3435"/>
      <c r="F515" s="3435"/>
      <c r="G515" s="3435"/>
      <c r="H515" s="3435"/>
      <c r="I515" s="3435"/>
      <c r="J515" s="3435"/>
      <c r="K515" s="3435"/>
      <c r="L515" s="3435"/>
      <c r="M515" s="3435"/>
      <c r="N515" s="3435"/>
      <c r="O515" s="3436"/>
      <c r="P515" s="3459"/>
      <c r="Q515" s="3459"/>
    </row>
    <row r="516" spans="1:17" ht="13.5" thickBot="1">
      <c r="B516" s="3435"/>
      <c r="C516" s="3435"/>
      <c r="D516" s="3435"/>
      <c r="E516" s="3435"/>
      <c r="F516" s="3435"/>
      <c r="G516" s="3435"/>
      <c r="H516" s="3435"/>
      <c r="I516" s="3435"/>
      <c r="J516" s="3435"/>
      <c r="K516" s="3435"/>
      <c r="L516" s="3435"/>
      <c r="M516" s="3435"/>
      <c r="N516" s="3435"/>
      <c r="O516" s="3439"/>
      <c r="P516" s="3459"/>
      <c r="Q516" s="3459"/>
    </row>
    <row r="517" spans="1:17" ht="13.5" thickBot="1">
      <c r="B517" s="3435"/>
      <c r="C517" s="3435"/>
      <c r="D517" s="3435"/>
      <c r="E517" s="3435"/>
      <c r="F517" s="3435"/>
      <c r="G517" s="3435"/>
      <c r="H517" s="3435"/>
      <c r="I517" s="3435"/>
      <c r="J517" s="3435"/>
      <c r="K517" s="3435"/>
      <c r="L517" s="3435"/>
      <c r="M517" s="3435"/>
      <c r="N517" s="3435"/>
      <c r="O517" s="3441"/>
      <c r="P517" s="3459"/>
      <c r="Q517" s="3459"/>
    </row>
    <row r="518" spans="1:17" ht="13.5" thickBot="1">
      <c r="B518" s="3435"/>
      <c r="C518" s="3435"/>
      <c r="D518" s="3435"/>
      <c r="E518" s="3435"/>
      <c r="F518" s="3435"/>
      <c r="G518" s="3435"/>
      <c r="H518" s="3435"/>
      <c r="I518" s="3435"/>
      <c r="J518" s="3435"/>
      <c r="K518" s="3435"/>
      <c r="L518" s="3435"/>
      <c r="M518" s="3435"/>
      <c r="N518" s="3435"/>
      <c r="O518" s="3441"/>
      <c r="P518" s="3459"/>
      <c r="Q518" s="3459"/>
    </row>
    <row r="519" spans="1:17" ht="13.5" thickBot="1">
      <c r="B519" s="3435"/>
      <c r="C519" s="3435"/>
      <c r="D519" s="3435"/>
      <c r="E519" s="3435"/>
      <c r="F519" s="3435"/>
      <c r="G519" s="3435"/>
      <c r="H519" s="3435"/>
      <c r="I519" s="3435"/>
      <c r="J519" s="3435"/>
      <c r="K519" s="3435"/>
      <c r="L519" s="3435"/>
      <c r="M519" s="3435"/>
      <c r="N519" s="3435"/>
      <c r="O519" s="3441"/>
      <c r="P519" s="3459"/>
      <c r="Q519" s="3459"/>
    </row>
    <row r="520" spans="1:17" ht="13.5" thickBot="1">
      <c r="B520" s="3435"/>
      <c r="C520" s="3435"/>
      <c r="D520" s="3435"/>
      <c r="E520" s="3435"/>
      <c r="F520" s="3435"/>
      <c r="G520" s="3435"/>
      <c r="H520" s="3435"/>
      <c r="I520" s="3435"/>
      <c r="J520" s="3435"/>
      <c r="K520" s="3435"/>
      <c r="L520" s="3435"/>
      <c r="M520" s="3435"/>
      <c r="N520" s="3438"/>
      <c r="O520" s="3441"/>
      <c r="P520" s="3459"/>
      <c r="Q520" s="3459"/>
    </row>
    <row r="521" spans="1:17" ht="13.5" thickBot="1">
      <c r="B521" s="3435"/>
      <c r="C521" s="3435"/>
      <c r="D521" s="3435"/>
      <c r="E521" s="3435"/>
      <c r="F521" s="3435"/>
      <c r="G521" s="3435"/>
      <c r="H521" s="3435"/>
      <c r="I521" s="3435"/>
      <c r="J521" s="3435"/>
      <c r="K521" s="3435"/>
      <c r="L521" s="3435"/>
      <c r="M521" s="3435"/>
      <c r="N521" s="3440"/>
      <c r="O521" s="3441"/>
      <c r="P521" s="3459"/>
      <c r="Q521" s="3459"/>
    </row>
    <row r="522" spans="1:17" ht="13.5" thickBot="1">
      <c r="B522" s="3435"/>
      <c r="C522" s="3435"/>
      <c r="D522" s="3435"/>
      <c r="E522" s="3435"/>
      <c r="F522" s="3435"/>
      <c r="G522" s="3435"/>
      <c r="H522" s="3435"/>
      <c r="I522" s="3435"/>
      <c r="J522" s="3435"/>
      <c r="K522" s="3435"/>
      <c r="L522" s="3435"/>
      <c r="M522" s="3435"/>
      <c r="N522" s="3440"/>
      <c r="O522" s="3441"/>
      <c r="P522" s="3459"/>
      <c r="Q522" s="3459"/>
    </row>
    <row r="523" spans="1:17" ht="13.5" thickBot="1">
      <c r="B523" s="3435"/>
      <c r="C523" s="3435"/>
      <c r="D523" s="3435"/>
      <c r="E523" s="3435"/>
      <c r="F523" s="3435"/>
      <c r="G523" s="3435"/>
      <c r="H523" s="3435"/>
      <c r="I523" s="3435"/>
      <c r="J523" s="3435"/>
      <c r="K523" s="3435"/>
      <c r="L523" s="3435"/>
      <c r="M523" s="3435"/>
      <c r="N523" s="3440"/>
      <c r="O523" s="3441"/>
      <c r="P523" s="3459"/>
      <c r="Q523" s="3459"/>
    </row>
    <row r="524" spans="1:17" ht="13.5" thickBot="1">
      <c r="B524" s="3435"/>
      <c r="C524" s="3435"/>
      <c r="D524" s="3435"/>
      <c r="E524" s="3435"/>
      <c r="F524" s="3435"/>
      <c r="G524" s="3435"/>
      <c r="H524" s="3435"/>
      <c r="I524" s="3435"/>
      <c r="J524" s="3435"/>
      <c r="K524" s="3435"/>
      <c r="L524" s="3435"/>
      <c r="M524" s="3435"/>
      <c r="N524" s="3440"/>
      <c r="O524" s="3441"/>
      <c r="P524" s="3459"/>
      <c r="Q524" s="3459"/>
    </row>
    <row r="525" spans="1:17" ht="13.5" thickBot="1">
      <c r="A525" s="2377"/>
      <c r="B525" s="3438"/>
      <c r="C525" s="3438"/>
      <c r="D525" s="3438"/>
      <c r="E525" s="3438"/>
      <c r="F525" s="3438"/>
      <c r="G525" s="3438"/>
      <c r="H525" s="3438"/>
      <c r="I525" s="3438"/>
      <c r="J525" s="3438"/>
      <c r="K525" s="3438"/>
      <c r="L525" s="3438"/>
      <c r="M525" s="3435"/>
      <c r="N525" s="3440"/>
      <c r="O525" s="3441"/>
      <c r="P525" s="3459"/>
      <c r="Q525" s="3459"/>
    </row>
    <row r="526" spans="1:17" ht="13.5" thickBot="1">
      <c r="A526" s="2791"/>
      <c r="B526" s="3442"/>
      <c r="C526" s="3442"/>
      <c r="D526" s="3442"/>
      <c r="E526" s="3442"/>
      <c r="F526" s="3442"/>
      <c r="G526" s="3442"/>
      <c r="H526" s="3442"/>
      <c r="I526" s="3442"/>
      <c r="J526" s="3442"/>
      <c r="K526" s="3442"/>
      <c r="L526" s="3442"/>
      <c r="M526" s="3435"/>
      <c r="N526" s="3442"/>
      <c r="O526" s="3441"/>
      <c r="P526" s="3459"/>
      <c r="Q526" s="3459"/>
    </row>
    <row r="527" spans="1:17" ht="13.5" thickBot="1">
      <c r="A527" s="2791"/>
      <c r="B527" s="3435"/>
      <c r="C527" s="3435"/>
      <c r="D527" s="3435"/>
      <c r="E527" s="3435"/>
      <c r="F527" s="3435"/>
      <c r="G527" s="3435"/>
      <c r="H527" s="3435"/>
      <c r="I527" s="3435"/>
      <c r="J527" s="3435"/>
      <c r="K527" s="3435"/>
      <c r="L527" s="3435"/>
      <c r="M527" s="3435"/>
      <c r="N527" s="3435"/>
      <c r="O527" s="3441"/>
      <c r="P527" s="3459"/>
      <c r="Q527" s="3459"/>
    </row>
    <row r="528" spans="1:17" ht="13.5" thickBot="1">
      <c r="A528" s="2791"/>
      <c r="B528" s="3435"/>
      <c r="C528" s="3435"/>
      <c r="D528" s="3435"/>
      <c r="E528" s="3435"/>
      <c r="F528" s="3435"/>
      <c r="G528" s="3435"/>
      <c r="H528" s="3435"/>
      <c r="I528" s="3435"/>
      <c r="J528" s="3435"/>
      <c r="K528" s="3435"/>
      <c r="L528" s="3435"/>
      <c r="M528" s="3435"/>
      <c r="N528" s="3435"/>
      <c r="O528" s="3441"/>
      <c r="P528" s="3459"/>
      <c r="Q528" s="3459"/>
    </row>
    <row r="529" spans="1:17" ht="13.5" thickBot="1">
      <c r="A529" s="2791"/>
      <c r="B529" s="3435"/>
      <c r="C529" s="3435"/>
      <c r="D529" s="3435"/>
      <c r="E529" s="3435"/>
      <c r="F529" s="3435"/>
      <c r="G529" s="3435"/>
      <c r="H529" s="3435"/>
      <c r="I529" s="3435"/>
      <c r="J529" s="3435"/>
      <c r="K529" s="3435"/>
      <c r="L529" s="3435"/>
      <c r="M529" s="3435"/>
      <c r="N529" s="3435"/>
      <c r="O529" s="3441"/>
      <c r="P529" s="3459"/>
      <c r="Q529" s="3459"/>
    </row>
    <row r="530" spans="1:17" ht="13.5" thickBot="1">
      <c r="A530" s="2791"/>
      <c r="B530" s="3435"/>
      <c r="C530" s="3435"/>
      <c r="D530" s="3435"/>
      <c r="E530" s="3435"/>
      <c r="F530" s="3435"/>
      <c r="G530" s="3435"/>
      <c r="H530" s="3435"/>
      <c r="I530" s="3435"/>
      <c r="J530" s="3435"/>
      <c r="K530" s="3435"/>
      <c r="L530" s="3435"/>
      <c r="M530" s="3435"/>
      <c r="N530" s="3435"/>
      <c r="O530" s="3441"/>
      <c r="P530" s="3459"/>
      <c r="Q530" s="3459"/>
    </row>
    <row r="531" spans="1:17" ht="13.5" thickBot="1">
      <c r="A531" s="2791"/>
      <c r="B531" s="3435"/>
      <c r="C531" s="3435"/>
      <c r="D531" s="3435"/>
      <c r="E531" s="3435"/>
      <c r="F531" s="3435"/>
      <c r="G531" s="3435"/>
      <c r="H531" s="3435"/>
      <c r="I531" s="3435"/>
      <c r="J531" s="3435"/>
      <c r="K531" s="3435"/>
      <c r="L531" s="3435"/>
      <c r="M531" s="3435"/>
      <c r="N531" s="3435"/>
      <c r="O531" s="3441"/>
      <c r="P531" s="3459"/>
      <c r="Q531" s="3459"/>
    </row>
    <row r="532" spans="1:17" ht="13.5" thickBot="1">
      <c r="A532" s="2791"/>
      <c r="B532" s="3435"/>
      <c r="C532" s="3435"/>
      <c r="D532" s="3435"/>
      <c r="E532" s="3435"/>
      <c r="F532" s="3435"/>
      <c r="G532" s="3435"/>
      <c r="H532" s="3435"/>
      <c r="I532" s="3435"/>
      <c r="J532" s="3435"/>
      <c r="K532" s="3435"/>
      <c r="L532" s="3435"/>
      <c r="M532" s="3435"/>
      <c r="N532" s="3435"/>
      <c r="O532" s="3441"/>
      <c r="P532" s="3459"/>
      <c r="Q532" s="3459"/>
    </row>
    <row r="533" spans="1:17">
      <c r="A533" s="2792"/>
      <c r="B533" s="3435"/>
      <c r="C533" s="3435"/>
      <c r="D533" s="3435"/>
      <c r="E533" s="3435"/>
      <c r="F533" s="3435"/>
      <c r="G533" s="3435"/>
      <c r="H533" s="3435"/>
      <c r="I533" s="3435"/>
      <c r="J533" s="3435"/>
      <c r="K533" s="3435"/>
      <c r="L533" s="3435"/>
      <c r="M533" s="3435"/>
      <c r="N533" s="3435"/>
      <c r="O533" s="3443"/>
      <c r="P533" s="3459"/>
      <c r="Q533" s="3459"/>
    </row>
  </sheetData>
  <mergeCells count="66">
    <mergeCell ref="A83:A87"/>
    <mergeCell ref="G3:L3"/>
    <mergeCell ref="M3:M4"/>
    <mergeCell ref="N3:N4"/>
    <mergeCell ref="O3:O4"/>
    <mergeCell ref="A3:A4"/>
    <mergeCell ref="B3:B4"/>
    <mergeCell ref="C3:C4"/>
    <mergeCell ref="D3:D4"/>
    <mergeCell ref="F3:F4"/>
    <mergeCell ref="O83:O87"/>
    <mergeCell ref="C85:C87"/>
    <mergeCell ref="L48:L49"/>
    <mergeCell ref="M47:M49"/>
    <mergeCell ref="M64:M69"/>
    <mergeCell ref="F47:F49"/>
    <mergeCell ref="Q70:S80"/>
    <mergeCell ref="C72:C77"/>
    <mergeCell ref="C80:C82"/>
    <mergeCell ref="N79:N82"/>
    <mergeCell ref="A70:A82"/>
    <mergeCell ref="O70:O82"/>
    <mergeCell ref="M79:M82"/>
    <mergeCell ref="G48:G49"/>
    <mergeCell ref="H48:H49"/>
    <mergeCell ref="I48:I49"/>
    <mergeCell ref="J48:J49"/>
    <mergeCell ref="O47:O49"/>
    <mergeCell ref="N47:N49"/>
    <mergeCell ref="N64:N69"/>
    <mergeCell ref="G47:L47"/>
    <mergeCell ref="K48:K49"/>
    <mergeCell ref="A105:O105"/>
    <mergeCell ref="A102:O102"/>
    <mergeCell ref="A104:I104"/>
    <mergeCell ref="A103:L103"/>
    <mergeCell ref="C90:C92"/>
    <mergeCell ref="A88:A92"/>
    <mergeCell ref="A93:A97"/>
    <mergeCell ref="A98:A101"/>
    <mergeCell ref="O98:O101"/>
    <mergeCell ref="C100:C101"/>
    <mergeCell ref="O93:O97"/>
    <mergeCell ref="C95:C97"/>
    <mergeCell ref="O88:O92"/>
    <mergeCell ref="A46:E46"/>
    <mergeCell ref="C47:C49"/>
    <mergeCell ref="D47:D49"/>
    <mergeCell ref="E47:E49"/>
    <mergeCell ref="C42:C45"/>
    <mergeCell ref="O34:O40"/>
    <mergeCell ref="O41:O45"/>
    <mergeCell ref="A2:O2"/>
    <mergeCell ref="N16:N20"/>
    <mergeCell ref="A21:A33"/>
    <mergeCell ref="C23:C28"/>
    <mergeCell ref="M29:M31"/>
    <mergeCell ref="N29:N31"/>
    <mergeCell ref="C30:C33"/>
    <mergeCell ref="M16:M20"/>
    <mergeCell ref="O21:O28"/>
    <mergeCell ref="O29:O33"/>
    <mergeCell ref="A34:A45"/>
    <mergeCell ref="C36:C40"/>
    <mergeCell ref="M41:M43"/>
    <mergeCell ref="N41:N43"/>
  </mergeCells>
  <printOptions horizontalCentered="1"/>
  <pageMargins left="7.874015748031496E-2" right="0.15748031496062992" top="0.51181102362204722" bottom="0.31496062992125984" header="0.15748031496062992" footer="0.15748031496062992"/>
  <pageSetup paperSize="9" scale="70" firstPageNumber="41" orientation="landscape" useFirstPageNumber="1" r:id="rId1"/>
  <headerFooter alignWithMargins="0">
    <oddHeader>&amp;C&amp;"Arial,Kursywa"Wieloletnia prognoza finansowa Województwa Zachodniopomorskiego
&amp;"Arial,Normalny"_________________________________________________________________________________________________________________________________</oddHeader>
    <oddFooter>&amp;C&amp;8&amp;P</oddFooter>
  </headerFooter>
  <rowBreaks count="1" manualBreakCount="1">
    <brk id="45" max="1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DE533"/>
  <sheetViews>
    <sheetView showGridLines="0" view="pageBreakPreview" zoomScale="110" zoomScaleSheetLayoutView="110" workbookViewId="0">
      <pane ySplit="8" topLeftCell="A9" activePane="bottomLeft" state="frozen"/>
      <selection activeCell="D14" sqref="D14"/>
      <selection pane="bottomLeft" activeCell="B141" sqref="B141:B153"/>
    </sheetView>
  </sheetViews>
  <sheetFormatPr defaultColWidth="9.140625" defaultRowHeight="11.25"/>
  <cols>
    <col min="1" max="1" width="2.85546875" style="1580" customWidth="1"/>
    <col min="2" max="2" width="57.140625" style="1581" customWidth="1"/>
    <col min="3" max="3" width="10" style="1581" customWidth="1"/>
    <col min="4" max="4" width="13.42578125" style="1581" customWidth="1"/>
    <col min="5" max="5" width="12" style="1581" customWidth="1"/>
    <col min="6" max="6" width="10.42578125" style="1581" customWidth="1"/>
    <col min="7" max="7" width="10.140625" style="1581" customWidth="1"/>
    <col min="8" max="8" width="9.28515625" style="1581" customWidth="1"/>
    <col min="9" max="12" width="9.5703125" style="1581" customWidth="1"/>
    <col min="13" max="13" width="10.5703125" style="1581" hidden="1" customWidth="1"/>
    <col min="14" max="14" width="11.28515625" style="1581" customWidth="1"/>
    <col min="15" max="15" width="15.7109375" style="1713" customWidth="1"/>
    <col min="16" max="18" width="0" style="1581" hidden="1" customWidth="1"/>
    <col min="19" max="16384" width="9.140625" style="1581"/>
  </cols>
  <sheetData>
    <row r="1" spans="1:17" ht="18" customHeight="1">
      <c r="H1" s="1582" t="s">
        <v>128</v>
      </c>
      <c r="I1" s="1582"/>
      <c r="J1" s="1582"/>
      <c r="K1" s="1582"/>
      <c r="L1" s="1582"/>
      <c r="M1" s="1583"/>
      <c r="N1" s="1583"/>
      <c r="O1" s="1584"/>
    </row>
    <row r="2" spans="1:17" ht="7.5" customHeight="1">
      <c r="I2" s="1583"/>
      <c r="J2" s="1583"/>
      <c r="K2" s="1583"/>
      <c r="L2" s="1583"/>
      <c r="M2" s="1583"/>
      <c r="N2" s="1583"/>
      <c r="O2" s="1584"/>
    </row>
    <row r="3" spans="1:17" ht="14.25" hidden="1" customHeight="1">
      <c r="F3" s="1585"/>
      <c r="G3" s="1585"/>
      <c r="H3" s="1585"/>
      <c r="I3" s="1583"/>
      <c r="J3" s="1583"/>
      <c r="K3" s="1583"/>
      <c r="L3" s="1583"/>
      <c r="M3" s="1583"/>
      <c r="N3" s="1583"/>
      <c r="O3" s="1584"/>
    </row>
    <row r="4" spans="1:17" ht="9" customHeight="1">
      <c r="F4" s="1585"/>
      <c r="G4" s="1585"/>
      <c r="H4" s="1585"/>
      <c r="I4" s="1583"/>
      <c r="J4" s="1583"/>
      <c r="K4" s="1583"/>
      <c r="L4" s="1583"/>
      <c r="M4" s="1583"/>
      <c r="N4" s="1583"/>
      <c r="O4" s="1584"/>
    </row>
    <row r="5" spans="1:17" ht="38.25" customHeight="1" thickBot="1">
      <c r="A5" s="4060" t="s">
        <v>129</v>
      </c>
      <c r="B5" s="4060"/>
      <c r="C5" s="4060"/>
      <c r="D5" s="4060"/>
      <c r="E5" s="4060"/>
      <c r="F5" s="4060"/>
      <c r="G5" s="4060"/>
      <c r="H5" s="4060"/>
      <c r="I5" s="4060"/>
      <c r="J5" s="4060"/>
      <c r="K5" s="4060"/>
      <c r="L5" s="4060"/>
      <c r="M5" s="4060"/>
      <c r="N5" s="4060"/>
      <c r="O5" s="4060"/>
    </row>
    <row r="6" spans="1:17" s="2612" customFormat="1" ht="33.75" customHeight="1">
      <c r="A6" s="1586"/>
      <c r="B6" s="4061" t="s">
        <v>75</v>
      </c>
      <c r="C6" s="4064" t="s">
        <v>71</v>
      </c>
      <c r="D6" s="4067" t="s">
        <v>130</v>
      </c>
      <c r="E6" s="4076" t="s">
        <v>395</v>
      </c>
      <c r="F6" s="4079" t="s">
        <v>436</v>
      </c>
      <c r="G6" s="4082" t="s">
        <v>392</v>
      </c>
      <c r="H6" s="4083"/>
      <c r="I6" s="4083"/>
      <c r="J6" s="4083"/>
      <c r="K6" s="4083"/>
      <c r="L6" s="4084"/>
      <c r="M6" s="4073" t="s">
        <v>406</v>
      </c>
      <c r="N6" s="4073" t="s">
        <v>393</v>
      </c>
      <c r="O6" s="4070" t="s">
        <v>73</v>
      </c>
      <c r="P6" s="3079"/>
      <c r="Q6" s="3444"/>
    </row>
    <row r="7" spans="1:17" s="2612" customFormat="1" ht="25.5" customHeight="1">
      <c r="A7" s="1587" t="s">
        <v>74</v>
      </c>
      <c r="B7" s="4062"/>
      <c r="C7" s="4065"/>
      <c r="D7" s="4068"/>
      <c r="E7" s="4077"/>
      <c r="F7" s="4080"/>
      <c r="G7" s="4085" t="s">
        <v>6</v>
      </c>
      <c r="H7" s="4085" t="s">
        <v>179</v>
      </c>
      <c r="I7" s="4085" t="s">
        <v>181</v>
      </c>
      <c r="J7" s="4085" t="s">
        <v>220</v>
      </c>
      <c r="K7" s="4085" t="s">
        <v>221</v>
      </c>
      <c r="L7" s="4085" t="s">
        <v>219</v>
      </c>
      <c r="M7" s="4074"/>
      <c r="N7" s="4074"/>
      <c r="O7" s="4071"/>
      <c r="P7" s="3079"/>
      <c r="Q7" s="3444"/>
    </row>
    <row r="8" spans="1:17" s="2612" customFormat="1" ht="20.25" customHeight="1" thickBot="1">
      <c r="A8" s="1587"/>
      <c r="B8" s="4063"/>
      <c r="C8" s="4066"/>
      <c r="D8" s="4069"/>
      <c r="E8" s="4078"/>
      <c r="F8" s="4081"/>
      <c r="G8" s="4086"/>
      <c r="H8" s="4086"/>
      <c r="I8" s="4086"/>
      <c r="J8" s="4086"/>
      <c r="K8" s="4086"/>
      <c r="L8" s="4086"/>
      <c r="M8" s="4075"/>
      <c r="N8" s="4075"/>
      <c r="O8" s="4072"/>
      <c r="P8" s="3079"/>
      <c r="Q8" s="3444"/>
    </row>
    <row r="9" spans="1:17" s="2612" customFormat="1" ht="12.75" customHeight="1">
      <c r="A9" s="1732">
        <v>1</v>
      </c>
      <c r="B9" s="1733">
        <v>2</v>
      </c>
      <c r="C9" s="1734" t="s">
        <v>118</v>
      </c>
      <c r="D9" s="1734" t="s">
        <v>119</v>
      </c>
      <c r="E9" s="1734">
        <v>5</v>
      </c>
      <c r="F9" s="1734">
        <v>6</v>
      </c>
      <c r="G9" s="1734">
        <v>7</v>
      </c>
      <c r="H9" s="1734">
        <v>8</v>
      </c>
      <c r="I9" s="1734">
        <v>9</v>
      </c>
      <c r="J9" s="1734">
        <v>10</v>
      </c>
      <c r="K9" s="1734">
        <v>11</v>
      </c>
      <c r="L9" s="1734">
        <v>12</v>
      </c>
      <c r="M9" s="1736">
        <v>13</v>
      </c>
      <c r="N9" s="1736">
        <v>13</v>
      </c>
      <c r="O9" s="1735">
        <v>14</v>
      </c>
      <c r="P9" s="3079"/>
      <c r="Q9" s="3444"/>
    </row>
    <row r="10" spans="1:17" s="2612" customFormat="1" ht="17.25" customHeight="1">
      <c r="A10" s="1588"/>
      <c r="B10" s="1589" t="s">
        <v>76</v>
      </c>
      <c r="C10" s="1590"/>
      <c r="D10" s="217">
        <f>+D11+D12</f>
        <v>1636390</v>
      </c>
      <c r="E10" s="217">
        <f t="shared" ref="E10" si="0">+E11+E12</f>
        <v>594690</v>
      </c>
      <c r="F10" s="217">
        <f t="shared" ref="F10:G10" si="1">+F11+F12</f>
        <v>164817</v>
      </c>
      <c r="G10" s="217">
        <f t="shared" si="1"/>
        <v>453309</v>
      </c>
      <c r="H10" s="217">
        <f t="shared" ref="H10:L10" si="2">+H11+H12</f>
        <v>224494</v>
      </c>
      <c r="I10" s="217">
        <f t="shared" si="2"/>
        <v>199080</v>
      </c>
      <c r="J10" s="217">
        <f t="shared" si="2"/>
        <v>0</v>
      </c>
      <c r="K10" s="217">
        <f t="shared" si="2"/>
        <v>0</v>
      </c>
      <c r="L10" s="217">
        <f t="shared" si="2"/>
        <v>0</v>
      </c>
      <c r="M10" s="146">
        <f>+M11+M12</f>
        <v>1041700</v>
      </c>
      <c r="N10" s="146">
        <f>+N11+N12</f>
        <v>876883</v>
      </c>
      <c r="O10" s="1592"/>
      <c r="P10" s="3079"/>
      <c r="Q10" s="3444"/>
    </row>
    <row r="11" spans="1:17" s="2612" customFormat="1" ht="13.5" customHeight="1">
      <c r="A11" s="1588"/>
      <c r="B11" s="1593" t="s">
        <v>77</v>
      </c>
      <c r="C11" s="1594"/>
      <c r="D11" s="209">
        <f t="shared" ref="D11:L11" si="3">+D27+D38+D49+D56+D63+D70+D77</f>
        <v>1636390</v>
      </c>
      <c r="E11" s="209">
        <f>+E27+E38+E49+E56+E63+E70+E77</f>
        <v>594690</v>
      </c>
      <c r="F11" s="209">
        <f t="shared" si="3"/>
        <v>164817</v>
      </c>
      <c r="G11" s="209">
        <f t="shared" si="3"/>
        <v>453309</v>
      </c>
      <c r="H11" s="209">
        <f t="shared" si="3"/>
        <v>224494</v>
      </c>
      <c r="I11" s="209">
        <f t="shared" si="3"/>
        <v>199080</v>
      </c>
      <c r="J11" s="209">
        <f t="shared" si="3"/>
        <v>0</v>
      </c>
      <c r="K11" s="209">
        <f t="shared" si="3"/>
        <v>0</v>
      </c>
      <c r="L11" s="209">
        <f t="shared" si="3"/>
        <v>0</v>
      </c>
      <c r="M11" s="18">
        <f>SUM(F11:K11)</f>
        <v>1041700</v>
      </c>
      <c r="N11" s="18">
        <f>SUM(G11:L11)</f>
        <v>876883</v>
      </c>
      <c r="O11" s="1592"/>
      <c r="P11" s="3079"/>
      <c r="Q11" s="3444"/>
    </row>
    <row r="12" spans="1:17" s="2612" customFormat="1" ht="13.5" customHeight="1" thickBot="1">
      <c r="A12" s="1588"/>
      <c r="B12" s="1596" t="s">
        <v>9</v>
      </c>
      <c r="C12" s="1594"/>
      <c r="D12" s="209">
        <v>0</v>
      </c>
      <c r="E12" s="209">
        <v>0</v>
      </c>
      <c r="F12" s="209">
        <v>0</v>
      </c>
      <c r="G12" s="209">
        <v>0</v>
      </c>
      <c r="H12" s="209">
        <v>0</v>
      </c>
      <c r="I12" s="209">
        <v>0</v>
      </c>
      <c r="J12" s="209">
        <v>0</v>
      </c>
      <c r="K12" s="209">
        <v>0</v>
      </c>
      <c r="L12" s="209">
        <v>0</v>
      </c>
      <c r="M12" s="18">
        <f>SUM(E12:K12)</f>
        <v>0</v>
      </c>
      <c r="N12" s="18">
        <f>SUM(F12:L12)</f>
        <v>0</v>
      </c>
      <c r="O12" s="1592"/>
      <c r="P12" s="3079"/>
      <c r="Q12" s="3444"/>
    </row>
    <row r="13" spans="1:17" ht="14.25" customHeight="1">
      <c r="A13" s="1597"/>
      <c r="B13" s="1598" t="s">
        <v>10</v>
      </c>
      <c r="C13" s="1599"/>
      <c r="D13" s="152">
        <f>+D14+D17</f>
        <v>1636390</v>
      </c>
      <c r="E13" s="152">
        <f t="shared" ref="E13" si="4">+E14+E17</f>
        <v>594690</v>
      </c>
      <c r="F13" s="152">
        <f t="shared" ref="F13" si="5">+F14+F17</f>
        <v>164817</v>
      </c>
      <c r="G13" s="152">
        <f t="shared" ref="G13:N13" si="6">+G14+G17</f>
        <v>453309</v>
      </c>
      <c r="H13" s="152">
        <f t="shared" si="6"/>
        <v>224494</v>
      </c>
      <c r="I13" s="152">
        <f t="shared" si="6"/>
        <v>199080</v>
      </c>
      <c r="J13" s="152">
        <f t="shared" si="6"/>
        <v>0</v>
      </c>
      <c r="K13" s="152">
        <f t="shared" si="6"/>
        <v>0</v>
      </c>
      <c r="L13" s="152">
        <f t="shared" si="6"/>
        <v>0</v>
      </c>
      <c r="M13" s="186">
        <f t="shared" ref="M13" si="7">+M14+M17</f>
        <v>791700</v>
      </c>
      <c r="N13" s="186">
        <f t="shared" si="6"/>
        <v>876883</v>
      </c>
      <c r="O13" s="1592"/>
    </row>
    <row r="14" spans="1:17" ht="14.25" customHeight="1">
      <c r="A14" s="1588"/>
      <c r="B14" s="1600" t="s">
        <v>11</v>
      </c>
      <c r="C14" s="1601"/>
      <c r="D14" s="1716">
        <f>SUM(D15:D16)</f>
        <v>679652</v>
      </c>
      <c r="E14" s="1716">
        <f>SUM(E15:E16)</f>
        <v>274500</v>
      </c>
      <c r="F14" s="1716">
        <f>SUM(F15:F16)</f>
        <v>67232</v>
      </c>
      <c r="G14" s="1716">
        <f>SUM(G15:G16)</f>
        <v>134846</v>
      </c>
      <c r="H14" s="1716">
        <f t="shared" ref="H14:L14" si="8">SUM(H15:H16)</f>
        <v>103534</v>
      </c>
      <c r="I14" s="1716">
        <f t="shared" si="8"/>
        <v>99540</v>
      </c>
      <c r="J14" s="1716">
        <f t="shared" si="8"/>
        <v>0</v>
      </c>
      <c r="K14" s="1716">
        <f t="shared" si="8"/>
        <v>0</v>
      </c>
      <c r="L14" s="1716">
        <f t="shared" si="8"/>
        <v>0</v>
      </c>
      <c r="M14" s="1717">
        <f>+M15</f>
        <v>365852</v>
      </c>
      <c r="N14" s="1716">
        <f>SUM(N15:N16)</f>
        <v>337920</v>
      </c>
      <c r="O14" s="1602"/>
    </row>
    <row r="15" spans="1:17" ht="12">
      <c r="A15" s="1603"/>
      <c r="B15" s="1604" t="s">
        <v>12</v>
      </c>
      <c r="C15" s="1605"/>
      <c r="D15" s="1718">
        <f>+D29+D40</f>
        <v>640352</v>
      </c>
      <c r="E15" s="1718">
        <f t="shared" ref="E15" si="9">+E29+E40</f>
        <v>274500</v>
      </c>
      <c r="F15" s="1718">
        <f t="shared" ref="F15" si="10">+F29+F40</f>
        <v>67232</v>
      </c>
      <c r="G15" s="1718">
        <f>+G29+G40</f>
        <v>99540</v>
      </c>
      <c r="H15" s="1718">
        <f t="shared" ref="H15:L15" si="11">+H29+H40</f>
        <v>99540</v>
      </c>
      <c r="I15" s="1718">
        <f t="shared" si="11"/>
        <v>99540</v>
      </c>
      <c r="J15" s="1718">
        <f t="shared" si="11"/>
        <v>0</v>
      </c>
      <c r="K15" s="1718">
        <f t="shared" si="11"/>
        <v>0</v>
      </c>
      <c r="L15" s="1718">
        <f t="shared" si="11"/>
        <v>0</v>
      </c>
      <c r="M15" s="1561">
        <f>+H15+G15+F15+I15+J15+K15</f>
        <v>365852</v>
      </c>
      <c r="N15" s="1561">
        <f>+I15+H15+G15+J15+K15+L15</f>
        <v>298620</v>
      </c>
      <c r="O15" s="1592"/>
    </row>
    <row r="16" spans="1:17" ht="12">
      <c r="A16" s="1603"/>
      <c r="B16" s="325" t="s">
        <v>13</v>
      </c>
      <c r="C16" s="2465"/>
      <c r="D16" s="327">
        <f>+D79</f>
        <v>39300</v>
      </c>
      <c r="E16" s="327">
        <f t="shared" ref="E16:L16" si="12">+E79</f>
        <v>0</v>
      </c>
      <c r="F16" s="327">
        <f t="shared" si="12"/>
        <v>0</v>
      </c>
      <c r="G16" s="327">
        <f t="shared" si="12"/>
        <v>35306</v>
      </c>
      <c r="H16" s="327">
        <f t="shared" si="12"/>
        <v>3994</v>
      </c>
      <c r="I16" s="327">
        <f t="shared" si="12"/>
        <v>0</v>
      </c>
      <c r="J16" s="327">
        <f t="shared" si="12"/>
        <v>0</v>
      </c>
      <c r="K16" s="327">
        <f t="shared" si="12"/>
        <v>0</v>
      </c>
      <c r="L16" s="327">
        <f t="shared" si="12"/>
        <v>0</v>
      </c>
      <c r="M16" s="2464"/>
      <c r="N16" s="1561">
        <f>+I16+H16+G16+J16+K16+L16</f>
        <v>39300</v>
      </c>
      <c r="O16" s="1592"/>
    </row>
    <row r="17" spans="1:16" ht="14.25" customHeight="1">
      <c r="A17" s="1588"/>
      <c r="B17" s="1606" t="s">
        <v>18</v>
      </c>
      <c r="C17" s="1607"/>
      <c r="D17" s="160">
        <f t="shared" ref="D17:L17" si="13">SUM(D18:D19)</f>
        <v>956738</v>
      </c>
      <c r="E17" s="160">
        <f t="shared" si="13"/>
        <v>320190</v>
      </c>
      <c r="F17" s="160">
        <f t="shared" si="13"/>
        <v>97585</v>
      </c>
      <c r="G17" s="160">
        <f t="shared" si="13"/>
        <v>318463</v>
      </c>
      <c r="H17" s="160">
        <f t="shared" si="13"/>
        <v>120960</v>
      </c>
      <c r="I17" s="160">
        <f t="shared" si="13"/>
        <v>99540</v>
      </c>
      <c r="J17" s="160">
        <f t="shared" si="13"/>
        <v>0</v>
      </c>
      <c r="K17" s="160">
        <f t="shared" si="13"/>
        <v>0</v>
      </c>
      <c r="L17" s="160">
        <f t="shared" si="13"/>
        <v>0</v>
      </c>
      <c r="M17" s="1717">
        <f t="shared" ref="M17" si="14">SUM(M19)</f>
        <v>425848</v>
      </c>
      <c r="N17" s="160">
        <f>SUM(N18:N19)</f>
        <v>538963</v>
      </c>
      <c r="O17" s="1602"/>
    </row>
    <row r="18" spans="1:16" ht="12">
      <c r="A18" s="1588"/>
      <c r="B18" s="329" t="s">
        <v>21</v>
      </c>
      <c r="C18" s="2466"/>
      <c r="D18" s="2469">
        <f t="shared" ref="D18:L18" si="15">+D81</f>
        <v>210700</v>
      </c>
      <c r="E18" s="2469">
        <f t="shared" si="15"/>
        <v>0</v>
      </c>
      <c r="F18" s="2469">
        <f t="shared" si="15"/>
        <v>0</v>
      </c>
      <c r="G18" s="2469">
        <f t="shared" si="15"/>
        <v>189284</v>
      </c>
      <c r="H18" s="2469">
        <f t="shared" si="15"/>
        <v>21416</v>
      </c>
      <c r="I18" s="2469">
        <f t="shared" si="15"/>
        <v>0</v>
      </c>
      <c r="J18" s="2469">
        <f t="shared" si="15"/>
        <v>0</v>
      </c>
      <c r="K18" s="2469">
        <f t="shared" si="15"/>
        <v>0</v>
      </c>
      <c r="L18" s="2469">
        <f t="shared" si="15"/>
        <v>0</v>
      </c>
      <c r="M18" s="2468"/>
      <c r="N18" s="1561">
        <f>+I18+H18+G18+J18+K18+L18</f>
        <v>210700</v>
      </c>
      <c r="O18" s="1602"/>
    </row>
    <row r="19" spans="1:16" ht="12" customHeight="1">
      <c r="A19" s="1608"/>
      <c r="B19" s="1609" t="s">
        <v>20</v>
      </c>
      <c r="C19" s="1610"/>
      <c r="D19" s="1718">
        <f>+D31+D42+D51+D58+D65+D72</f>
        <v>746038</v>
      </c>
      <c r="E19" s="1718">
        <f t="shared" ref="E19" si="16">+E31+E42+E51+E58+E65+E72</f>
        <v>320190</v>
      </c>
      <c r="F19" s="1718">
        <f t="shared" ref="F19:L19" si="17">+F31+F42+F51+F58+F65+F72</f>
        <v>97585</v>
      </c>
      <c r="G19" s="1718">
        <f t="shared" si="17"/>
        <v>129179</v>
      </c>
      <c r="H19" s="1718">
        <f t="shared" si="17"/>
        <v>99544</v>
      </c>
      <c r="I19" s="1718">
        <f t="shared" si="17"/>
        <v>99540</v>
      </c>
      <c r="J19" s="1718">
        <f t="shared" si="17"/>
        <v>0</v>
      </c>
      <c r="K19" s="1718">
        <f t="shared" si="17"/>
        <v>0</v>
      </c>
      <c r="L19" s="1718">
        <f t="shared" si="17"/>
        <v>0</v>
      </c>
      <c r="M19" s="1561">
        <f>+H19+G19+F19+I19+J19+K19</f>
        <v>425848</v>
      </c>
      <c r="N19" s="1561">
        <f>+I19+H19+G19+J19+K19+L19</f>
        <v>328263</v>
      </c>
      <c r="O19" s="1611"/>
    </row>
    <row r="20" spans="1:16" s="1615" customFormat="1" ht="14.25" customHeight="1">
      <c r="A20" s="1588"/>
      <c r="B20" s="1612" t="s">
        <v>22</v>
      </c>
      <c r="C20" s="1613"/>
      <c r="D20" s="395">
        <f>+D21+D23</f>
        <v>996038</v>
      </c>
      <c r="E20" s="395">
        <f t="shared" ref="E20:L20" si="18">+E21+E23</f>
        <v>292115</v>
      </c>
      <c r="F20" s="395">
        <f t="shared" si="18"/>
        <v>107202</v>
      </c>
      <c r="G20" s="395">
        <f t="shared" si="18"/>
        <v>342369</v>
      </c>
      <c r="H20" s="395">
        <f t="shared" si="18"/>
        <v>124950</v>
      </c>
      <c r="I20" s="395">
        <f t="shared" si="18"/>
        <v>99540</v>
      </c>
      <c r="J20" s="395">
        <f t="shared" si="18"/>
        <v>29862</v>
      </c>
      <c r="K20" s="395">
        <f t="shared" si="18"/>
        <v>0</v>
      </c>
      <c r="L20" s="395">
        <f t="shared" si="18"/>
        <v>0</v>
      </c>
      <c r="M20" s="4049" t="s">
        <v>61</v>
      </c>
      <c r="N20" s="4049" t="s">
        <v>61</v>
      </c>
      <c r="O20" s="1614"/>
    </row>
    <row r="21" spans="1:16" s="1615" customFormat="1" ht="14.25" customHeight="1">
      <c r="A21" s="1588"/>
      <c r="B21" s="153" t="s">
        <v>11</v>
      </c>
      <c r="C21" s="1607"/>
      <c r="D21" s="2467">
        <f>+D22</f>
        <v>39300</v>
      </c>
      <c r="E21" s="2473">
        <f t="shared" ref="E21:L21" si="19">+E22</f>
        <v>0</v>
      </c>
      <c r="F21" s="2473">
        <f t="shared" si="19"/>
        <v>0</v>
      </c>
      <c r="G21" s="2473">
        <f t="shared" si="19"/>
        <v>35306</v>
      </c>
      <c r="H21" s="2473">
        <f t="shared" si="19"/>
        <v>3994</v>
      </c>
      <c r="I21" s="2473">
        <f t="shared" si="19"/>
        <v>0</v>
      </c>
      <c r="J21" s="2473">
        <f t="shared" si="19"/>
        <v>0</v>
      </c>
      <c r="K21" s="2473">
        <f t="shared" si="19"/>
        <v>0</v>
      </c>
      <c r="L21" s="2473">
        <f t="shared" si="19"/>
        <v>0</v>
      </c>
      <c r="M21" s="4050"/>
      <c r="N21" s="4050"/>
      <c r="O21" s="1614"/>
    </row>
    <row r="22" spans="1:16" s="1615" customFormat="1" ht="12">
      <c r="A22" s="1588"/>
      <c r="B22" s="325" t="s">
        <v>13</v>
      </c>
      <c r="C22" s="2466"/>
      <c r="D22" s="2474">
        <f>+D84</f>
        <v>39300</v>
      </c>
      <c r="E22" s="2475">
        <f t="shared" ref="E22:L22" si="20">+E84</f>
        <v>0</v>
      </c>
      <c r="F22" s="2475">
        <f t="shared" si="20"/>
        <v>0</v>
      </c>
      <c r="G22" s="2475">
        <f t="shared" si="20"/>
        <v>35306</v>
      </c>
      <c r="H22" s="2475">
        <f t="shared" si="20"/>
        <v>3994</v>
      </c>
      <c r="I22" s="2475">
        <f t="shared" si="20"/>
        <v>0</v>
      </c>
      <c r="J22" s="2475">
        <f t="shared" si="20"/>
        <v>0</v>
      </c>
      <c r="K22" s="2475">
        <f t="shared" si="20"/>
        <v>0</v>
      </c>
      <c r="L22" s="2475">
        <f t="shared" si="20"/>
        <v>0</v>
      </c>
      <c r="M22" s="4050"/>
      <c r="N22" s="4050"/>
      <c r="O22" s="1614"/>
    </row>
    <row r="23" spans="1:16" s="1615" customFormat="1" ht="14.25" customHeight="1">
      <c r="A23" s="1588"/>
      <c r="B23" s="1606" t="s">
        <v>18</v>
      </c>
      <c r="C23" s="1607"/>
      <c r="D23" s="2467">
        <f t="shared" ref="D23:J23" si="21">SUM(D24:D25)</f>
        <v>956738</v>
      </c>
      <c r="E23" s="2473">
        <f t="shared" si="21"/>
        <v>292115</v>
      </c>
      <c r="F23" s="2473">
        <f t="shared" si="21"/>
        <v>107202</v>
      </c>
      <c r="G23" s="2473">
        <f t="shared" si="21"/>
        <v>307063</v>
      </c>
      <c r="H23" s="2473">
        <f t="shared" si="21"/>
        <v>120956</v>
      </c>
      <c r="I23" s="2473">
        <f t="shared" si="21"/>
        <v>99540</v>
      </c>
      <c r="J23" s="2473">
        <f t="shared" si="21"/>
        <v>29862</v>
      </c>
      <c r="K23" s="2467">
        <f t="shared" ref="K23:L23" si="22">+K25</f>
        <v>0</v>
      </c>
      <c r="L23" s="2467">
        <f t="shared" si="22"/>
        <v>0</v>
      </c>
      <c r="M23" s="4050"/>
      <c r="N23" s="4050"/>
      <c r="O23" s="1602"/>
    </row>
    <row r="24" spans="1:16" s="1615" customFormat="1" ht="12">
      <c r="A24" s="1588"/>
      <c r="B24" s="329" t="s">
        <v>21</v>
      </c>
      <c r="C24" s="2466"/>
      <c r="D24" s="2474">
        <f t="shared" ref="D24:L24" si="23">+D85</f>
        <v>210700</v>
      </c>
      <c r="E24" s="2475">
        <f t="shared" si="23"/>
        <v>0</v>
      </c>
      <c r="F24" s="2475">
        <f t="shared" si="23"/>
        <v>0</v>
      </c>
      <c r="G24" s="2475">
        <f t="shared" si="23"/>
        <v>189284</v>
      </c>
      <c r="H24" s="2475">
        <f t="shared" si="23"/>
        <v>21416</v>
      </c>
      <c r="I24" s="2475">
        <f t="shared" si="23"/>
        <v>0</v>
      </c>
      <c r="J24" s="2475">
        <f t="shared" si="23"/>
        <v>0</v>
      </c>
      <c r="K24" s="2475">
        <f t="shared" si="23"/>
        <v>0</v>
      </c>
      <c r="L24" s="2475">
        <f t="shared" si="23"/>
        <v>0</v>
      </c>
      <c r="M24" s="4050"/>
      <c r="N24" s="4050"/>
      <c r="O24" s="1602"/>
    </row>
    <row r="25" spans="1:16" s="2472" customFormat="1" ht="12.75" customHeight="1" thickBot="1">
      <c r="A25" s="2470"/>
      <c r="B25" s="329" t="s">
        <v>20</v>
      </c>
      <c r="C25" s="2466"/>
      <c r="D25" s="2476">
        <f>+D36+D47+D54+D61+D68+D75</f>
        <v>746038</v>
      </c>
      <c r="E25" s="2477">
        <f t="shared" ref="E25" si="24">+E36+E47+E54+E61+E68+E75</f>
        <v>292115</v>
      </c>
      <c r="F25" s="2477">
        <f t="shared" ref="F25:L25" si="25">+F36+F47+F54+F61+F68+F75</f>
        <v>107202</v>
      </c>
      <c r="G25" s="2476">
        <f t="shared" si="25"/>
        <v>117779</v>
      </c>
      <c r="H25" s="2476">
        <f t="shared" si="25"/>
        <v>99540</v>
      </c>
      <c r="I25" s="2476">
        <f t="shared" si="25"/>
        <v>99540</v>
      </c>
      <c r="J25" s="2476">
        <f t="shared" si="25"/>
        <v>29862</v>
      </c>
      <c r="K25" s="2476">
        <f t="shared" si="25"/>
        <v>0</v>
      </c>
      <c r="L25" s="2476">
        <f t="shared" si="25"/>
        <v>0</v>
      </c>
      <c r="M25" s="4051"/>
      <c r="N25" s="4051"/>
      <c r="O25" s="2471"/>
      <c r="P25" s="2472">
        <f>D25-D19</f>
        <v>0</v>
      </c>
    </row>
    <row r="26" spans="1:16" ht="39" hidden="1" customHeight="1">
      <c r="A26" s="4033" t="s">
        <v>63</v>
      </c>
      <c r="B26" s="1616" t="s">
        <v>202</v>
      </c>
      <c r="C26" s="1617" t="s">
        <v>109</v>
      </c>
      <c r="D26" s="1719"/>
      <c r="E26" s="1720"/>
      <c r="F26" s="1720"/>
      <c r="G26" s="1720"/>
      <c r="H26" s="1720"/>
      <c r="I26" s="1720"/>
      <c r="J26" s="1720"/>
      <c r="K26" s="1720"/>
      <c r="L26" s="1720"/>
      <c r="M26" s="1721"/>
      <c r="N26" s="1721"/>
      <c r="O26" s="4053"/>
    </row>
    <row r="27" spans="1:16" ht="15" hidden="1" customHeight="1">
      <c r="A27" s="4034"/>
      <c r="B27" s="1619" t="s">
        <v>10</v>
      </c>
      <c r="C27" s="1620"/>
      <c r="D27" s="1438"/>
      <c r="E27" s="1438">
        <f t="shared" ref="E27" si="26">+E28+E30</f>
        <v>0</v>
      </c>
      <c r="F27" s="1438">
        <f>+F28+F30</f>
        <v>0</v>
      </c>
      <c r="G27" s="1438">
        <f>+G28+G30</f>
        <v>0</v>
      </c>
      <c r="H27" s="1438">
        <f>+H28+H30</f>
        <v>0</v>
      </c>
      <c r="I27" s="1438">
        <f>+I28+I30</f>
        <v>0</v>
      </c>
      <c r="J27" s="1438"/>
      <c r="K27" s="1438"/>
      <c r="L27" s="1438"/>
      <c r="M27" s="1573">
        <f>M28+M30</f>
        <v>0</v>
      </c>
      <c r="N27" s="1573" t="e">
        <f>N28+N30</f>
        <v>#REF!</v>
      </c>
      <c r="O27" s="4054"/>
    </row>
    <row r="28" spans="1:16" ht="12.75" hidden="1" customHeight="1">
      <c r="A28" s="4034"/>
      <c r="B28" s="1621" t="s">
        <v>24</v>
      </c>
      <c r="C28" s="4100" t="s">
        <v>132</v>
      </c>
      <c r="D28" s="1428"/>
      <c r="E28" s="1428">
        <f t="shared" ref="E28:I28" si="27">+E29</f>
        <v>0</v>
      </c>
      <c r="F28" s="1428">
        <f t="shared" si="27"/>
        <v>0</v>
      </c>
      <c r="G28" s="1428">
        <f t="shared" si="27"/>
        <v>0</v>
      </c>
      <c r="H28" s="1428">
        <f t="shared" si="27"/>
        <v>0</v>
      </c>
      <c r="I28" s="1428">
        <f t="shared" si="27"/>
        <v>0</v>
      </c>
      <c r="J28" s="1428"/>
      <c r="K28" s="1428"/>
      <c r="L28" s="1428"/>
      <c r="M28" s="1429">
        <f>+M29</f>
        <v>0</v>
      </c>
      <c r="N28" s="1429" t="e">
        <f>+N29</f>
        <v>#REF!</v>
      </c>
      <c r="O28" s="4054"/>
    </row>
    <row r="29" spans="1:16" ht="12.75" hidden="1" customHeight="1">
      <c r="A29" s="4034"/>
      <c r="B29" s="1622" t="s">
        <v>12</v>
      </c>
      <c r="C29" s="4093"/>
      <c r="D29" s="1431"/>
      <c r="E29" s="1431">
        <v>0</v>
      </c>
      <c r="F29" s="169">
        <v>0</v>
      </c>
      <c r="G29" s="169">
        <v>0</v>
      </c>
      <c r="H29" s="169">
        <v>0</v>
      </c>
      <c r="I29" s="169">
        <v>0</v>
      </c>
      <c r="J29" s="169"/>
      <c r="K29" s="169"/>
      <c r="L29" s="169"/>
      <c r="M29" s="1722">
        <f>SUM(F29:K29)</f>
        <v>0</v>
      </c>
      <c r="N29" s="1722" t="e">
        <f>+#REF!+I29+H29+G29+F29+#REF!</f>
        <v>#REF!</v>
      </c>
      <c r="O29" s="4054"/>
    </row>
    <row r="30" spans="1:16" ht="12.75" hidden="1" customHeight="1">
      <c r="A30" s="4034"/>
      <c r="B30" s="1624" t="s">
        <v>18</v>
      </c>
      <c r="C30" s="4093"/>
      <c r="D30" s="1433"/>
      <c r="E30" s="1433">
        <f t="shared" ref="E30:I30" si="28">E31</f>
        <v>0</v>
      </c>
      <c r="F30" s="1433">
        <f t="shared" si="28"/>
        <v>0</v>
      </c>
      <c r="G30" s="1433">
        <f t="shared" si="28"/>
        <v>0</v>
      </c>
      <c r="H30" s="1433">
        <f t="shared" si="28"/>
        <v>0</v>
      </c>
      <c r="I30" s="1433">
        <f t="shared" si="28"/>
        <v>0</v>
      </c>
      <c r="J30" s="1433"/>
      <c r="K30" s="1433"/>
      <c r="L30" s="1433"/>
      <c r="M30" s="1429">
        <f>+M31</f>
        <v>0</v>
      </c>
      <c r="N30" s="1429" t="e">
        <f>+N31</f>
        <v>#REF!</v>
      </c>
      <c r="O30" s="4054"/>
    </row>
    <row r="31" spans="1:16" ht="12" hidden="1">
      <c r="A31" s="4034"/>
      <c r="B31" s="1625" t="s">
        <v>20</v>
      </c>
      <c r="C31" s="4058"/>
      <c r="D31" s="1723"/>
      <c r="E31" s="1724">
        <v>0</v>
      </c>
      <c r="F31" s="131">
        <v>0</v>
      </c>
      <c r="G31" s="131">
        <v>0</v>
      </c>
      <c r="H31" s="131">
        <v>0</v>
      </c>
      <c r="I31" s="131">
        <v>0</v>
      </c>
      <c r="J31" s="131"/>
      <c r="K31" s="131"/>
      <c r="L31" s="131"/>
      <c r="M31" s="1722">
        <f>SUM(F31:K31)</f>
        <v>0</v>
      </c>
      <c r="N31" s="1722" t="e">
        <f>+#REF!+I31+H31+G31+F31+#REF!</f>
        <v>#REF!</v>
      </c>
      <c r="O31" s="4054"/>
    </row>
    <row r="32" spans="1:16" ht="12.75" hidden="1" customHeight="1">
      <c r="A32" s="4099"/>
      <c r="B32" s="1619" t="s">
        <v>22</v>
      </c>
      <c r="C32" s="1626"/>
      <c r="D32" s="1438"/>
      <c r="E32" s="1438">
        <f t="shared" ref="E32" si="29">E33+E35</f>
        <v>0</v>
      </c>
      <c r="F32" s="1438">
        <f>F33+F35</f>
        <v>0</v>
      </c>
      <c r="G32" s="1472">
        <f>G33+G35</f>
        <v>0</v>
      </c>
      <c r="H32" s="1472">
        <f>H33+H35</f>
        <v>0</v>
      </c>
      <c r="I32" s="1472">
        <f>I33+I35</f>
        <v>0</v>
      </c>
      <c r="J32" s="1725"/>
      <c r="K32" s="1725"/>
      <c r="L32" s="1725"/>
      <c r="M32" s="4052" t="s">
        <v>61</v>
      </c>
      <c r="N32" s="4052" t="s">
        <v>61</v>
      </c>
      <c r="O32" s="4054"/>
    </row>
    <row r="33" spans="1:15" ht="12" hidden="1" customHeight="1">
      <c r="A33" s="4099"/>
      <c r="B33" s="1627" t="s">
        <v>24</v>
      </c>
      <c r="C33" s="4100" t="s">
        <v>132</v>
      </c>
      <c r="D33" s="1428"/>
      <c r="E33" s="1428"/>
      <c r="F33" s="1428">
        <f t="shared" ref="F33:I33" si="30">F34</f>
        <v>0</v>
      </c>
      <c r="G33" s="1473">
        <f t="shared" si="30"/>
        <v>0</v>
      </c>
      <c r="H33" s="1473">
        <f t="shared" si="30"/>
        <v>0</v>
      </c>
      <c r="I33" s="1473">
        <f t="shared" si="30"/>
        <v>0</v>
      </c>
      <c r="J33" s="1726"/>
      <c r="K33" s="1726"/>
      <c r="L33" s="1726"/>
      <c r="M33" s="4042"/>
      <c r="N33" s="4042"/>
      <c r="O33" s="4054"/>
    </row>
    <row r="34" spans="1:15" ht="12" hidden="1" customHeight="1">
      <c r="A34" s="4099"/>
      <c r="B34" s="1628" t="s">
        <v>13</v>
      </c>
      <c r="C34" s="4093"/>
      <c r="D34" s="1431"/>
      <c r="E34" s="1440"/>
      <c r="F34" s="1440">
        <v>0</v>
      </c>
      <c r="G34" s="1440">
        <v>0</v>
      </c>
      <c r="H34" s="1440">
        <v>0</v>
      </c>
      <c r="I34" s="1440">
        <v>0</v>
      </c>
      <c r="J34" s="223"/>
      <c r="K34" s="223"/>
      <c r="L34" s="223"/>
      <c r="M34" s="4042"/>
      <c r="N34" s="4042"/>
      <c r="O34" s="4054"/>
    </row>
    <row r="35" spans="1:15" ht="13.5" hidden="1" customHeight="1">
      <c r="A35" s="4099"/>
      <c r="B35" s="1630" t="s">
        <v>18</v>
      </c>
      <c r="C35" s="4093"/>
      <c r="D35" s="1433"/>
      <c r="E35" s="1433">
        <f t="shared" ref="E35:I35" si="31">E36</f>
        <v>0</v>
      </c>
      <c r="F35" s="1433">
        <f t="shared" si="31"/>
        <v>0</v>
      </c>
      <c r="G35" s="1457">
        <f t="shared" si="31"/>
        <v>0</v>
      </c>
      <c r="H35" s="1457">
        <f t="shared" si="31"/>
        <v>0</v>
      </c>
      <c r="I35" s="1457">
        <f t="shared" si="31"/>
        <v>0</v>
      </c>
      <c r="J35" s="591"/>
      <c r="K35" s="591"/>
      <c r="L35" s="591"/>
      <c r="M35" s="4042"/>
      <c r="N35" s="4042"/>
      <c r="O35" s="4054"/>
    </row>
    <row r="36" spans="1:15" ht="13.5" hidden="1" customHeight="1" thickBot="1">
      <c r="A36" s="4035"/>
      <c r="B36" s="1631" t="s">
        <v>20</v>
      </c>
      <c r="C36" s="4059"/>
      <c r="D36" s="1727"/>
      <c r="E36" s="1728">
        <v>0</v>
      </c>
      <c r="F36" s="1728">
        <v>0</v>
      </c>
      <c r="G36" s="1728">
        <v>0</v>
      </c>
      <c r="H36" s="1728">
        <v>0</v>
      </c>
      <c r="I36" s="1728">
        <v>0</v>
      </c>
      <c r="J36" s="110"/>
      <c r="K36" s="110"/>
      <c r="L36" s="110"/>
      <c r="M36" s="4043"/>
      <c r="N36" s="4043"/>
      <c r="O36" s="4055"/>
    </row>
    <row r="37" spans="1:15" ht="24.75" customHeight="1">
      <c r="A37" s="4033" t="s">
        <v>63</v>
      </c>
      <c r="B37" s="1616" t="s">
        <v>475</v>
      </c>
      <c r="C37" s="1617" t="s">
        <v>109</v>
      </c>
      <c r="D37" s="182"/>
      <c r="E37" s="382"/>
      <c r="F37" s="382"/>
      <c r="G37" s="382"/>
      <c r="H37" s="382"/>
      <c r="I37" s="382"/>
      <c r="J37" s="382"/>
      <c r="K37" s="382"/>
      <c r="L37" s="2692"/>
      <c r="M37" s="1721"/>
      <c r="N37" s="1721"/>
      <c r="O37" s="4053" t="s">
        <v>131</v>
      </c>
    </row>
    <row r="38" spans="1:15" ht="13.5" customHeight="1">
      <c r="A38" s="4034"/>
      <c r="B38" s="1619" t="s">
        <v>10</v>
      </c>
      <c r="C38" s="1620"/>
      <c r="D38" s="1438">
        <f>+D39+D41</f>
        <v>1335657</v>
      </c>
      <c r="E38" s="1438">
        <f t="shared" ref="E38" si="32">+E39+E41</f>
        <v>593887</v>
      </c>
      <c r="F38" s="1438">
        <f t="shared" ref="F38" si="33">+F39+F41</f>
        <v>144526</v>
      </c>
      <c r="G38" s="1438">
        <f t="shared" ref="G38:L38" si="34">+G39+G41</f>
        <v>199080</v>
      </c>
      <c r="H38" s="2533">
        <f t="shared" si="34"/>
        <v>199084</v>
      </c>
      <c r="I38" s="2533">
        <f t="shared" si="34"/>
        <v>199080</v>
      </c>
      <c r="J38" s="2533">
        <f t="shared" si="34"/>
        <v>0</v>
      </c>
      <c r="K38" s="2533">
        <f t="shared" si="34"/>
        <v>0</v>
      </c>
      <c r="L38" s="2533">
        <f t="shared" si="34"/>
        <v>0</v>
      </c>
      <c r="M38" s="1573">
        <f>M39+M41</f>
        <v>741770</v>
      </c>
      <c r="N38" s="1573">
        <f>N39+N41</f>
        <v>597244</v>
      </c>
      <c r="O38" s="4054"/>
    </row>
    <row r="39" spans="1:15" ht="11.25" customHeight="1">
      <c r="A39" s="4034"/>
      <c r="B39" s="1621" t="s">
        <v>24</v>
      </c>
      <c r="C39" s="4100" t="s">
        <v>132</v>
      </c>
      <c r="D39" s="1428">
        <f>+D40</f>
        <v>640352</v>
      </c>
      <c r="E39" s="1428">
        <f t="shared" ref="E39:L39" si="35">+E40</f>
        <v>274500</v>
      </c>
      <c r="F39" s="1428">
        <f t="shared" si="35"/>
        <v>67232</v>
      </c>
      <c r="G39" s="1428">
        <f t="shared" si="35"/>
        <v>99540</v>
      </c>
      <c r="H39" s="2534">
        <f t="shared" si="35"/>
        <v>99540</v>
      </c>
      <c r="I39" s="2534">
        <f t="shared" si="35"/>
        <v>99540</v>
      </c>
      <c r="J39" s="2534">
        <f t="shared" si="35"/>
        <v>0</v>
      </c>
      <c r="K39" s="2534">
        <f t="shared" si="35"/>
        <v>0</v>
      </c>
      <c r="L39" s="2534">
        <f t="shared" si="35"/>
        <v>0</v>
      </c>
      <c r="M39" s="1429">
        <f>+M40</f>
        <v>365852</v>
      </c>
      <c r="N39" s="1429">
        <f>+N40</f>
        <v>298620</v>
      </c>
      <c r="O39" s="4054"/>
    </row>
    <row r="40" spans="1:15" ht="13.5" customHeight="1">
      <c r="A40" s="4034"/>
      <c r="B40" s="1622" t="s">
        <v>12</v>
      </c>
      <c r="C40" s="4093"/>
      <c r="D40" s="839">
        <f>E40+F40+G40+H40+I40+J40+K40+L40</f>
        <v>640352</v>
      </c>
      <c r="E40" s="1729">
        <f>274500</f>
        <v>274500</v>
      </c>
      <c r="F40" s="169">
        <f>69883+5032-7683</f>
        <v>67232</v>
      </c>
      <c r="G40" s="169">
        <v>99540</v>
      </c>
      <c r="H40" s="2535">
        <v>99540</v>
      </c>
      <c r="I40" s="2535">
        <v>99540</v>
      </c>
      <c r="J40" s="2535">
        <v>0</v>
      </c>
      <c r="K40" s="2535">
        <v>0</v>
      </c>
      <c r="L40" s="2535">
        <v>0</v>
      </c>
      <c r="M40" s="1722">
        <f>SUM(F40:K40)</f>
        <v>365852</v>
      </c>
      <c r="N40" s="1722">
        <f>SUM(G40:L40)</f>
        <v>298620</v>
      </c>
      <c r="O40" s="4054"/>
    </row>
    <row r="41" spans="1:15" ht="13.5" customHeight="1">
      <c r="A41" s="4034"/>
      <c r="B41" s="1624" t="s">
        <v>18</v>
      </c>
      <c r="C41" s="4093"/>
      <c r="D41" s="1433">
        <f>+D42</f>
        <v>695305</v>
      </c>
      <c r="E41" s="1433">
        <f t="shared" ref="E41:L41" si="36">E42</f>
        <v>319387</v>
      </c>
      <c r="F41" s="1433">
        <f t="shared" si="36"/>
        <v>77294</v>
      </c>
      <c r="G41" s="1433">
        <f t="shared" si="36"/>
        <v>99540</v>
      </c>
      <c r="H41" s="2536">
        <f t="shared" si="36"/>
        <v>99544</v>
      </c>
      <c r="I41" s="2536">
        <f t="shared" si="36"/>
        <v>99540</v>
      </c>
      <c r="J41" s="2536">
        <f t="shared" si="36"/>
        <v>0</v>
      </c>
      <c r="K41" s="2536">
        <f t="shared" si="36"/>
        <v>0</v>
      </c>
      <c r="L41" s="2536">
        <f t="shared" si="36"/>
        <v>0</v>
      </c>
      <c r="M41" s="1429">
        <f>+M42</f>
        <v>375918</v>
      </c>
      <c r="N41" s="1429">
        <f>+N42</f>
        <v>298624</v>
      </c>
      <c r="O41" s="4054"/>
    </row>
    <row r="42" spans="1:15" ht="12">
      <c r="A42" s="4034"/>
      <c r="B42" s="1625" t="s">
        <v>20</v>
      </c>
      <c r="C42" s="4058"/>
      <c r="D42" s="839">
        <f>E42+F42+G42+H42+I42+J42+K42+L42</f>
        <v>695305</v>
      </c>
      <c r="E42" s="1729">
        <f>319387</f>
        <v>319387</v>
      </c>
      <c r="F42" s="131">
        <f>75707+1591-4</f>
        <v>77294</v>
      </c>
      <c r="G42" s="131">
        <v>99540</v>
      </c>
      <c r="H42" s="2537">
        <f>99540+4</f>
        <v>99544</v>
      </c>
      <c r="I42" s="2537">
        <v>99540</v>
      </c>
      <c r="J42" s="2537">
        <v>0</v>
      </c>
      <c r="K42" s="2537">
        <v>0</v>
      </c>
      <c r="L42" s="2537">
        <v>0</v>
      </c>
      <c r="M42" s="1722">
        <f>SUM(F42:K42)</f>
        <v>375918</v>
      </c>
      <c r="N42" s="1722">
        <f>SUM(G42:L42)</f>
        <v>298624</v>
      </c>
      <c r="O42" s="4054"/>
    </row>
    <row r="43" spans="1:15" ht="13.5" customHeight="1">
      <c r="A43" s="4099"/>
      <c r="B43" s="1619" t="s">
        <v>22</v>
      </c>
      <c r="C43" s="1626"/>
      <c r="D43" s="1438">
        <f>+D46</f>
        <v>695305</v>
      </c>
      <c r="E43" s="1438">
        <f t="shared" ref="E43" si="37">E44+E46</f>
        <v>291312</v>
      </c>
      <c r="F43" s="1438">
        <f t="shared" ref="F43:L43" si="38">F44+F46</f>
        <v>79154</v>
      </c>
      <c r="G43" s="1438">
        <f t="shared" si="38"/>
        <v>95897</v>
      </c>
      <c r="H43" s="2533">
        <f t="shared" si="38"/>
        <v>99540</v>
      </c>
      <c r="I43" s="2533">
        <f t="shared" si="38"/>
        <v>99540</v>
      </c>
      <c r="J43" s="2533">
        <f t="shared" si="38"/>
        <v>29862</v>
      </c>
      <c r="K43" s="2533">
        <f t="shared" si="38"/>
        <v>0</v>
      </c>
      <c r="L43" s="2533">
        <f t="shared" si="38"/>
        <v>0</v>
      </c>
      <c r="M43" s="4052" t="s">
        <v>61</v>
      </c>
      <c r="N43" s="4052" t="s">
        <v>61</v>
      </c>
      <c r="O43" s="4054"/>
    </row>
    <row r="44" spans="1:15" ht="12" hidden="1" customHeight="1">
      <c r="A44" s="4099"/>
      <c r="B44" s="1627" t="s">
        <v>24</v>
      </c>
      <c r="C44" s="4100" t="s">
        <v>132</v>
      </c>
      <c r="D44" s="1428">
        <f t="shared" ref="D44:G44" si="39">D45</f>
        <v>0</v>
      </c>
      <c r="E44" s="1428">
        <f t="shared" si="39"/>
        <v>0</v>
      </c>
      <c r="F44" s="1428">
        <f t="shared" si="39"/>
        <v>0</v>
      </c>
      <c r="G44" s="1428">
        <f t="shared" si="39"/>
        <v>0</v>
      </c>
      <c r="H44" s="2534"/>
      <c r="I44" s="2534"/>
      <c r="J44" s="2534"/>
      <c r="K44" s="2534"/>
      <c r="L44" s="2534"/>
      <c r="M44" s="4042"/>
      <c r="N44" s="4042"/>
      <c r="O44" s="4054"/>
    </row>
    <row r="45" spans="1:15" ht="12" hidden="1" customHeight="1">
      <c r="A45" s="4099"/>
      <c r="B45" s="1628" t="s">
        <v>13</v>
      </c>
      <c r="C45" s="4093"/>
      <c r="D45" s="839">
        <f>E45+F45+G45+H45+I45+J45+K45+L45</f>
        <v>0</v>
      </c>
      <c r="E45" s="1440"/>
      <c r="F45" s="1440">
        <v>0</v>
      </c>
      <c r="G45" s="169">
        <v>0</v>
      </c>
      <c r="H45" s="2535"/>
      <c r="I45" s="2535"/>
      <c r="J45" s="2535"/>
      <c r="K45" s="2535"/>
      <c r="L45" s="2535"/>
      <c r="M45" s="4042"/>
      <c r="N45" s="4042"/>
      <c r="O45" s="4054"/>
    </row>
    <row r="46" spans="1:15" ht="13.5" customHeight="1">
      <c r="A46" s="4099"/>
      <c r="B46" s="1630" t="s">
        <v>18</v>
      </c>
      <c r="C46" s="4093"/>
      <c r="D46" s="1433">
        <f>+D47</f>
        <v>695305</v>
      </c>
      <c r="E46" s="1433">
        <f t="shared" ref="E46:L46" si="40">E47</f>
        <v>291312</v>
      </c>
      <c r="F46" s="1433">
        <f t="shared" si="40"/>
        <v>79154</v>
      </c>
      <c r="G46" s="1433">
        <f t="shared" si="40"/>
        <v>95897</v>
      </c>
      <c r="H46" s="2536">
        <f t="shared" si="40"/>
        <v>99540</v>
      </c>
      <c r="I46" s="2536">
        <f t="shared" si="40"/>
        <v>99540</v>
      </c>
      <c r="J46" s="2536">
        <f t="shared" si="40"/>
        <v>29862</v>
      </c>
      <c r="K46" s="2536">
        <f t="shared" si="40"/>
        <v>0</v>
      </c>
      <c r="L46" s="2536">
        <f t="shared" si="40"/>
        <v>0</v>
      </c>
      <c r="M46" s="4042"/>
      <c r="N46" s="4042"/>
      <c r="O46" s="4054"/>
    </row>
    <row r="47" spans="1:15" ht="12.75" customHeight="1" thickBot="1">
      <c r="A47" s="4035"/>
      <c r="B47" s="1631" t="s">
        <v>20</v>
      </c>
      <c r="C47" s="4059"/>
      <c r="D47" s="839">
        <f>E47+F47+G47+H47+I47+J47+K47+L47</f>
        <v>695305</v>
      </c>
      <c r="E47" s="1729">
        <f>291312</f>
        <v>291312</v>
      </c>
      <c r="F47" s="1728">
        <f>79186+1110-1142</f>
        <v>79154</v>
      </c>
      <c r="G47" s="1728">
        <f>24105-909+1881+69678+1142</f>
        <v>95897</v>
      </c>
      <c r="H47" s="2538">
        <v>99540</v>
      </c>
      <c r="I47" s="2538">
        <v>99540</v>
      </c>
      <c r="J47" s="2538">
        <v>29862</v>
      </c>
      <c r="K47" s="2538">
        <v>0</v>
      </c>
      <c r="L47" s="2538">
        <v>0</v>
      </c>
      <c r="M47" s="4043"/>
      <c r="N47" s="4043"/>
      <c r="O47" s="4055"/>
    </row>
    <row r="48" spans="1:15" ht="36" hidden="1" customHeight="1">
      <c r="A48" s="4033" t="s">
        <v>64</v>
      </c>
      <c r="B48" s="1616" t="s">
        <v>264</v>
      </c>
      <c r="C48" s="1617" t="s">
        <v>109</v>
      </c>
      <c r="D48" s="1719"/>
      <c r="E48" s="1720"/>
      <c r="F48" s="1720"/>
      <c r="G48" s="1720"/>
      <c r="H48" s="1720"/>
      <c r="I48" s="1720"/>
      <c r="J48" s="1720"/>
      <c r="K48" s="1720"/>
      <c r="L48" s="1720"/>
      <c r="M48" s="1721"/>
      <c r="N48" s="1721"/>
      <c r="O48" s="4036" t="s">
        <v>133</v>
      </c>
    </row>
    <row r="49" spans="1:15" ht="15" hidden="1" customHeight="1">
      <c r="A49" s="4034"/>
      <c r="B49" s="1619" t="s">
        <v>10</v>
      </c>
      <c r="C49" s="1620"/>
      <c r="D49" s="1438"/>
      <c r="E49" s="1438">
        <v>0</v>
      </c>
      <c r="F49" s="1438">
        <f t="shared" ref="F49:J50" si="41">F50</f>
        <v>0</v>
      </c>
      <c r="G49" s="1438">
        <f t="shared" ref="G49:L49" si="42">+G50+G52</f>
        <v>0</v>
      </c>
      <c r="H49" s="1438">
        <f t="shared" si="42"/>
        <v>0</v>
      </c>
      <c r="I49" s="1438">
        <f t="shared" si="42"/>
        <v>0</v>
      </c>
      <c r="J49" s="1438">
        <f t="shared" si="42"/>
        <v>0</v>
      </c>
      <c r="K49" s="1438">
        <f t="shared" si="42"/>
        <v>0</v>
      </c>
      <c r="L49" s="1438">
        <f t="shared" si="42"/>
        <v>0</v>
      </c>
      <c r="M49" s="1573">
        <f>M50</f>
        <v>0</v>
      </c>
      <c r="N49" s="1573" t="e">
        <f>N50</f>
        <v>#REF!</v>
      </c>
      <c r="O49" s="4037"/>
    </row>
    <row r="50" spans="1:15" ht="12" hidden="1">
      <c r="A50" s="4034"/>
      <c r="B50" s="1632" t="s">
        <v>18</v>
      </c>
      <c r="C50" s="4057" t="s">
        <v>134</v>
      </c>
      <c r="D50" s="1433"/>
      <c r="E50" s="1433">
        <v>0</v>
      </c>
      <c r="F50" s="1433">
        <f t="shared" si="41"/>
        <v>0</v>
      </c>
      <c r="G50" s="1433">
        <f t="shared" si="41"/>
        <v>0</v>
      </c>
      <c r="H50" s="1433">
        <f t="shared" si="41"/>
        <v>0</v>
      </c>
      <c r="I50" s="1433">
        <f t="shared" si="41"/>
        <v>0</v>
      </c>
      <c r="J50" s="1433">
        <f t="shared" si="41"/>
        <v>0</v>
      </c>
      <c r="K50" s="1433">
        <f>K51</f>
        <v>0</v>
      </c>
      <c r="L50" s="1433">
        <f>L51</f>
        <v>0</v>
      </c>
      <c r="M50" s="1429">
        <f>+M51</f>
        <v>0</v>
      </c>
      <c r="N50" s="1429" t="e">
        <f>+N51</f>
        <v>#REF!</v>
      </c>
      <c r="O50" s="4037"/>
    </row>
    <row r="51" spans="1:15" ht="12" hidden="1">
      <c r="A51" s="4034"/>
      <c r="B51" s="1633" t="s">
        <v>20</v>
      </c>
      <c r="C51" s="4058"/>
      <c r="D51" s="1431"/>
      <c r="E51" s="1431">
        <v>0</v>
      </c>
      <c r="F51" s="131">
        <v>0</v>
      </c>
      <c r="G51" s="131">
        <v>0</v>
      </c>
      <c r="H51" s="131">
        <v>0</v>
      </c>
      <c r="I51" s="131">
        <v>0</v>
      </c>
      <c r="J51" s="131">
        <v>0</v>
      </c>
      <c r="K51" s="131">
        <v>0</v>
      </c>
      <c r="L51" s="131">
        <v>0</v>
      </c>
      <c r="M51" s="1722">
        <f>SUM(F51:K51)</f>
        <v>0</v>
      </c>
      <c r="N51" s="1722" t="e">
        <f>+I51+H51+G51+F51+#REF!</f>
        <v>#REF!</v>
      </c>
      <c r="O51" s="4037"/>
    </row>
    <row r="52" spans="1:15" ht="15" hidden="1" customHeight="1">
      <c r="A52" s="4034"/>
      <c r="B52" s="1634" t="s">
        <v>22</v>
      </c>
      <c r="C52" s="1635"/>
      <c r="D52" s="1438"/>
      <c r="E52" s="1438">
        <v>0</v>
      </c>
      <c r="F52" s="1438">
        <f t="shared" ref="F52:L52" si="43">F53+F99</f>
        <v>0</v>
      </c>
      <c r="G52" s="1438">
        <f t="shared" si="43"/>
        <v>0</v>
      </c>
      <c r="H52" s="1438">
        <f t="shared" si="43"/>
        <v>0</v>
      </c>
      <c r="I52" s="1438">
        <f t="shared" si="43"/>
        <v>0</v>
      </c>
      <c r="J52" s="1438">
        <f t="shared" si="43"/>
        <v>0</v>
      </c>
      <c r="K52" s="1438">
        <f t="shared" si="43"/>
        <v>0</v>
      </c>
      <c r="L52" s="1438">
        <f t="shared" si="43"/>
        <v>0</v>
      </c>
      <c r="M52" s="4052" t="s">
        <v>61</v>
      </c>
      <c r="N52" s="4052" t="s">
        <v>61</v>
      </c>
      <c r="O52" s="4037"/>
    </row>
    <row r="53" spans="1:15" ht="12" hidden="1">
      <c r="A53" s="4034"/>
      <c r="B53" s="1632" t="s">
        <v>18</v>
      </c>
      <c r="C53" s="4057" t="s">
        <v>134</v>
      </c>
      <c r="D53" s="1433"/>
      <c r="E53" s="1433">
        <v>0</v>
      </c>
      <c r="F53" s="1433">
        <f t="shared" ref="F53:L53" si="44">F54</f>
        <v>0</v>
      </c>
      <c r="G53" s="1433">
        <f t="shared" si="44"/>
        <v>0</v>
      </c>
      <c r="H53" s="1433">
        <f t="shared" si="44"/>
        <v>0</v>
      </c>
      <c r="I53" s="1433">
        <f t="shared" si="44"/>
        <v>0</v>
      </c>
      <c r="J53" s="1433">
        <f t="shared" si="44"/>
        <v>0</v>
      </c>
      <c r="K53" s="1433">
        <f t="shared" si="44"/>
        <v>0</v>
      </c>
      <c r="L53" s="1433">
        <f t="shared" si="44"/>
        <v>0</v>
      </c>
      <c r="M53" s="4042"/>
      <c r="N53" s="4042"/>
      <c r="O53" s="4037"/>
    </row>
    <row r="54" spans="1:15" ht="12.75" hidden="1" thickBot="1">
      <c r="A54" s="4035"/>
      <c r="B54" s="1636" t="s">
        <v>20</v>
      </c>
      <c r="C54" s="4059"/>
      <c r="D54" s="1431"/>
      <c r="E54" s="1431">
        <v>0</v>
      </c>
      <c r="F54" s="1728">
        <v>0</v>
      </c>
      <c r="G54" s="1728">
        <v>0</v>
      </c>
      <c r="H54" s="1728">
        <v>0</v>
      </c>
      <c r="I54" s="1728">
        <v>0</v>
      </c>
      <c r="J54" s="1728">
        <v>0</v>
      </c>
      <c r="K54" s="1728">
        <v>0</v>
      </c>
      <c r="L54" s="1728">
        <v>0</v>
      </c>
      <c r="M54" s="4043"/>
      <c r="N54" s="4043"/>
      <c r="O54" s="4056"/>
    </row>
    <row r="55" spans="1:15" ht="42.75" hidden="1" customHeight="1">
      <c r="A55" s="4033" t="s">
        <v>64</v>
      </c>
      <c r="B55" s="1616" t="s">
        <v>435</v>
      </c>
      <c r="C55" s="1617" t="s">
        <v>109</v>
      </c>
      <c r="D55" s="1719"/>
      <c r="E55" s="1720"/>
      <c r="F55" s="1720"/>
      <c r="G55" s="1720"/>
      <c r="H55" s="1720"/>
      <c r="I55" s="1720"/>
      <c r="J55" s="1720"/>
      <c r="K55" s="1720"/>
      <c r="L55" s="1720"/>
      <c r="M55" s="1721"/>
      <c r="N55" s="1721"/>
      <c r="O55" s="4036" t="s">
        <v>133</v>
      </c>
    </row>
    <row r="56" spans="1:15" ht="15" hidden="1" customHeight="1">
      <c r="A56" s="4034"/>
      <c r="B56" s="1619" t="s">
        <v>10</v>
      </c>
      <c r="C56" s="1620"/>
      <c r="D56" s="1438">
        <f>D57</f>
        <v>0</v>
      </c>
      <c r="E56" s="1438">
        <f t="shared" ref="E56:J57" si="45">E57</f>
        <v>0</v>
      </c>
      <c r="F56" s="1438">
        <f t="shared" si="45"/>
        <v>0</v>
      </c>
      <c r="G56" s="1438">
        <f t="shared" ref="G56:L56" si="46">+G57+G59</f>
        <v>0</v>
      </c>
      <c r="H56" s="1438">
        <f t="shared" si="46"/>
        <v>0</v>
      </c>
      <c r="I56" s="1438">
        <f t="shared" si="46"/>
        <v>0</v>
      </c>
      <c r="J56" s="1438">
        <f t="shared" si="46"/>
        <v>0</v>
      </c>
      <c r="K56" s="1438">
        <f t="shared" si="46"/>
        <v>0</v>
      </c>
      <c r="L56" s="1438">
        <f t="shared" si="46"/>
        <v>0</v>
      </c>
      <c r="M56" s="1573">
        <f>M57</f>
        <v>0</v>
      </c>
      <c r="N56" s="1573">
        <f>N57</f>
        <v>0</v>
      </c>
      <c r="O56" s="4037"/>
    </row>
    <row r="57" spans="1:15" ht="12" hidden="1">
      <c r="A57" s="4034"/>
      <c r="B57" s="1632" t="s">
        <v>18</v>
      </c>
      <c r="C57" s="4057" t="s">
        <v>134</v>
      </c>
      <c r="D57" s="1433">
        <f>+D58</f>
        <v>0</v>
      </c>
      <c r="E57" s="1433">
        <f t="shared" si="45"/>
        <v>0</v>
      </c>
      <c r="F57" s="1433">
        <f t="shared" si="45"/>
        <v>0</v>
      </c>
      <c r="G57" s="1433">
        <f t="shared" si="45"/>
        <v>0</v>
      </c>
      <c r="H57" s="1433">
        <f t="shared" si="45"/>
        <v>0</v>
      </c>
      <c r="I57" s="1433">
        <f t="shared" si="45"/>
        <v>0</v>
      </c>
      <c r="J57" s="1433">
        <f t="shared" si="45"/>
        <v>0</v>
      </c>
      <c r="K57" s="1433">
        <f>K58</f>
        <v>0</v>
      </c>
      <c r="L57" s="1433">
        <f>L58</f>
        <v>0</v>
      </c>
      <c r="M57" s="1429">
        <f>+M58</f>
        <v>0</v>
      </c>
      <c r="N57" s="1429">
        <f>+N58</f>
        <v>0</v>
      </c>
      <c r="O57" s="4037"/>
    </row>
    <row r="58" spans="1:15" ht="12" hidden="1">
      <c r="A58" s="4034"/>
      <c r="B58" s="1633" t="s">
        <v>20</v>
      </c>
      <c r="C58" s="4058"/>
      <c r="D58" s="839">
        <v>0</v>
      </c>
      <c r="E58" s="1729">
        <v>0</v>
      </c>
      <c r="F58" s="131">
        <v>0</v>
      </c>
      <c r="G58" s="131">
        <v>0</v>
      </c>
      <c r="H58" s="131">
        <v>0</v>
      </c>
      <c r="I58" s="131">
        <v>0</v>
      </c>
      <c r="J58" s="131">
        <v>0</v>
      </c>
      <c r="K58" s="131">
        <v>0</v>
      </c>
      <c r="L58" s="131">
        <v>0</v>
      </c>
      <c r="M58" s="1722">
        <f>SUM(F58:K58)</f>
        <v>0</v>
      </c>
      <c r="N58" s="1722">
        <f>SUM(G58:L58)</f>
        <v>0</v>
      </c>
      <c r="O58" s="4037"/>
    </row>
    <row r="59" spans="1:15" ht="15" hidden="1" customHeight="1">
      <c r="A59" s="4034"/>
      <c r="B59" s="1634" t="s">
        <v>22</v>
      </c>
      <c r="C59" s="1635"/>
      <c r="D59" s="1438">
        <f>+D60</f>
        <v>0</v>
      </c>
      <c r="E59" s="1438">
        <f t="shared" ref="E59" si="47">+E60</f>
        <v>0</v>
      </c>
      <c r="F59" s="1438">
        <f t="shared" ref="F59:I59" si="48">F60</f>
        <v>0</v>
      </c>
      <c r="G59" s="1438">
        <f t="shared" si="48"/>
        <v>0</v>
      </c>
      <c r="H59" s="1438">
        <f t="shared" si="48"/>
        <v>0</v>
      </c>
      <c r="I59" s="1438">
        <f t="shared" si="48"/>
        <v>0</v>
      </c>
      <c r="J59" s="1438"/>
      <c r="K59" s="1438"/>
      <c r="L59" s="1438"/>
      <c r="M59" s="4052" t="s">
        <v>61</v>
      </c>
      <c r="N59" s="4052" t="s">
        <v>61</v>
      </c>
      <c r="O59" s="4037"/>
    </row>
    <row r="60" spans="1:15" ht="12" hidden="1">
      <c r="A60" s="4034"/>
      <c r="B60" s="1632" t="s">
        <v>18</v>
      </c>
      <c r="C60" s="4057" t="s">
        <v>134</v>
      </c>
      <c r="D60" s="1433">
        <f>+D61</f>
        <v>0</v>
      </c>
      <c r="E60" s="1433">
        <f t="shared" ref="E60:L60" si="49">E61</f>
        <v>0</v>
      </c>
      <c r="F60" s="1433">
        <f t="shared" si="49"/>
        <v>0</v>
      </c>
      <c r="G60" s="1433">
        <f t="shared" si="49"/>
        <v>0</v>
      </c>
      <c r="H60" s="1433">
        <f t="shared" si="49"/>
        <v>0</v>
      </c>
      <c r="I60" s="1433">
        <f t="shared" si="49"/>
        <v>0</v>
      </c>
      <c r="J60" s="1433">
        <f t="shared" si="49"/>
        <v>0</v>
      </c>
      <c r="K60" s="1433">
        <f t="shared" si="49"/>
        <v>0</v>
      </c>
      <c r="L60" s="1433">
        <f t="shared" si="49"/>
        <v>0</v>
      </c>
      <c r="M60" s="4042"/>
      <c r="N60" s="4042"/>
      <c r="O60" s="4037"/>
    </row>
    <row r="61" spans="1:15" ht="12.75" hidden="1" thickBot="1">
      <c r="A61" s="4035"/>
      <c r="B61" s="1636" t="s">
        <v>20</v>
      </c>
      <c r="C61" s="4059"/>
      <c r="D61" s="839">
        <f>E61+F61+G61+H61+I61+J61+K61+L61</f>
        <v>0</v>
      </c>
      <c r="E61" s="1729">
        <v>0</v>
      </c>
      <c r="F61" s="1728">
        <v>0</v>
      </c>
      <c r="G61" s="1728">
        <v>0</v>
      </c>
      <c r="H61" s="1728">
        <v>0</v>
      </c>
      <c r="I61" s="1728">
        <v>0</v>
      </c>
      <c r="J61" s="1728">
        <v>0</v>
      </c>
      <c r="K61" s="1728">
        <v>0</v>
      </c>
      <c r="L61" s="1728">
        <v>0</v>
      </c>
      <c r="M61" s="4043"/>
      <c r="N61" s="4043"/>
      <c r="O61" s="4056"/>
    </row>
    <row r="62" spans="1:15" ht="26.25" hidden="1" customHeight="1">
      <c r="A62" s="4033" t="s">
        <v>65</v>
      </c>
      <c r="B62" s="1616" t="s">
        <v>309</v>
      </c>
      <c r="C62" s="1617" t="s">
        <v>109</v>
      </c>
      <c r="D62" s="1719"/>
      <c r="E62" s="1720"/>
      <c r="F62" s="1720"/>
      <c r="G62" s="1720"/>
      <c r="H62" s="1720"/>
      <c r="I62" s="1720"/>
      <c r="J62" s="1720"/>
      <c r="K62" s="1720"/>
      <c r="L62" s="1720"/>
      <c r="M62" s="1721"/>
      <c r="N62" s="1721"/>
      <c r="O62" s="4036" t="s">
        <v>227</v>
      </c>
    </row>
    <row r="63" spans="1:15" ht="15" hidden="1" customHeight="1">
      <c r="A63" s="4034"/>
      <c r="B63" s="1619" t="s">
        <v>10</v>
      </c>
      <c r="C63" s="1620"/>
      <c r="D63" s="1438"/>
      <c r="E63" s="1438">
        <v>0</v>
      </c>
      <c r="F63" s="1438">
        <f t="shared" ref="F63:J64" si="50">F64</f>
        <v>0</v>
      </c>
      <c r="G63" s="1438">
        <f t="shared" ref="G63:L63" si="51">+G64+G66</f>
        <v>0</v>
      </c>
      <c r="H63" s="1438">
        <f t="shared" si="51"/>
        <v>0</v>
      </c>
      <c r="I63" s="1438">
        <f t="shared" si="51"/>
        <v>0</v>
      </c>
      <c r="J63" s="1438">
        <f t="shared" si="51"/>
        <v>0</v>
      </c>
      <c r="K63" s="1438">
        <f t="shared" si="51"/>
        <v>0</v>
      </c>
      <c r="L63" s="1438">
        <f t="shared" si="51"/>
        <v>0</v>
      </c>
      <c r="M63" s="1573">
        <f>M64</f>
        <v>0</v>
      </c>
      <c r="N63" s="1573">
        <f>N64</f>
        <v>0</v>
      </c>
      <c r="O63" s="4037"/>
    </row>
    <row r="64" spans="1:15" ht="12.75" hidden="1" thickBot="1">
      <c r="A64" s="4034"/>
      <c r="B64" s="1632" t="s">
        <v>18</v>
      </c>
      <c r="C64" s="4057" t="s">
        <v>228</v>
      </c>
      <c r="D64" s="1433"/>
      <c r="E64" s="1433">
        <v>0</v>
      </c>
      <c r="F64" s="1433">
        <f t="shared" si="50"/>
        <v>0</v>
      </c>
      <c r="G64" s="1433">
        <f t="shared" si="50"/>
        <v>0</v>
      </c>
      <c r="H64" s="1433">
        <f t="shared" si="50"/>
        <v>0</v>
      </c>
      <c r="I64" s="1433">
        <f t="shared" si="50"/>
        <v>0</v>
      </c>
      <c r="J64" s="1433">
        <f t="shared" si="50"/>
        <v>0</v>
      </c>
      <c r="K64" s="1433">
        <f>K65</f>
        <v>0</v>
      </c>
      <c r="L64" s="1433">
        <f>L65</f>
        <v>0</v>
      </c>
      <c r="M64" s="1429">
        <f>+M65</f>
        <v>0</v>
      </c>
      <c r="N64" s="1429">
        <f>+N65</f>
        <v>0</v>
      </c>
      <c r="O64" s="4037"/>
    </row>
    <row r="65" spans="1:16" ht="12.75" hidden="1" thickBot="1">
      <c r="A65" s="4034"/>
      <c r="B65" s="1633" t="s">
        <v>20</v>
      </c>
      <c r="C65" s="4058"/>
      <c r="D65" s="1730"/>
      <c r="E65" s="1729">
        <v>0</v>
      </c>
      <c r="F65" s="131">
        <v>0</v>
      </c>
      <c r="G65" s="131">
        <v>0</v>
      </c>
      <c r="H65" s="131">
        <v>0</v>
      </c>
      <c r="I65" s="131">
        <v>0</v>
      </c>
      <c r="J65" s="131">
        <v>0</v>
      </c>
      <c r="K65" s="131">
        <v>0</v>
      </c>
      <c r="L65" s="131">
        <v>0</v>
      </c>
      <c r="M65" s="1722">
        <f>SUM(E65:K65)</f>
        <v>0</v>
      </c>
      <c r="N65" s="1722">
        <f>SUM(F65:L65)</f>
        <v>0</v>
      </c>
      <c r="O65" s="4037"/>
    </row>
    <row r="66" spans="1:16" ht="15" hidden="1" customHeight="1">
      <c r="A66" s="4034"/>
      <c r="B66" s="1634" t="s">
        <v>22</v>
      </c>
      <c r="C66" s="1635"/>
      <c r="D66" s="1731"/>
      <c r="E66" s="1438">
        <v>0</v>
      </c>
      <c r="F66" s="1438">
        <f t="shared" ref="F66:L66" si="52">F67+F113</f>
        <v>0</v>
      </c>
      <c r="G66" s="1438">
        <f t="shared" si="52"/>
        <v>0</v>
      </c>
      <c r="H66" s="1438">
        <f t="shared" si="52"/>
        <v>0</v>
      </c>
      <c r="I66" s="1438">
        <f t="shared" si="52"/>
        <v>0</v>
      </c>
      <c r="J66" s="1438">
        <f t="shared" si="52"/>
        <v>0</v>
      </c>
      <c r="K66" s="1438">
        <f t="shared" si="52"/>
        <v>0</v>
      </c>
      <c r="L66" s="1438">
        <f t="shared" si="52"/>
        <v>0</v>
      </c>
      <c r="M66" s="4052" t="s">
        <v>61</v>
      </c>
      <c r="N66" s="4052" t="s">
        <v>61</v>
      </c>
      <c r="O66" s="4037"/>
    </row>
    <row r="67" spans="1:16" ht="12.75" hidden="1" thickBot="1">
      <c r="A67" s="4034"/>
      <c r="B67" s="1632" t="s">
        <v>18</v>
      </c>
      <c r="C67" s="4057" t="s">
        <v>228</v>
      </c>
      <c r="D67" s="1433"/>
      <c r="E67" s="1433">
        <v>0</v>
      </c>
      <c r="F67" s="1433">
        <f t="shared" ref="F67:L67" si="53">F68</f>
        <v>0</v>
      </c>
      <c r="G67" s="1433">
        <f t="shared" si="53"/>
        <v>0</v>
      </c>
      <c r="H67" s="1433">
        <f t="shared" si="53"/>
        <v>0</v>
      </c>
      <c r="I67" s="1433">
        <f t="shared" si="53"/>
        <v>0</v>
      </c>
      <c r="J67" s="1433">
        <f t="shared" si="53"/>
        <v>0</v>
      </c>
      <c r="K67" s="1433">
        <f t="shared" si="53"/>
        <v>0</v>
      </c>
      <c r="L67" s="1433">
        <f t="shared" si="53"/>
        <v>0</v>
      </c>
      <c r="M67" s="4042"/>
      <c r="N67" s="4042"/>
      <c r="O67" s="4037"/>
    </row>
    <row r="68" spans="1:16" ht="12.75" hidden="1" thickBot="1">
      <c r="A68" s="4035"/>
      <c r="B68" s="1636" t="s">
        <v>20</v>
      </c>
      <c r="C68" s="4059"/>
      <c r="D68" s="1730"/>
      <c r="E68" s="1729">
        <v>0</v>
      </c>
      <c r="F68" s="1728">
        <v>0</v>
      </c>
      <c r="G68" s="1728">
        <v>0</v>
      </c>
      <c r="H68" s="1728">
        <v>0</v>
      </c>
      <c r="I68" s="1728">
        <v>0</v>
      </c>
      <c r="J68" s="1728">
        <v>0</v>
      </c>
      <c r="K68" s="1728">
        <v>0</v>
      </c>
      <c r="L68" s="1728">
        <v>0</v>
      </c>
      <c r="M68" s="4043"/>
      <c r="N68" s="4043"/>
      <c r="O68" s="4056"/>
    </row>
    <row r="69" spans="1:16" ht="26.25" customHeight="1">
      <c r="A69" s="4033" t="s">
        <v>64</v>
      </c>
      <c r="B69" s="1616" t="s">
        <v>453</v>
      </c>
      <c r="C69" s="1617" t="s">
        <v>109</v>
      </c>
      <c r="D69" s="182"/>
      <c r="E69" s="382"/>
      <c r="F69" s="382"/>
      <c r="G69" s="382"/>
      <c r="H69" s="382"/>
      <c r="I69" s="382"/>
      <c r="J69" s="382"/>
      <c r="K69" s="382"/>
      <c r="L69" s="2692"/>
      <c r="M69" s="1721"/>
      <c r="N69" s="1721"/>
      <c r="O69" s="4036" t="s">
        <v>131</v>
      </c>
    </row>
    <row r="70" spans="1:16" ht="15" customHeight="1">
      <c r="A70" s="4034"/>
      <c r="B70" s="1619" t="s">
        <v>10</v>
      </c>
      <c r="C70" s="1620"/>
      <c r="D70" s="1438">
        <f>+D71</f>
        <v>50733</v>
      </c>
      <c r="E70" s="1438">
        <f t="shared" ref="E70:E71" si="54">+E71</f>
        <v>803</v>
      </c>
      <c r="F70" s="1438">
        <f>+F71</f>
        <v>20291</v>
      </c>
      <c r="G70" s="1438">
        <f>+G71</f>
        <v>29639</v>
      </c>
      <c r="H70" s="1438"/>
      <c r="I70" s="1438"/>
      <c r="J70" s="1438"/>
      <c r="K70" s="1438"/>
      <c r="L70" s="1438"/>
      <c r="M70" s="1573">
        <f>+M71</f>
        <v>49930</v>
      </c>
      <c r="N70" s="1573">
        <f>+N71</f>
        <v>29639</v>
      </c>
      <c r="O70" s="4037"/>
    </row>
    <row r="71" spans="1:16" ht="12">
      <c r="A71" s="4034"/>
      <c r="B71" s="1632" t="s">
        <v>18</v>
      </c>
      <c r="C71" s="4057" t="s">
        <v>132</v>
      </c>
      <c r="D71" s="1433">
        <f>+D72</f>
        <v>50733</v>
      </c>
      <c r="E71" s="1433">
        <f t="shared" si="54"/>
        <v>803</v>
      </c>
      <c r="F71" s="1433">
        <f>+F72</f>
        <v>20291</v>
      </c>
      <c r="G71" s="1433">
        <f>+G72</f>
        <v>29639</v>
      </c>
      <c r="H71" s="1433"/>
      <c r="I71" s="1433"/>
      <c r="J71" s="1433"/>
      <c r="K71" s="1433"/>
      <c r="L71" s="1433"/>
      <c r="M71" s="1429">
        <f>+M72</f>
        <v>49930</v>
      </c>
      <c r="N71" s="1429">
        <f>+N72</f>
        <v>29639</v>
      </c>
      <c r="O71" s="4037"/>
    </row>
    <row r="72" spans="1:16" ht="12">
      <c r="A72" s="4034"/>
      <c r="B72" s="1633" t="s">
        <v>20</v>
      </c>
      <c r="C72" s="4058"/>
      <c r="D72" s="1458">
        <f>E72+F72+G72+H72+I72+J72+K72+L72</f>
        <v>50733</v>
      </c>
      <c r="E72" s="1729">
        <f>803</f>
        <v>803</v>
      </c>
      <c r="F72" s="131">
        <f>4200+3397+21882-9188</f>
        <v>20291</v>
      </c>
      <c r="G72" s="131">
        <f>21882+7757</f>
        <v>29639</v>
      </c>
      <c r="H72" s="131"/>
      <c r="I72" s="131"/>
      <c r="J72" s="131"/>
      <c r="K72" s="131"/>
      <c r="L72" s="131"/>
      <c r="M72" s="1722">
        <f>SUM(F72:K72)</f>
        <v>49930</v>
      </c>
      <c r="N72" s="1722">
        <f>SUM(G72:L72)</f>
        <v>29639</v>
      </c>
      <c r="O72" s="4037"/>
    </row>
    <row r="73" spans="1:16" ht="15" customHeight="1">
      <c r="A73" s="4034"/>
      <c r="B73" s="1634" t="s">
        <v>22</v>
      </c>
      <c r="C73" s="1635"/>
      <c r="D73" s="1731">
        <f>+D74</f>
        <v>50733</v>
      </c>
      <c r="E73" s="1731">
        <f t="shared" ref="E73:E74" si="55">+E74</f>
        <v>803</v>
      </c>
      <c r="F73" s="1438">
        <f>+F74</f>
        <v>28048</v>
      </c>
      <c r="G73" s="1438">
        <f>+G74</f>
        <v>21882</v>
      </c>
      <c r="H73" s="1438"/>
      <c r="I73" s="1438"/>
      <c r="J73" s="1438"/>
      <c r="K73" s="1438"/>
      <c r="L73" s="1438"/>
      <c r="M73" s="4052"/>
      <c r="N73" s="4052"/>
      <c r="O73" s="4037"/>
    </row>
    <row r="74" spans="1:16" ht="12">
      <c r="A74" s="4034"/>
      <c r="B74" s="1632" t="s">
        <v>18</v>
      </c>
      <c r="C74" s="4057" t="s">
        <v>132</v>
      </c>
      <c r="D74" s="1433">
        <f>+D75</f>
        <v>50733</v>
      </c>
      <c r="E74" s="1433">
        <f t="shared" si="55"/>
        <v>803</v>
      </c>
      <c r="F74" s="1433">
        <f>+F75</f>
        <v>28048</v>
      </c>
      <c r="G74" s="1433">
        <f>+G75</f>
        <v>21882</v>
      </c>
      <c r="H74" s="1433"/>
      <c r="I74" s="1433"/>
      <c r="J74" s="1433"/>
      <c r="K74" s="1433"/>
      <c r="L74" s="1433"/>
      <c r="M74" s="4042"/>
      <c r="N74" s="4042"/>
      <c r="O74" s="4037"/>
    </row>
    <row r="75" spans="1:16" ht="12.75" thickBot="1">
      <c r="A75" s="4035"/>
      <c r="B75" s="1636" t="s">
        <v>20</v>
      </c>
      <c r="C75" s="4059"/>
      <c r="D75" s="1578">
        <f>E75+F75+G75+H75+I75+J75+K75+L75</f>
        <v>50733</v>
      </c>
      <c r="E75" s="1767">
        <f>803</f>
        <v>803</v>
      </c>
      <c r="F75" s="1728">
        <f>4200+3397+21882-1431</f>
        <v>28048</v>
      </c>
      <c r="G75" s="1728">
        <v>21882</v>
      </c>
      <c r="H75" s="1728"/>
      <c r="I75" s="1728"/>
      <c r="J75" s="1728"/>
      <c r="K75" s="1728"/>
      <c r="L75" s="1728"/>
      <c r="M75" s="4043"/>
      <c r="N75" s="4043"/>
      <c r="O75" s="4056"/>
    </row>
    <row r="76" spans="1:16" ht="27" customHeight="1">
      <c r="A76" s="4033" t="s">
        <v>65</v>
      </c>
      <c r="B76" s="1616" t="s">
        <v>467</v>
      </c>
      <c r="C76" s="1617" t="s">
        <v>109</v>
      </c>
      <c r="D76" s="182"/>
      <c r="E76" s="382"/>
      <c r="F76" s="382"/>
      <c r="G76" s="382"/>
      <c r="H76" s="382"/>
      <c r="I76" s="382"/>
      <c r="J76" s="382"/>
      <c r="K76" s="382"/>
      <c r="L76" s="2692"/>
      <c r="M76" s="1721"/>
      <c r="N76" s="1721"/>
      <c r="O76" s="4036" t="s">
        <v>282</v>
      </c>
    </row>
    <row r="77" spans="1:16" ht="12">
      <c r="A77" s="4034"/>
      <c r="B77" s="2440" t="s">
        <v>10</v>
      </c>
      <c r="C77" s="1620"/>
      <c r="D77" s="602">
        <f t="shared" ref="D77:L77" si="56">+D78+D80</f>
        <v>250000</v>
      </c>
      <c r="E77" s="602">
        <f t="shared" si="56"/>
        <v>0</v>
      </c>
      <c r="F77" s="602">
        <f t="shared" si="56"/>
        <v>0</v>
      </c>
      <c r="G77" s="602">
        <f t="shared" si="56"/>
        <v>224590</v>
      </c>
      <c r="H77" s="602">
        <f t="shared" si="56"/>
        <v>25410</v>
      </c>
      <c r="I77" s="602">
        <f t="shared" si="56"/>
        <v>0</v>
      </c>
      <c r="J77" s="602">
        <f t="shared" si="56"/>
        <v>0</v>
      </c>
      <c r="K77" s="602">
        <f t="shared" si="56"/>
        <v>0</v>
      </c>
      <c r="L77" s="602">
        <f t="shared" si="56"/>
        <v>0</v>
      </c>
      <c r="M77" s="2248" t="e">
        <f>+#REF!</f>
        <v>#REF!</v>
      </c>
      <c r="N77" s="2248">
        <f>+N78+N80</f>
        <v>250000</v>
      </c>
      <c r="O77" s="4037"/>
      <c r="P77" s="1581" t="s">
        <v>522</v>
      </c>
    </row>
    <row r="78" spans="1:16" ht="12">
      <c r="A78" s="4034"/>
      <c r="B78" s="2478" t="s">
        <v>24</v>
      </c>
      <c r="C78" s="4046" t="s">
        <v>148</v>
      </c>
      <c r="D78" s="2539">
        <f>+D79</f>
        <v>39300</v>
      </c>
      <c r="E78" s="2539">
        <f>+E79</f>
        <v>0</v>
      </c>
      <c r="F78" s="2539">
        <f t="shared" ref="F78:L78" si="57">+F79</f>
        <v>0</v>
      </c>
      <c r="G78" s="2539">
        <f t="shared" si="57"/>
        <v>35306</v>
      </c>
      <c r="H78" s="2539">
        <f t="shared" si="57"/>
        <v>3994</v>
      </c>
      <c r="I78" s="2539">
        <f t="shared" si="57"/>
        <v>0</v>
      </c>
      <c r="J78" s="2539">
        <f t="shared" si="57"/>
        <v>0</v>
      </c>
      <c r="K78" s="2539">
        <f t="shared" si="57"/>
        <v>0</v>
      </c>
      <c r="L78" s="2539">
        <f t="shared" si="57"/>
        <v>0</v>
      </c>
      <c r="M78" s="2248"/>
      <c r="N78" s="2248">
        <f>+N79</f>
        <v>39300</v>
      </c>
      <c r="O78" s="4037"/>
    </row>
    <row r="79" spans="1:16" ht="12">
      <c r="A79" s="4034"/>
      <c r="B79" s="168" t="s">
        <v>13</v>
      </c>
      <c r="C79" s="4047"/>
      <c r="D79" s="2051">
        <f>E79+F79+G79+H79+I79+J79+K79+L79</f>
        <v>39300</v>
      </c>
      <c r="E79" s="2051">
        <v>0</v>
      </c>
      <c r="F79" s="2051">
        <v>0</v>
      </c>
      <c r="G79" s="2051">
        <v>35306</v>
      </c>
      <c r="H79" s="2051">
        <v>3994</v>
      </c>
      <c r="I79" s="2051"/>
      <c r="J79" s="2051"/>
      <c r="K79" s="2051"/>
      <c r="L79" s="2051"/>
      <c r="M79" s="2248"/>
      <c r="N79" s="2540">
        <f>SUM(G79:L79)</f>
        <v>39300</v>
      </c>
      <c r="O79" s="4037"/>
    </row>
    <row r="80" spans="1:16" ht="12">
      <c r="A80" s="4034"/>
      <c r="B80" s="2407" t="s">
        <v>18</v>
      </c>
      <c r="C80" s="4047"/>
      <c r="D80" s="2539">
        <f>+D81</f>
        <v>210700</v>
      </c>
      <c r="E80" s="2539">
        <f t="shared" ref="E80:L80" si="58">+E81</f>
        <v>0</v>
      </c>
      <c r="F80" s="2539">
        <f t="shared" si="58"/>
        <v>0</v>
      </c>
      <c r="G80" s="2539">
        <f t="shared" si="58"/>
        <v>189284</v>
      </c>
      <c r="H80" s="2539">
        <f t="shared" si="58"/>
        <v>21416</v>
      </c>
      <c r="I80" s="2539">
        <f t="shared" si="58"/>
        <v>0</v>
      </c>
      <c r="J80" s="2539">
        <f t="shared" si="58"/>
        <v>0</v>
      </c>
      <c r="K80" s="2539">
        <f t="shared" si="58"/>
        <v>0</v>
      </c>
      <c r="L80" s="2539">
        <f t="shared" si="58"/>
        <v>0</v>
      </c>
      <c r="M80" s="2248"/>
      <c r="N80" s="2248">
        <f>+N81</f>
        <v>210700</v>
      </c>
      <c r="O80" s="4037"/>
    </row>
    <row r="81" spans="1:27" ht="12">
      <c r="A81" s="4034"/>
      <c r="B81" s="605" t="s">
        <v>21</v>
      </c>
      <c r="C81" s="4047"/>
      <c r="D81" s="2051">
        <f>E81+F81+G81+H81+I81+J81+K81+L81</f>
        <v>210700</v>
      </c>
      <c r="E81" s="2051">
        <v>0</v>
      </c>
      <c r="F81" s="2051">
        <v>0</v>
      </c>
      <c r="G81" s="2051">
        <v>189284</v>
      </c>
      <c r="H81" s="2051">
        <v>21416</v>
      </c>
      <c r="I81" s="2051"/>
      <c r="J81" s="2051"/>
      <c r="K81" s="2051"/>
      <c r="L81" s="2051"/>
      <c r="M81" s="2248"/>
      <c r="N81" s="2540">
        <f>SUM(G81:L81)</f>
        <v>210700</v>
      </c>
      <c r="O81" s="4037"/>
    </row>
    <row r="82" spans="1:27" ht="12">
      <c r="A82" s="4034"/>
      <c r="B82" s="1634" t="s">
        <v>22</v>
      </c>
      <c r="C82" s="1635"/>
      <c r="D82" s="1731">
        <f>+D83+D85</f>
        <v>250000</v>
      </c>
      <c r="E82" s="1731">
        <f t="shared" ref="E82:L82" si="59">+E83+E85</f>
        <v>0</v>
      </c>
      <c r="F82" s="1731">
        <f t="shared" si="59"/>
        <v>0</v>
      </c>
      <c r="G82" s="1731">
        <f t="shared" si="59"/>
        <v>224590</v>
      </c>
      <c r="H82" s="1731">
        <f t="shared" si="59"/>
        <v>25410</v>
      </c>
      <c r="I82" s="1731">
        <f t="shared" si="59"/>
        <v>0</v>
      </c>
      <c r="J82" s="1731">
        <f t="shared" si="59"/>
        <v>0</v>
      </c>
      <c r="K82" s="1731">
        <f t="shared" si="59"/>
        <v>0</v>
      </c>
      <c r="L82" s="1731">
        <f t="shared" si="59"/>
        <v>0</v>
      </c>
      <c r="M82" s="4041"/>
      <c r="N82" s="4041"/>
      <c r="O82" s="4037"/>
    </row>
    <row r="83" spans="1:27" ht="12">
      <c r="A83" s="4034"/>
      <c r="B83" s="1547" t="s">
        <v>24</v>
      </c>
      <c r="C83" s="4046" t="s">
        <v>148</v>
      </c>
      <c r="D83" s="2541">
        <f>+D84</f>
        <v>39300</v>
      </c>
      <c r="E83" s="2541">
        <f t="shared" ref="E83:L83" si="60">+E84</f>
        <v>0</v>
      </c>
      <c r="F83" s="2541">
        <f t="shared" si="60"/>
        <v>0</v>
      </c>
      <c r="G83" s="2541">
        <f t="shared" si="60"/>
        <v>35306</v>
      </c>
      <c r="H83" s="2541">
        <f t="shared" si="60"/>
        <v>3994</v>
      </c>
      <c r="I83" s="2541">
        <f t="shared" si="60"/>
        <v>0</v>
      </c>
      <c r="J83" s="2541">
        <f t="shared" si="60"/>
        <v>0</v>
      </c>
      <c r="K83" s="2541">
        <f t="shared" si="60"/>
        <v>0</v>
      </c>
      <c r="L83" s="2541">
        <f t="shared" si="60"/>
        <v>0</v>
      </c>
      <c r="M83" s="4042"/>
      <c r="N83" s="4044"/>
      <c r="O83" s="4038"/>
    </row>
    <row r="84" spans="1:27" ht="12">
      <c r="A84" s="4034"/>
      <c r="B84" s="172" t="s">
        <v>13</v>
      </c>
      <c r="C84" s="4047"/>
      <c r="D84" s="2051">
        <f>E84+F84+G84+H84+I84+J84+K84+L84</f>
        <v>39300</v>
      </c>
      <c r="E84" s="2227">
        <v>0</v>
      </c>
      <c r="F84" s="2542">
        <v>0</v>
      </c>
      <c r="G84" s="2542">
        <v>35306</v>
      </c>
      <c r="H84" s="2542">
        <v>3994</v>
      </c>
      <c r="I84" s="2542"/>
      <c r="J84" s="2542"/>
      <c r="K84" s="2542"/>
      <c r="L84" s="2542"/>
      <c r="M84" s="4042"/>
      <c r="N84" s="4044"/>
      <c r="O84" s="4039"/>
    </row>
    <row r="85" spans="1:27" ht="12" customHeight="1">
      <c r="A85" s="4034"/>
      <c r="B85" s="2160" t="s">
        <v>18</v>
      </c>
      <c r="C85" s="4047"/>
      <c r="D85" s="2543">
        <f>+D86</f>
        <v>210700</v>
      </c>
      <c r="E85" s="2543">
        <f t="shared" ref="E85:L85" si="61">+E86</f>
        <v>0</v>
      </c>
      <c r="F85" s="2543">
        <f t="shared" si="61"/>
        <v>0</v>
      </c>
      <c r="G85" s="2543">
        <f t="shared" si="61"/>
        <v>189284</v>
      </c>
      <c r="H85" s="2543">
        <f t="shared" si="61"/>
        <v>21416</v>
      </c>
      <c r="I85" s="2543">
        <f t="shared" si="61"/>
        <v>0</v>
      </c>
      <c r="J85" s="2543">
        <f t="shared" si="61"/>
        <v>0</v>
      </c>
      <c r="K85" s="2543">
        <f t="shared" si="61"/>
        <v>0</v>
      </c>
      <c r="L85" s="2543">
        <f t="shared" si="61"/>
        <v>0</v>
      </c>
      <c r="M85" s="4042"/>
      <c r="N85" s="4044"/>
      <c r="O85" s="4039"/>
    </row>
    <row r="86" spans="1:27" ht="12.75" thickBot="1">
      <c r="A86" s="4035"/>
      <c r="B86" s="344" t="s">
        <v>21</v>
      </c>
      <c r="C86" s="4048"/>
      <c r="D86" s="1766">
        <f>E86+F86+G86+H86+I86+J86+K86+L86</f>
        <v>210700</v>
      </c>
      <c r="E86" s="2544">
        <v>0</v>
      </c>
      <c r="F86" s="2545">
        <v>0</v>
      </c>
      <c r="G86" s="2545">
        <v>189284</v>
      </c>
      <c r="H86" s="2545">
        <v>21416</v>
      </c>
      <c r="I86" s="2545"/>
      <c r="J86" s="2545"/>
      <c r="K86" s="2545"/>
      <c r="L86" s="2545"/>
      <c r="M86" s="4043"/>
      <c r="N86" s="4045"/>
      <c r="O86" s="4040"/>
    </row>
    <row r="87" spans="1:27" s="309" customFormat="1" ht="30" customHeight="1" thickBot="1">
      <c r="A87" s="187" t="s">
        <v>524</v>
      </c>
      <c r="B87" s="188"/>
      <c r="C87" s="188"/>
      <c r="D87" s="188"/>
      <c r="E87" s="1402"/>
      <c r="F87" s="188"/>
      <c r="G87" s="188"/>
      <c r="H87" s="188"/>
      <c r="I87" s="188"/>
      <c r="J87" s="188"/>
      <c r="K87" s="188"/>
      <c r="L87" s="188"/>
      <c r="M87" s="920"/>
      <c r="N87" s="920"/>
      <c r="O87" s="3445"/>
    </row>
    <row r="88" spans="1:27" s="1508" customFormat="1" ht="12.75">
      <c r="A88" s="1325"/>
      <c r="B88" s="204" t="s">
        <v>76</v>
      </c>
      <c r="C88" s="205"/>
      <c r="D88" s="3446">
        <f>D89+D90</f>
        <v>540000</v>
      </c>
      <c r="E88" s="206">
        <f t="shared" ref="E88:L88" si="62">E89+E90</f>
        <v>0</v>
      </c>
      <c r="F88" s="206">
        <f t="shared" si="62"/>
        <v>0</v>
      </c>
      <c r="G88" s="206">
        <f t="shared" si="62"/>
        <v>22500</v>
      </c>
      <c r="H88" s="206">
        <f t="shared" si="62"/>
        <v>90000</v>
      </c>
      <c r="I88" s="206">
        <f t="shared" si="62"/>
        <v>135000</v>
      </c>
      <c r="J88" s="206">
        <f t="shared" si="62"/>
        <v>135000</v>
      </c>
      <c r="K88" s="206">
        <f t="shared" si="62"/>
        <v>112500</v>
      </c>
      <c r="L88" s="206">
        <f t="shared" si="62"/>
        <v>45000</v>
      </c>
      <c r="M88" s="16">
        <f>+M90+N94</f>
        <v>0</v>
      </c>
      <c r="N88" s="3447">
        <f>N89+N90</f>
        <v>540000</v>
      </c>
      <c r="O88" s="4124"/>
      <c r="P88" s="313"/>
      <c r="Q88" s="2907"/>
    </row>
    <row r="89" spans="1:27" s="1508" customFormat="1" ht="13.5" customHeight="1" thickBot="1">
      <c r="A89" s="185"/>
      <c r="B89" s="207" t="s">
        <v>77</v>
      </c>
      <c r="C89" s="208"/>
      <c r="D89" s="3448">
        <f>D95</f>
        <v>540000</v>
      </c>
      <c r="E89" s="217">
        <f t="shared" ref="E89:L89" si="63">E95</f>
        <v>0</v>
      </c>
      <c r="F89" s="217">
        <f t="shared" si="63"/>
        <v>0</v>
      </c>
      <c r="G89" s="217">
        <f t="shared" si="63"/>
        <v>22500</v>
      </c>
      <c r="H89" s="217">
        <f t="shared" si="63"/>
        <v>90000</v>
      </c>
      <c r="I89" s="217">
        <f t="shared" si="63"/>
        <v>135000</v>
      </c>
      <c r="J89" s="217">
        <f t="shared" si="63"/>
        <v>135000</v>
      </c>
      <c r="K89" s="217">
        <f t="shared" si="63"/>
        <v>112500</v>
      </c>
      <c r="L89" s="217">
        <f t="shared" si="63"/>
        <v>45000</v>
      </c>
      <c r="M89" s="146">
        <f>SUM(F89:K89)</f>
        <v>495000</v>
      </c>
      <c r="N89" s="2847">
        <f>SUM(G89:L89)</f>
        <v>540000</v>
      </c>
      <c r="O89" s="4125"/>
      <c r="Q89" s="2907"/>
    </row>
    <row r="90" spans="1:27" s="1508" customFormat="1" ht="13.5" customHeight="1" thickBot="1">
      <c r="A90" s="185"/>
      <c r="B90" s="218" t="s">
        <v>9</v>
      </c>
      <c r="C90" s="208"/>
      <c r="D90" s="217">
        <v>0</v>
      </c>
      <c r="E90" s="209">
        <v>0</v>
      </c>
      <c r="F90" s="209">
        <v>0</v>
      </c>
      <c r="G90" s="356">
        <v>0</v>
      </c>
      <c r="H90" s="356">
        <v>0</v>
      </c>
      <c r="I90" s="356">
        <v>0</v>
      </c>
      <c r="J90" s="356">
        <v>0</v>
      </c>
      <c r="K90" s="356">
        <v>0</v>
      </c>
      <c r="L90" s="356">
        <v>0</v>
      </c>
      <c r="M90" s="148">
        <f>SUM(F90:K90)</f>
        <v>0</v>
      </c>
      <c r="N90" s="1853">
        <f>SUM(G90:L90)</f>
        <v>0</v>
      </c>
      <c r="O90" s="4126"/>
      <c r="Q90" s="2907"/>
    </row>
    <row r="91" spans="1:27" s="360" customFormat="1" ht="13.5" customHeight="1" thickBot="1">
      <c r="A91" s="357"/>
      <c r="B91" s="177" t="s">
        <v>10</v>
      </c>
      <c r="C91" s="178"/>
      <c r="D91" s="152">
        <f>D92</f>
        <v>540000</v>
      </c>
      <c r="E91" s="152">
        <f t="shared" ref="E91:L92" si="64">E92</f>
        <v>0</v>
      </c>
      <c r="F91" s="152">
        <f t="shared" si="64"/>
        <v>0</v>
      </c>
      <c r="G91" s="152">
        <f t="shared" si="64"/>
        <v>22500</v>
      </c>
      <c r="H91" s="152">
        <f t="shared" si="64"/>
        <v>90000</v>
      </c>
      <c r="I91" s="152">
        <f t="shared" si="64"/>
        <v>135000</v>
      </c>
      <c r="J91" s="152">
        <f t="shared" si="64"/>
        <v>135000</v>
      </c>
      <c r="K91" s="152">
        <f t="shared" si="64"/>
        <v>112500</v>
      </c>
      <c r="L91" s="152">
        <f t="shared" si="64"/>
        <v>45000</v>
      </c>
      <c r="M91" s="358">
        <f>+N94</f>
        <v>0</v>
      </c>
      <c r="N91" s="2886">
        <f>N92</f>
        <v>540000</v>
      </c>
      <c r="O91" s="4126"/>
      <c r="P91" s="359"/>
      <c r="Q91" s="359"/>
    </row>
    <row r="92" spans="1:27" s="363" customFormat="1" ht="13.5" customHeight="1">
      <c r="A92" s="191"/>
      <c r="B92" s="153" t="s">
        <v>11</v>
      </c>
      <c r="C92" s="4129" t="s">
        <v>61</v>
      </c>
      <c r="D92" s="1558">
        <f>D93</f>
        <v>540000</v>
      </c>
      <c r="E92" s="1558">
        <f t="shared" si="64"/>
        <v>0</v>
      </c>
      <c r="F92" s="1558">
        <f t="shared" si="64"/>
        <v>0</v>
      </c>
      <c r="G92" s="1558">
        <f t="shared" si="64"/>
        <v>22500</v>
      </c>
      <c r="H92" s="1558">
        <f t="shared" si="64"/>
        <v>90000</v>
      </c>
      <c r="I92" s="1558">
        <f t="shared" si="64"/>
        <v>135000</v>
      </c>
      <c r="J92" s="1558">
        <f t="shared" si="64"/>
        <v>135000</v>
      </c>
      <c r="K92" s="1558">
        <f t="shared" si="64"/>
        <v>112500</v>
      </c>
      <c r="L92" s="1558">
        <f t="shared" si="64"/>
        <v>45000</v>
      </c>
      <c r="M92" s="1559">
        <f>+N94+N95</f>
        <v>540000</v>
      </c>
      <c r="N92" s="3006">
        <f>+N93</f>
        <v>540000</v>
      </c>
      <c r="O92" s="4127"/>
      <c r="P92" s="361"/>
      <c r="Q92" s="362"/>
      <c r="R92" s="361"/>
      <c r="S92" s="361"/>
      <c r="T92" s="361"/>
      <c r="U92" s="361"/>
      <c r="V92" s="361"/>
      <c r="W92" s="361"/>
      <c r="X92" s="361"/>
      <c r="Y92" s="361"/>
      <c r="Z92" s="361"/>
      <c r="AA92" s="361"/>
    </row>
    <row r="93" spans="1:27" s="324" customFormat="1" ht="13.5" thickBot="1">
      <c r="A93" s="3449"/>
      <c r="B93" s="156" t="s">
        <v>12</v>
      </c>
      <c r="C93" s="4130"/>
      <c r="D93" s="1560">
        <f>D97</f>
        <v>540000</v>
      </c>
      <c r="E93" s="1560">
        <f t="shared" ref="E93:L93" si="65">E97</f>
        <v>0</v>
      </c>
      <c r="F93" s="1560">
        <f t="shared" si="65"/>
        <v>0</v>
      </c>
      <c r="G93" s="1560">
        <f t="shared" si="65"/>
        <v>22500</v>
      </c>
      <c r="H93" s="1560">
        <f t="shared" si="65"/>
        <v>90000</v>
      </c>
      <c r="I93" s="1560">
        <f t="shared" si="65"/>
        <v>135000</v>
      </c>
      <c r="J93" s="1560">
        <f t="shared" si="65"/>
        <v>135000</v>
      </c>
      <c r="K93" s="1560">
        <f t="shared" si="65"/>
        <v>112500</v>
      </c>
      <c r="L93" s="1560">
        <f t="shared" si="65"/>
        <v>45000</v>
      </c>
      <c r="M93" s="1561">
        <f>SUM(F93:L93)</f>
        <v>540000</v>
      </c>
      <c r="N93" s="3450">
        <f>SUM(G93:L93)</f>
        <v>540000</v>
      </c>
      <c r="O93" s="4128"/>
      <c r="P93" s="313"/>
    </row>
    <row r="94" spans="1:27" ht="36.75" thickBot="1">
      <c r="A94" s="4120" t="s">
        <v>63</v>
      </c>
      <c r="B94" s="365" t="s">
        <v>526</v>
      </c>
      <c r="C94" s="366" t="s">
        <v>109</v>
      </c>
      <c r="D94" s="381"/>
      <c r="E94" s="380"/>
      <c r="F94" s="380"/>
      <c r="G94" s="380"/>
      <c r="H94" s="380"/>
      <c r="I94" s="380"/>
      <c r="J94" s="380"/>
      <c r="K94" s="380"/>
      <c r="L94" s="1388"/>
      <c r="M94" s="348"/>
      <c r="N94" s="348"/>
      <c r="O94" s="4121" t="s">
        <v>172</v>
      </c>
      <c r="P94" s="2463"/>
    </row>
    <row r="95" spans="1:27" ht="12.75" thickBot="1">
      <c r="A95" s="4120"/>
      <c r="B95" s="80" t="s">
        <v>10</v>
      </c>
      <c r="C95" s="1427"/>
      <c r="D95" s="1438">
        <f>+D96</f>
        <v>540000</v>
      </c>
      <c r="E95" s="1438">
        <f t="shared" ref="E95:N96" si="66">+E96</f>
        <v>0</v>
      </c>
      <c r="F95" s="1438">
        <f t="shared" si="66"/>
        <v>0</v>
      </c>
      <c r="G95" s="1438">
        <f t="shared" si="66"/>
        <v>22500</v>
      </c>
      <c r="H95" s="1438">
        <f t="shared" si="66"/>
        <v>90000</v>
      </c>
      <c r="I95" s="1438">
        <f t="shared" si="66"/>
        <v>135000</v>
      </c>
      <c r="J95" s="1438">
        <f t="shared" si="66"/>
        <v>135000</v>
      </c>
      <c r="K95" s="1438">
        <f t="shared" si="66"/>
        <v>112500</v>
      </c>
      <c r="L95" s="1438">
        <f t="shared" si="66"/>
        <v>45000</v>
      </c>
      <c r="M95" s="2233">
        <f t="shared" si="66"/>
        <v>540000</v>
      </c>
      <c r="N95" s="3451">
        <f t="shared" si="66"/>
        <v>540000</v>
      </c>
      <c r="O95" s="4121"/>
      <c r="P95" s="2463"/>
    </row>
    <row r="96" spans="1:27" ht="12" customHeight="1" thickBot="1">
      <c r="A96" s="4120"/>
      <c r="B96" s="555" t="s">
        <v>24</v>
      </c>
      <c r="C96" s="4131" t="s">
        <v>525</v>
      </c>
      <c r="D96" s="1563">
        <f>+D97</f>
        <v>540000</v>
      </c>
      <c r="E96" s="2234">
        <f t="shared" si="66"/>
        <v>0</v>
      </c>
      <c r="F96" s="2235">
        <f t="shared" si="66"/>
        <v>0</v>
      </c>
      <c r="G96" s="1446">
        <f t="shared" si="66"/>
        <v>22500</v>
      </c>
      <c r="H96" s="1446">
        <f t="shared" si="66"/>
        <v>90000</v>
      </c>
      <c r="I96" s="1446">
        <f t="shared" si="66"/>
        <v>135000</v>
      </c>
      <c r="J96" s="1446">
        <f t="shared" si="66"/>
        <v>135000</v>
      </c>
      <c r="K96" s="1446">
        <f t="shared" si="66"/>
        <v>112500</v>
      </c>
      <c r="L96" s="1446">
        <f t="shared" si="66"/>
        <v>45000</v>
      </c>
      <c r="M96" s="2237">
        <f t="shared" si="66"/>
        <v>540000</v>
      </c>
      <c r="N96" s="3452">
        <f t="shared" si="66"/>
        <v>540000</v>
      </c>
      <c r="O96" s="4122"/>
      <c r="P96" s="2463"/>
    </row>
    <row r="97" spans="1:109" ht="12.75" thickBot="1">
      <c r="A97" s="4120"/>
      <c r="B97" s="1251" t="s">
        <v>12</v>
      </c>
      <c r="C97" s="4132"/>
      <c r="D97" s="832">
        <f>E97+F97+G97+H97+I97+J97+K97+L97</f>
        <v>540000</v>
      </c>
      <c r="E97" s="2239">
        <v>0</v>
      </c>
      <c r="F97" s="2240">
        <v>0</v>
      </c>
      <c r="G97" s="2241">
        <v>22500</v>
      </c>
      <c r="H97" s="2241">
        <v>90000</v>
      </c>
      <c r="I97" s="2241">
        <v>135000</v>
      </c>
      <c r="J97" s="2241">
        <v>135000</v>
      </c>
      <c r="K97" s="2241">
        <v>112500</v>
      </c>
      <c r="L97" s="2241">
        <v>45000</v>
      </c>
      <c r="M97" s="1522">
        <f>SUM(F97:L97)</f>
        <v>540000</v>
      </c>
      <c r="N97" s="3012">
        <f>SUM(G97:L97)</f>
        <v>540000</v>
      </c>
      <c r="O97" s="4123"/>
      <c r="P97" s="2463"/>
    </row>
    <row r="98" spans="1:109" ht="9" customHeight="1">
      <c r="A98" s="3453"/>
      <c r="B98" s="1638"/>
      <c r="C98" s="1639"/>
      <c r="D98" s="1640"/>
      <c r="E98" s="1641"/>
      <c r="F98" s="1641"/>
      <c r="G98" s="1641"/>
      <c r="H98" s="1641"/>
      <c r="I98" s="1642"/>
      <c r="J98" s="1642"/>
      <c r="K98" s="1642"/>
      <c r="L98" s="1642"/>
      <c r="M98" s="1643"/>
      <c r="N98" s="1643"/>
      <c r="O98" s="3034"/>
    </row>
    <row r="99" spans="1:109" s="1646" customFormat="1" ht="26.25" hidden="1" customHeight="1" thickBot="1">
      <c r="A99" s="4060" t="s">
        <v>135</v>
      </c>
      <c r="B99" s="4060"/>
      <c r="C99" s="4060"/>
      <c r="D99" s="4060"/>
      <c r="E99" s="4060"/>
      <c r="F99" s="4060"/>
      <c r="G99" s="4060"/>
      <c r="H99" s="4060"/>
      <c r="I99" s="4060"/>
      <c r="J99" s="4060"/>
      <c r="K99" s="4060"/>
      <c r="L99" s="4060"/>
      <c r="M99" s="1644"/>
      <c r="N99" s="3002"/>
      <c r="O99" s="3035"/>
      <c r="P99" s="1645"/>
      <c r="Q99" s="1645"/>
      <c r="R99" s="1645"/>
      <c r="S99" s="1645"/>
      <c r="T99" s="1645"/>
      <c r="U99" s="1645"/>
      <c r="V99" s="1645"/>
      <c r="W99" s="1645"/>
      <c r="X99" s="1645"/>
      <c r="Y99" s="1645"/>
      <c r="Z99" s="1645"/>
      <c r="AA99" s="1645"/>
      <c r="AB99" s="1645"/>
      <c r="AC99" s="1645"/>
      <c r="AD99" s="1645"/>
      <c r="AE99" s="1645"/>
      <c r="AF99" s="1645"/>
      <c r="AG99" s="1645"/>
      <c r="AH99" s="1645"/>
      <c r="AI99" s="1645"/>
      <c r="AJ99" s="1645"/>
      <c r="AK99" s="1645"/>
      <c r="AL99" s="1645"/>
      <c r="AM99" s="1645"/>
      <c r="AN99" s="1645"/>
      <c r="AO99" s="1645"/>
      <c r="AP99" s="1645"/>
      <c r="AQ99" s="1645"/>
      <c r="AR99" s="1645"/>
      <c r="AS99" s="1645"/>
      <c r="AT99" s="1645"/>
      <c r="AU99" s="1645"/>
      <c r="AV99" s="1645"/>
      <c r="AW99" s="1645"/>
      <c r="AX99" s="1645"/>
      <c r="AY99" s="1645"/>
      <c r="AZ99" s="1645"/>
      <c r="BA99" s="1645"/>
      <c r="BB99" s="1645"/>
      <c r="BC99" s="1645"/>
      <c r="BD99" s="1645"/>
      <c r="BE99" s="1645"/>
      <c r="BF99" s="1645"/>
      <c r="BG99" s="1645"/>
      <c r="BH99" s="1645"/>
      <c r="BI99" s="1645"/>
      <c r="BJ99" s="1645"/>
      <c r="BK99" s="1645"/>
      <c r="BL99" s="1645"/>
      <c r="BM99" s="1645"/>
      <c r="BN99" s="1645"/>
      <c r="BO99" s="1645"/>
      <c r="BP99" s="1645"/>
      <c r="BQ99" s="1645"/>
      <c r="BR99" s="1645"/>
      <c r="BS99" s="1645"/>
      <c r="BT99" s="1645"/>
      <c r="BU99" s="1645"/>
      <c r="BV99" s="1645"/>
      <c r="BW99" s="1645"/>
      <c r="BX99" s="1645"/>
      <c r="BY99" s="1645"/>
      <c r="BZ99" s="1645"/>
      <c r="CA99" s="1645"/>
      <c r="CB99" s="1645"/>
      <c r="CC99" s="1645"/>
      <c r="CD99" s="1645"/>
      <c r="CE99" s="1645"/>
      <c r="CF99" s="1645"/>
      <c r="CG99" s="1645"/>
      <c r="CH99" s="1645"/>
      <c r="CI99" s="1645"/>
      <c r="CJ99" s="1645"/>
      <c r="CK99" s="1645"/>
      <c r="CL99" s="1645"/>
      <c r="CM99" s="1645"/>
      <c r="CN99" s="1645"/>
      <c r="CO99" s="1645"/>
      <c r="CP99" s="1645"/>
      <c r="CQ99" s="1645"/>
      <c r="CR99" s="1645"/>
      <c r="CS99" s="1645"/>
      <c r="CT99" s="1645"/>
      <c r="CU99" s="1645"/>
      <c r="CV99" s="1645"/>
      <c r="CW99" s="1645"/>
      <c r="CX99" s="1645"/>
      <c r="CY99" s="1645"/>
      <c r="CZ99" s="1645"/>
      <c r="DA99" s="1645"/>
      <c r="DB99" s="1645"/>
      <c r="DC99" s="1645"/>
      <c r="DD99" s="1645"/>
      <c r="DE99" s="1645"/>
    </row>
    <row r="100" spans="1:109" s="2612" customFormat="1" ht="14.25" hidden="1" customHeight="1">
      <c r="A100" s="2825"/>
      <c r="B100" s="2959" t="s">
        <v>76</v>
      </c>
      <c r="C100" s="2840"/>
      <c r="D100" s="2969">
        <f>+D101+D102</f>
        <v>0</v>
      </c>
      <c r="E100" s="2969">
        <f t="shared" ref="E100:L100" si="67">+E101+E102</f>
        <v>0</v>
      </c>
      <c r="F100" s="2969">
        <f t="shared" si="67"/>
        <v>0</v>
      </c>
      <c r="G100" s="2969">
        <f t="shared" si="67"/>
        <v>0</v>
      </c>
      <c r="H100" s="2969">
        <f t="shared" si="67"/>
        <v>0</v>
      </c>
      <c r="I100" s="2969">
        <f t="shared" si="67"/>
        <v>0</v>
      </c>
      <c r="J100" s="2969">
        <f t="shared" si="67"/>
        <v>0</v>
      </c>
      <c r="K100" s="2969">
        <f t="shared" si="67"/>
        <v>0</v>
      </c>
      <c r="L100" s="2969">
        <f t="shared" si="67"/>
        <v>0</v>
      </c>
      <c r="M100" s="1591">
        <f>+M101+M102</f>
        <v>0</v>
      </c>
      <c r="N100" s="3003">
        <f>+N101+N102</f>
        <v>0</v>
      </c>
      <c r="O100" s="4115"/>
      <c r="P100" s="3444"/>
      <c r="Q100" s="3444"/>
    </row>
    <row r="101" spans="1:109" s="2612" customFormat="1" ht="13.5" hidden="1" customHeight="1">
      <c r="A101" s="2825"/>
      <c r="B101" s="2954" t="s">
        <v>77</v>
      </c>
      <c r="C101" s="2840"/>
      <c r="D101" s="2964">
        <v>0</v>
      </c>
      <c r="E101" s="2964">
        <v>0</v>
      </c>
      <c r="F101" s="2964">
        <v>0</v>
      </c>
      <c r="G101" s="2964">
        <v>0</v>
      </c>
      <c r="H101" s="2964">
        <v>0</v>
      </c>
      <c r="I101" s="2964">
        <v>0</v>
      </c>
      <c r="J101" s="2964">
        <v>0</v>
      </c>
      <c r="K101" s="2964">
        <v>0</v>
      </c>
      <c r="L101" s="2964">
        <v>0</v>
      </c>
      <c r="M101" s="2949">
        <f>SUM(E101:G101)</f>
        <v>0</v>
      </c>
      <c r="N101" s="2881">
        <f>SUM(F101:H101)</f>
        <v>0</v>
      </c>
      <c r="O101" s="4116"/>
      <c r="P101" s="3444"/>
      <c r="Q101" s="3444"/>
    </row>
    <row r="102" spans="1:109" s="2612" customFormat="1" ht="13.5" hidden="1" customHeight="1" thickBot="1">
      <c r="A102" s="1608"/>
      <c r="B102" s="2892" t="s">
        <v>9</v>
      </c>
      <c r="C102" s="2893"/>
      <c r="D102" s="2894">
        <f>+D119+D123+D128+D140</f>
        <v>0</v>
      </c>
      <c r="E102" s="2894">
        <f t="shared" ref="E102:F102" si="68">+E119+E123+E128+E140</f>
        <v>0</v>
      </c>
      <c r="F102" s="2894">
        <f t="shared" si="68"/>
        <v>0</v>
      </c>
      <c r="G102" s="2894">
        <f t="shared" ref="G102:L102" si="69">+G119+G123+G128+G140</f>
        <v>0</v>
      </c>
      <c r="H102" s="2894">
        <f t="shared" si="69"/>
        <v>0</v>
      </c>
      <c r="I102" s="2894">
        <f t="shared" si="69"/>
        <v>0</v>
      </c>
      <c r="J102" s="2894">
        <f t="shared" si="69"/>
        <v>0</v>
      </c>
      <c r="K102" s="2894">
        <f t="shared" si="69"/>
        <v>0</v>
      </c>
      <c r="L102" s="2894">
        <f t="shared" si="69"/>
        <v>0</v>
      </c>
      <c r="M102" s="1595">
        <f>SUM(E102:G102)</f>
        <v>0</v>
      </c>
      <c r="N102" s="2895">
        <f>SUM(F102:H102)</f>
        <v>0</v>
      </c>
      <c r="O102" s="4117"/>
      <c r="P102" s="3444"/>
      <c r="Q102" s="3444"/>
    </row>
    <row r="103" spans="1:109" s="1646" customFormat="1" ht="13.5" hidden="1" customHeight="1">
      <c r="A103" s="2920"/>
      <c r="B103" s="2921" t="s">
        <v>10</v>
      </c>
      <c r="C103" s="2921"/>
      <c r="D103" s="2922">
        <f>D104+D108</f>
        <v>0</v>
      </c>
      <c r="E103" s="2922">
        <f>+E104+E108</f>
        <v>0</v>
      </c>
      <c r="F103" s="2922">
        <f t="shared" ref="F103:L103" si="70">+F104+F108</f>
        <v>0</v>
      </c>
      <c r="G103" s="2922">
        <f t="shared" si="70"/>
        <v>0</v>
      </c>
      <c r="H103" s="2922">
        <f t="shared" si="70"/>
        <v>0</v>
      </c>
      <c r="I103" s="2922">
        <f t="shared" si="70"/>
        <v>0</v>
      </c>
      <c r="J103" s="2922">
        <f t="shared" si="70"/>
        <v>0</v>
      </c>
      <c r="K103" s="2922">
        <f t="shared" si="70"/>
        <v>0</v>
      </c>
      <c r="L103" s="2922">
        <f t="shared" si="70"/>
        <v>0</v>
      </c>
      <c r="M103" s="2923" t="e">
        <f>+M104</f>
        <v>#REF!</v>
      </c>
      <c r="N103" s="2923" t="e">
        <f>+N104</f>
        <v>#REF!</v>
      </c>
      <c r="O103" s="4118"/>
      <c r="P103" s="1645"/>
      <c r="Q103" s="1645"/>
      <c r="R103" s="1645"/>
      <c r="S103" s="1645"/>
      <c r="T103" s="1645"/>
      <c r="U103" s="1645"/>
      <c r="V103" s="1645"/>
      <c r="W103" s="1645"/>
      <c r="X103" s="1645"/>
      <c r="Y103" s="1645"/>
      <c r="Z103" s="1645"/>
      <c r="AA103" s="1645"/>
      <c r="AB103" s="1645"/>
      <c r="AC103" s="1645"/>
      <c r="AD103" s="1645"/>
      <c r="AE103" s="1645"/>
      <c r="AF103" s="1645"/>
      <c r="AG103" s="1645"/>
      <c r="AH103" s="1645"/>
      <c r="AI103" s="1645"/>
      <c r="AJ103" s="1645"/>
      <c r="AK103" s="1645"/>
      <c r="AL103" s="1645"/>
      <c r="AM103" s="1645"/>
      <c r="AN103" s="1645"/>
      <c r="AO103" s="1645"/>
      <c r="AP103" s="1645"/>
      <c r="AQ103" s="1645"/>
      <c r="AR103" s="1645"/>
      <c r="AS103" s="1645"/>
      <c r="AT103" s="1645"/>
      <c r="AU103" s="1645"/>
      <c r="AV103" s="1645"/>
      <c r="AW103" s="1645"/>
      <c r="AX103" s="1645"/>
      <c r="AY103" s="1645"/>
      <c r="AZ103" s="1645"/>
      <c r="BA103" s="1645"/>
      <c r="BB103" s="1645"/>
      <c r="BC103" s="1645"/>
      <c r="BD103" s="1645"/>
      <c r="BE103" s="1645"/>
      <c r="BF103" s="1645"/>
      <c r="BG103" s="1645"/>
      <c r="BH103" s="1645"/>
      <c r="BI103" s="1645"/>
      <c r="BJ103" s="1645"/>
      <c r="BK103" s="1645"/>
      <c r="BL103" s="1645"/>
      <c r="BM103" s="1645"/>
      <c r="BN103" s="1645"/>
      <c r="BO103" s="1645"/>
      <c r="BP103" s="1645"/>
      <c r="BQ103" s="1645"/>
      <c r="BR103" s="1645"/>
      <c r="BS103" s="1645"/>
      <c r="BT103" s="1645"/>
      <c r="BU103" s="1645"/>
      <c r="BV103" s="1645"/>
      <c r="BW103" s="1645"/>
      <c r="BX103" s="1645"/>
      <c r="BY103" s="1645"/>
      <c r="BZ103" s="1645"/>
      <c r="CA103" s="1645"/>
      <c r="CB103" s="1645"/>
      <c r="CC103" s="1645"/>
      <c r="CD103" s="1645"/>
      <c r="CE103" s="1645"/>
      <c r="CF103" s="1645"/>
      <c r="CG103" s="1645"/>
      <c r="CH103" s="1645"/>
      <c r="CI103" s="1645"/>
      <c r="CJ103" s="1645"/>
      <c r="CK103" s="1645"/>
      <c r="CL103" s="1645"/>
      <c r="CM103" s="1645"/>
      <c r="CN103" s="1645"/>
      <c r="CO103" s="1645"/>
      <c r="CP103" s="1645"/>
      <c r="CQ103" s="1645"/>
      <c r="CR103" s="1645"/>
      <c r="CS103" s="1645"/>
      <c r="CT103" s="1645"/>
      <c r="CU103" s="1645"/>
      <c r="CV103" s="1645"/>
      <c r="CW103" s="1645"/>
      <c r="CX103" s="1645"/>
      <c r="CY103" s="1645"/>
      <c r="CZ103" s="1645"/>
      <c r="DA103" s="1645"/>
      <c r="DB103" s="1645"/>
      <c r="DC103" s="1645"/>
      <c r="DD103" s="1645"/>
      <c r="DE103" s="1645"/>
    </row>
    <row r="104" spans="1:109" s="1646" customFormat="1" ht="13.5" hidden="1" customHeight="1">
      <c r="A104" s="2920"/>
      <c r="B104" s="2924" t="s">
        <v>11</v>
      </c>
      <c r="C104" s="2925"/>
      <c r="D104" s="2925">
        <f>+D105+D106+D107</f>
        <v>0</v>
      </c>
      <c r="E104" s="2925">
        <f t="shared" ref="E104:L104" si="71">+E105+E106+E107</f>
        <v>0</v>
      </c>
      <c r="F104" s="2925">
        <f t="shared" si="71"/>
        <v>0</v>
      </c>
      <c r="G104" s="2925">
        <f t="shared" si="71"/>
        <v>0</v>
      </c>
      <c r="H104" s="2925">
        <f t="shared" si="71"/>
        <v>0</v>
      </c>
      <c r="I104" s="2925">
        <f t="shared" si="71"/>
        <v>0</v>
      </c>
      <c r="J104" s="2925">
        <f t="shared" si="71"/>
        <v>0</v>
      </c>
      <c r="K104" s="2925">
        <f t="shared" si="71"/>
        <v>0</v>
      </c>
      <c r="L104" s="2925">
        <f t="shared" si="71"/>
        <v>0</v>
      </c>
      <c r="M104" s="2926" t="e">
        <f>+M107+M106</f>
        <v>#REF!</v>
      </c>
      <c r="N104" s="2926" t="e">
        <f>+N107+N106</f>
        <v>#REF!</v>
      </c>
      <c r="O104" s="4118"/>
      <c r="P104" s="1645"/>
      <c r="Q104" s="1645"/>
      <c r="R104" s="1645"/>
      <c r="S104" s="1645"/>
      <c r="T104" s="1645"/>
      <c r="U104" s="1645"/>
      <c r="V104" s="1645"/>
      <c r="W104" s="1645"/>
      <c r="X104" s="1645"/>
      <c r="Y104" s="1645"/>
      <c r="Z104" s="1645"/>
      <c r="AA104" s="1645"/>
      <c r="AB104" s="1645"/>
      <c r="AC104" s="1645"/>
      <c r="AD104" s="1645"/>
      <c r="AE104" s="1645"/>
      <c r="AF104" s="1645"/>
      <c r="AG104" s="1645"/>
      <c r="AH104" s="1645"/>
      <c r="AI104" s="1645"/>
      <c r="AJ104" s="1645"/>
      <c r="AK104" s="1645"/>
      <c r="AL104" s="1645"/>
      <c r="AM104" s="1645"/>
      <c r="AN104" s="1645"/>
      <c r="AO104" s="1645"/>
      <c r="AP104" s="1645"/>
      <c r="AQ104" s="1645"/>
      <c r="AR104" s="1645"/>
      <c r="AS104" s="1645"/>
      <c r="AT104" s="1645"/>
      <c r="AU104" s="1645"/>
      <c r="AV104" s="1645"/>
      <c r="AW104" s="1645"/>
      <c r="AX104" s="1645"/>
      <c r="AY104" s="1645"/>
      <c r="AZ104" s="1645"/>
      <c r="BA104" s="1645"/>
      <c r="BB104" s="1645"/>
      <c r="BC104" s="1645"/>
      <c r="BD104" s="1645"/>
      <c r="BE104" s="1645"/>
      <c r="BF104" s="1645"/>
      <c r="BG104" s="1645"/>
      <c r="BH104" s="1645"/>
      <c r="BI104" s="1645"/>
      <c r="BJ104" s="1645"/>
      <c r="BK104" s="1645"/>
      <c r="BL104" s="1645"/>
      <c r="BM104" s="1645"/>
      <c r="BN104" s="1645"/>
      <c r="BO104" s="1645"/>
      <c r="BP104" s="1645"/>
      <c r="BQ104" s="1645"/>
      <c r="BR104" s="1645"/>
      <c r="BS104" s="1645"/>
      <c r="BT104" s="1645"/>
      <c r="BU104" s="1645"/>
      <c r="BV104" s="1645"/>
      <c r="BW104" s="1645"/>
      <c r="BX104" s="1645"/>
      <c r="BY104" s="1645"/>
      <c r="BZ104" s="1645"/>
      <c r="CA104" s="1645"/>
      <c r="CB104" s="1645"/>
      <c r="CC104" s="1645"/>
      <c r="CD104" s="1645"/>
      <c r="CE104" s="1645"/>
      <c r="CF104" s="1645"/>
      <c r="CG104" s="1645"/>
      <c r="CH104" s="1645"/>
      <c r="CI104" s="1645"/>
      <c r="CJ104" s="1645"/>
      <c r="CK104" s="1645"/>
      <c r="CL104" s="1645"/>
      <c r="CM104" s="1645"/>
      <c r="CN104" s="1645"/>
      <c r="CO104" s="1645"/>
      <c r="CP104" s="1645"/>
      <c r="CQ104" s="1645"/>
      <c r="CR104" s="1645"/>
      <c r="CS104" s="1645"/>
      <c r="CT104" s="1645"/>
      <c r="CU104" s="1645"/>
      <c r="CV104" s="1645"/>
      <c r="CW104" s="1645"/>
      <c r="CX104" s="1645"/>
      <c r="CY104" s="1645"/>
      <c r="CZ104" s="1645"/>
      <c r="DA104" s="1645"/>
      <c r="DB104" s="1645"/>
      <c r="DC104" s="1645"/>
      <c r="DD104" s="1645"/>
      <c r="DE104" s="1645"/>
    </row>
    <row r="105" spans="1:109" s="1646" customFormat="1" ht="13.5" hidden="1" customHeight="1">
      <c r="A105" s="2920"/>
      <c r="B105" s="2989" t="s">
        <v>136</v>
      </c>
      <c r="C105" s="2989"/>
      <c r="D105" s="2989">
        <f>+D127</f>
        <v>0</v>
      </c>
      <c r="E105" s="2989">
        <f t="shared" ref="E105:F105" si="72">+E127</f>
        <v>0</v>
      </c>
      <c r="F105" s="2989">
        <f t="shared" si="72"/>
        <v>0</v>
      </c>
      <c r="G105" s="2989">
        <v>0</v>
      </c>
      <c r="H105" s="2989">
        <v>0</v>
      </c>
      <c r="I105" s="2989">
        <v>0</v>
      </c>
      <c r="J105" s="2989">
        <v>0</v>
      </c>
      <c r="K105" s="2989">
        <v>0</v>
      </c>
      <c r="L105" s="2989">
        <v>0</v>
      </c>
      <c r="M105" s="2990" t="s">
        <v>61</v>
      </c>
      <c r="N105" s="2990" t="s">
        <v>61</v>
      </c>
      <c r="O105" s="4118"/>
      <c r="P105" s="1645"/>
      <c r="Q105" s="1645"/>
      <c r="R105" s="1645"/>
      <c r="S105" s="1645"/>
      <c r="T105" s="1645"/>
      <c r="U105" s="1645"/>
      <c r="V105" s="1645"/>
      <c r="W105" s="1645"/>
      <c r="X105" s="1645"/>
      <c r="Y105" s="1645"/>
      <c r="Z105" s="1645"/>
      <c r="AA105" s="1645"/>
      <c r="AB105" s="1645"/>
      <c r="AC105" s="1645"/>
      <c r="AD105" s="1645"/>
      <c r="AE105" s="1645"/>
      <c r="AF105" s="1645"/>
      <c r="AG105" s="1645"/>
      <c r="AH105" s="1645"/>
      <c r="AI105" s="1645"/>
      <c r="AJ105" s="1645"/>
      <c r="AK105" s="1645"/>
      <c r="AL105" s="1645"/>
      <c r="AM105" s="1645"/>
      <c r="AN105" s="1645"/>
      <c r="AO105" s="1645"/>
      <c r="AP105" s="1645"/>
      <c r="AQ105" s="1645"/>
      <c r="AR105" s="1645"/>
      <c r="AS105" s="1645"/>
      <c r="AT105" s="1645"/>
      <c r="AU105" s="1645"/>
      <c r="AV105" s="1645"/>
      <c r="AW105" s="1645"/>
      <c r="AX105" s="1645"/>
      <c r="AY105" s="1645"/>
      <c r="AZ105" s="1645"/>
      <c r="BA105" s="1645"/>
      <c r="BB105" s="1645"/>
      <c r="BC105" s="1645"/>
      <c r="BD105" s="1645"/>
      <c r="BE105" s="1645"/>
      <c r="BF105" s="1645"/>
      <c r="BG105" s="1645"/>
      <c r="BH105" s="1645"/>
      <c r="BI105" s="1645"/>
      <c r="BJ105" s="1645"/>
      <c r="BK105" s="1645"/>
      <c r="BL105" s="1645"/>
      <c r="BM105" s="1645"/>
      <c r="BN105" s="1645"/>
      <c r="BO105" s="1645"/>
      <c r="BP105" s="1645"/>
      <c r="BQ105" s="1645"/>
      <c r="BR105" s="1645"/>
      <c r="BS105" s="1645"/>
      <c r="BT105" s="1645"/>
      <c r="BU105" s="1645"/>
      <c r="BV105" s="1645"/>
      <c r="BW105" s="1645"/>
      <c r="BX105" s="1645"/>
      <c r="BY105" s="1645"/>
      <c r="BZ105" s="1645"/>
      <c r="CA105" s="1645"/>
      <c r="CB105" s="1645"/>
      <c r="CC105" s="1645"/>
      <c r="CD105" s="1645"/>
      <c r="CE105" s="1645"/>
      <c r="CF105" s="1645"/>
      <c r="CG105" s="1645"/>
      <c r="CH105" s="1645"/>
      <c r="CI105" s="1645"/>
      <c r="CJ105" s="1645"/>
      <c r="CK105" s="1645"/>
      <c r="CL105" s="1645"/>
      <c r="CM105" s="1645"/>
      <c r="CN105" s="1645"/>
      <c r="CO105" s="1645"/>
      <c r="CP105" s="1645"/>
      <c r="CQ105" s="1645"/>
      <c r="CR105" s="1645"/>
      <c r="CS105" s="1645"/>
      <c r="CT105" s="1645"/>
      <c r="CU105" s="1645"/>
      <c r="CV105" s="1645"/>
      <c r="CW105" s="1645"/>
      <c r="CX105" s="1645"/>
      <c r="CY105" s="1645"/>
      <c r="CZ105" s="1645"/>
      <c r="DA105" s="1645"/>
      <c r="DB105" s="1645"/>
      <c r="DC105" s="1645"/>
      <c r="DD105" s="1645"/>
      <c r="DE105" s="1645"/>
    </row>
    <row r="106" spans="1:109" s="1646" customFormat="1" ht="13.5" hidden="1" customHeight="1">
      <c r="A106" s="2880"/>
      <c r="B106" s="2904" t="s">
        <v>137</v>
      </c>
      <c r="C106" s="2905"/>
      <c r="D106" s="2905">
        <f>+D128+D140</f>
        <v>0</v>
      </c>
      <c r="E106" s="2905">
        <f t="shared" ref="E106:I106" si="73">+E128+E140</f>
        <v>0</v>
      </c>
      <c r="F106" s="2905">
        <f t="shared" si="73"/>
        <v>0</v>
      </c>
      <c r="G106" s="2905">
        <f t="shared" si="73"/>
        <v>0</v>
      </c>
      <c r="H106" s="2905">
        <f t="shared" si="73"/>
        <v>0</v>
      </c>
      <c r="I106" s="2905">
        <f t="shared" si="73"/>
        <v>0</v>
      </c>
      <c r="J106" s="2905">
        <v>0</v>
      </c>
      <c r="K106" s="2905">
        <v>0</v>
      </c>
      <c r="L106" s="2905">
        <v>0</v>
      </c>
      <c r="M106" s="2976" t="e">
        <f>+H106+G106+F106+E106+#REF!</f>
        <v>#REF!</v>
      </c>
      <c r="N106" s="2977" t="e">
        <f>+I106+H106+G106+F106+#REF!</f>
        <v>#REF!</v>
      </c>
      <c r="O106" s="4116"/>
      <c r="P106" s="1645"/>
      <c r="Q106" s="1645"/>
      <c r="R106" s="1645"/>
      <c r="S106" s="1645"/>
      <c r="T106" s="1645"/>
      <c r="U106" s="1645"/>
      <c r="V106" s="1645"/>
      <c r="W106" s="1645"/>
      <c r="X106" s="1645"/>
      <c r="Y106" s="1645"/>
      <c r="Z106" s="1645"/>
      <c r="AA106" s="1645"/>
      <c r="AB106" s="1645"/>
      <c r="AC106" s="1645"/>
      <c r="AD106" s="1645"/>
      <c r="AE106" s="1645"/>
      <c r="AF106" s="1645"/>
      <c r="AG106" s="1645"/>
      <c r="AH106" s="1645"/>
      <c r="AI106" s="1645"/>
      <c r="AJ106" s="1645"/>
      <c r="AK106" s="1645"/>
      <c r="AL106" s="1645"/>
      <c r="AM106" s="1645"/>
      <c r="AN106" s="1645"/>
      <c r="AO106" s="1645"/>
      <c r="AP106" s="1645"/>
      <c r="AQ106" s="1645"/>
      <c r="AR106" s="1645"/>
      <c r="AS106" s="1645"/>
      <c r="AT106" s="1645"/>
      <c r="AU106" s="1645"/>
      <c r="AV106" s="1645"/>
      <c r="AW106" s="1645"/>
      <c r="AX106" s="1645"/>
      <c r="AY106" s="1645"/>
      <c r="AZ106" s="1645"/>
      <c r="BA106" s="1645"/>
      <c r="BB106" s="1645"/>
      <c r="BC106" s="1645"/>
      <c r="BD106" s="1645"/>
      <c r="BE106" s="1645"/>
      <c r="BF106" s="1645"/>
      <c r="BG106" s="1645"/>
      <c r="BH106" s="1645"/>
      <c r="BI106" s="1645"/>
      <c r="BJ106" s="1645"/>
      <c r="BK106" s="1645"/>
      <c r="BL106" s="1645"/>
      <c r="BM106" s="1645"/>
      <c r="BN106" s="1645"/>
      <c r="BO106" s="1645"/>
      <c r="BP106" s="1645"/>
      <c r="BQ106" s="1645"/>
      <c r="BR106" s="1645"/>
      <c r="BS106" s="1645"/>
      <c r="BT106" s="1645"/>
      <c r="BU106" s="1645"/>
      <c r="BV106" s="1645"/>
      <c r="BW106" s="1645"/>
      <c r="BX106" s="1645"/>
      <c r="BY106" s="1645"/>
      <c r="BZ106" s="1645"/>
      <c r="CA106" s="1645"/>
      <c r="CB106" s="1645"/>
      <c r="CC106" s="1645"/>
      <c r="CD106" s="1645"/>
      <c r="CE106" s="1645"/>
      <c r="CF106" s="1645"/>
      <c r="CG106" s="1645"/>
      <c r="CH106" s="1645"/>
      <c r="CI106" s="1645"/>
      <c r="CJ106" s="1645"/>
      <c r="CK106" s="1645"/>
      <c r="CL106" s="1645"/>
      <c r="CM106" s="1645"/>
      <c r="CN106" s="1645"/>
      <c r="CO106" s="1645"/>
      <c r="CP106" s="1645"/>
      <c r="CQ106" s="1645"/>
      <c r="CR106" s="1645"/>
      <c r="CS106" s="1645"/>
      <c r="CT106" s="1645"/>
      <c r="CU106" s="1645"/>
      <c r="CV106" s="1645"/>
      <c r="CW106" s="1645"/>
      <c r="CX106" s="1645"/>
      <c r="CY106" s="1645"/>
      <c r="CZ106" s="1645"/>
      <c r="DA106" s="1645"/>
      <c r="DB106" s="1645"/>
      <c r="DC106" s="1645"/>
      <c r="DD106" s="1645"/>
      <c r="DE106" s="1645"/>
    </row>
    <row r="107" spans="1:109" s="1655" customFormat="1" ht="13.5" hidden="1" customHeight="1">
      <c r="A107" s="2826"/>
      <c r="B107" s="1651" t="s">
        <v>12</v>
      </c>
      <c r="C107" s="1652"/>
      <c r="D107" s="1652">
        <f>+D119+D123</f>
        <v>0</v>
      </c>
      <c r="E107" s="1652">
        <f t="shared" ref="E107:F107" si="74">+E119+E123</f>
        <v>0</v>
      </c>
      <c r="F107" s="1652">
        <f t="shared" si="74"/>
        <v>0</v>
      </c>
      <c r="G107" s="1652">
        <v>0</v>
      </c>
      <c r="H107" s="1652">
        <v>0</v>
      </c>
      <c r="I107" s="1652">
        <v>0</v>
      </c>
      <c r="J107" s="1652"/>
      <c r="K107" s="1652"/>
      <c r="L107" s="1652"/>
      <c r="M107" s="1653">
        <f>SUM(E107:F107)</f>
        <v>0</v>
      </c>
      <c r="N107" s="2852">
        <f>SUM(F107:G107)</f>
        <v>0</v>
      </c>
      <c r="O107" s="4119"/>
      <c r="P107" s="1654"/>
      <c r="Q107" s="1654"/>
      <c r="R107" s="1654"/>
      <c r="S107" s="1654"/>
      <c r="T107" s="1654"/>
      <c r="U107" s="1654"/>
      <c r="V107" s="1654"/>
      <c r="W107" s="1654"/>
      <c r="X107" s="1654"/>
      <c r="Y107" s="1654"/>
      <c r="Z107" s="1654"/>
      <c r="AA107" s="1654"/>
      <c r="AB107" s="1654"/>
      <c r="AC107" s="1654"/>
      <c r="AD107" s="1654"/>
      <c r="AE107" s="1654"/>
      <c r="AF107" s="1654"/>
      <c r="AG107" s="1654"/>
      <c r="AH107" s="1654"/>
      <c r="AI107" s="1654"/>
      <c r="AJ107" s="1654"/>
      <c r="AK107" s="1654"/>
      <c r="AL107" s="1654"/>
      <c r="AM107" s="1654"/>
      <c r="AN107" s="1654"/>
      <c r="AO107" s="1654"/>
      <c r="AP107" s="1654"/>
      <c r="AQ107" s="1654"/>
      <c r="AR107" s="1654"/>
      <c r="AS107" s="1654"/>
      <c r="AT107" s="1654"/>
      <c r="AU107" s="1654"/>
      <c r="AV107" s="1654"/>
      <c r="AW107" s="1654"/>
      <c r="AX107" s="1654"/>
      <c r="AY107" s="1654"/>
      <c r="AZ107" s="1654"/>
      <c r="BA107" s="1654"/>
      <c r="BB107" s="1654"/>
      <c r="BC107" s="1654"/>
      <c r="BD107" s="1654"/>
      <c r="BE107" s="1654"/>
      <c r="BF107" s="1654"/>
      <c r="BG107" s="1654"/>
      <c r="BH107" s="1654"/>
      <c r="BI107" s="1654"/>
      <c r="BJ107" s="1654"/>
      <c r="BK107" s="1654"/>
      <c r="BL107" s="1654"/>
      <c r="BM107" s="1654"/>
      <c r="BN107" s="1654"/>
      <c r="BO107" s="1654"/>
      <c r="BP107" s="1654"/>
      <c r="BQ107" s="1654"/>
      <c r="BR107" s="1654"/>
      <c r="BS107" s="1654"/>
      <c r="BT107" s="1654"/>
      <c r="BU107" s="1654"/>
      <c r="BV107" s="1654"/>
      <c r="BW107" s="1654"/>
      <c r="BX107" s="1654"/>
      <c r="BY107" s="1654"/>
      <c r="BZ107" s="1654"/>
      <c r="CA107" s="1654"/>
      <c r="CB107" s="1654"/>
      <c r="CC107" s="1654"/>
      <c r="CD107" s="1654"/>
      <c r="CE107" s="1654"/>
      <c r="CF107" s="1654"/>
      <c r="CG107" s="1654"/>
      <c r="CH107" s="1654"/>
      <c r="CI107" s="1654"/>
      <c r="CJ107" s="1654"/>
      <c r="CK107" s="1654"/>
      <c r="CL107" s="1654"/>
      <c r="CM107" s="1654"/>
      <c r="CN107" s="1654"/>
      <c r="CO107" s="1654"/>
      <c r="CP107" s="1654"/>
      <c r="CQ107" s="1654"/>
      <c r="CR107" s="1654"/>
      <c r="CS107" s="1654"/>
      <c r="CT107" s="1654"/>
      <c r="CU107" s="1654"/>
      <c r="CV107" s="1654"/>
      <c r="CW107" s="1654"/>
      <c r="CX107" s="1654"/>
      <c r="CY107" s="1654"/>
      <c r="CZ107" s="1654"/>
      <c r="DA107" s="1654"/>
      <c r="DB107" s="1654"/>
      <c r="DC107" s="1654"/>
      <c r="DD107" s="1654"/>
      <c r="DE107" s="1654"/>
    </row>
    <row r="108" spans="1:109" s="1646" customFormat="1" ht="13.5" hidden="1" customHeight="1">
      <c r="A108" s="2825"/>
      <c r="B108" s="1647" t="s">
        <v>18</v>
      </c>
      <c r="C108" s="1656"/>
      <c r="D108" s="1657">
        <f>D109</f>
        <v>0</v>
      </c>
      <c r="E108" s="1657">
        <f t="shared" ref="E108:L108" si="75">E109</f>
        <v>0</v>
      </c>
      <c r="F108" s="1657">
        <f t="shared" si="75"/>
        <v>0</v>
      </c>
      <c r="G108" s="1656">
        <f t="shared" si="75"/>
        <v>0</v>
      </c>
      <c r="H108" s="1656">
        <f t="shared" si="75"/>
        <v>0</v>
      </c>
      <c r="I108" s="1656">
        <f t="shared" si="75"/>
        <v>0</v>
      </c>
      <c r="J108" s="1656">
        <f t="shared" si="75"/>
        <v>0</v>
      </c>
      <c r="K108" s="1656">
        <f t="shared" si="75"/>
        <v>0</v>
      </c>
      <c r="L108" s="1656">
        <f t="shared" si="75"/>
        <v>0</v>
      </c>
      <c r="M108" s="1658" t="s">
        <v>61</v>
      </c>
      <c r="N108" s="2853" t="s">
        <v>61</v>
      </c>
      <c r="O108" s="2867"/>
      <c r="P108" s="1645"/>
      <c r="Q108" s="1645"/>
      <c r="R108" s="1645"/>
      <c r="S108" s="1645"/>
      <c r="T108" s="1645"/>
      <c r="U108" s="1645"/>
      <c r="V108" s="1645"/>
      <c r="W108" s="1645"/>
      <c r="X108" s="1645"/>
      <c r="Y108" s="1645"/>
      <c r="Z108" s="1645"/>
      <c r="AA108" s="1645"/>
      <c r="AB108" s="1645"/>
      <c r="AC108" s="1645"/>
      <c r="AD108" s="1645"/>
      <c r="AE108" s="1645"/>
      <c r="AF108" s="1645"/>
      <c r="AG108" s="1645"/>
      <c r="AH108" s="1645"/>
      <c r="AI108" s="1645"/>
      <c r="AJ108" s="1645"/>
      <c r="AK108" s="1645"/>
      <c r="AL108" s="1645"/>
      <c r="AM108" s="1645"/>
      <c r="AN108" s="1645"/>
      <c r="AO108" s="1645"/>
      <c r="AP108" s="1645"/>
      <c r="AQ108" s="1645"/>
      <c r="AR108" s="1645"/>
      <c r="AS108" s="1645"/>
      <c r="AT108" s="1645"/>
      <c r="AU108" s="1645"/>
      <c r="AV108" s="1645"/>
      <c r="AW108" s="1645"/>
      <c r="AX108" s="1645"/>
      <c r="AY108" s="1645"/>
      <c r="AZ108" s="1645"/>
      <c r="BA108" s="1645"/>
      <c r="BB108" s="1645"/>
      <c r="BC108" s="1645"/>
      <c r="BD108" s="1645"/>
      <c r="BE108" s="1645"/>
      <c r="BF108" s="1645"/>
      <c r="BG108" s="1645"/>
      <c r="BH108" s="1645"/>
      <c r="BI108" s="1645"/>
      <c r="BJ108" s="1645"/>
      <c r="BK108" s="1645"/>
      <c r="BL108" s="1645"/>
      <c r="BM108" s="1645"/>
      <c r="BN108" s="1645"/>
      <c r="BO108" s="1645"/>
      <c r="BP108" s="1645"/>
      <c r="BQ108" s="1645"/>
      <c r="BR108" s="1645"/>
      <c r="BS108" s="1645"/>
      <c r="BT108" s="1645"/>
      <c r="BU108" s="1645"/>
      <c r="BV108" s="1645"/>
      <c r="BW108" s="1645"/>
      <c r="BX108" s="1645"/>
      <c r="BY108" s="1645"/>
      <c r="BZ108" s="1645"/>
      <c r="CA108" s="1645"/>
      <c r="CB108" s="1645"/>
      <c r="CC108" s="1645"/>
      <c r="CD108" s="1645"/>
      <c r="CE108" s="1645"/>
      <c r="CF108" s="1645"/>
      <c r="CG108" s="1645"/>
      <c r="CH108" s="1645"/>
      <c r="CI108" s="1645"/>
      <c r="CJ108" s="1645"/>
      <c r="CK108" s="1645"/>
      <c r="CL108" s="1645"/>
      <c r="CM108" s="1645"/>
      <c r="CN108" s="1645"/>
      <c r="CO108" s="1645"/>
      <c r="CP108" s="1645"/>
      <c r="CQ108" s="1645"/>
      <c r="CR108" s="1645"/>
      <c r="CS108" s="1645"/>
      <c r="CT108" s="1645"/>
      <c r="CU108" s="1645"/>
      <c r="CV108" s="1645"/>
      <c r="CW108" s="1645"/>
      <c r="CX108" s="1645"/>
      <c r="CY108" s="1645"/>
      <c r="CZ108" s="1645"/>
      <c r="DA108" s="1645"/>
      <c r="DB108" s="1645"/>
      <c r="DC108" s="1645"/>
      <c r="DD108" s="1645"/>
      <c r="DE108" s="1645"/>
    </row>
    <row r="109" spans="1:109" s="1646" customFormat="1" ht="13.5" hidden="1" customHeight="1">
      <c r="A109" s="2825"/>
      <c r="B109" s="1648" t="s">
        <v>35</v>
      </c>
      <c r="C109" s="1649"/>
      <c r="D109" s="1660">
        <f>D130</f>
        <v>0</v>
      </c>
      <c r="E109" s="1660">
        <f>E130</f>
        <v>0</v>
      </c>
      <c r="F109" s="1660">
        <v>0</v>
      </c>
      <c r="G109" s="1649">
        <v>0</v>
      </c>
      <c r="H109" s="1649">
        <v>0</v>
      </c>
      <c r="I109" s="1649">
        <v>0</v>
      </c>
      <c r="J109" s="1649">
        <v>0</v>
      </c>
      <c r="K109" s="1649">
        <v>0</v>
      </c>
      <c r="L109" s="1649">
        <v>0</v>
      </c>
      <c r="M109" s="1661" t="s">
        <v>61</v>
      </c>
      <c r="N109" s="2854" t="s">
        <v>61</v>
      </c>
      <c r="O109" s="2867"/>
      <c r="P109" s="1645"/>
      <c r="Q109" s="1645"/>
      <c r="R109" s="1645"/>
      <c r="S109" s="1645"/>
      <c r="T109" s="1645"/>
      <c r="U109" s="1645"/>
      <c r="V109" s="1645"/>
      <c r="W109" s="1645"/>
      <c r="X109" s="1645"/>
      <c r="Y109" s="1645"/>
      <c r="Z109" s="1645"/>
      <c r="AA109" s="1645"/>
      <c r="AB109" s="1645"/>
      <c r="AC109" s="1645"/>
      <c r="AD109" s="1645"/>
      <c r="AE109" s="1645"/>
      <c r="AF109" s="1645"/>
      <c r="AG109" s="1645"/>
      <c r="AH109" s="1645"/>
      <c r="AI109" s="1645"/>
      <c r="AJ109" s="1645"/>
      <c r="AK109" s="1645"/>
      <c r="AL109" s="1645"/>
      <c r="AM109" s="1645"/>
      <c r="AN109" s="1645"/>
      <c r="AO109" s="1645"/>
      <c r="AP109" s="1645"/>
      <c r="AQ109" s="1645"/>
      <c r="AR109" s="1645"/>
      <c r="AS109" s="1645"/>
      <c r="AT109" s="1645"/>
      <c r="AU109" s="1645"/>
      <c r="AV109" s="1645"/>
      <c r="AW109" s="1645"/>
      <c r="AX109" s="1645"/>
      <c r="AY109" s="1645"/>
      <c r="AZ109" s="1645"/>
      <c r="BA109" s="1645"/>
      <c r="BB109" s="1645"/>
      <c r="BC109" s="1645"/>
      <c r="BD109" s="1645"/>
      <c r="BE109" s="1645"/>
      <c r="BF109" s="1645"/>
      <c r="BG109" s="1645"/>
      <c r="BH109" s="1645"/>
      <c r="BI109" s="1645"/>
      <c r="BJ109" s="1645"/>
      <c r="BK109" s="1645"/>
      <c r="BL109" s="1645"/>
      <c r="BM109" s="1645"/>
      <c r="BN109" s="1645"/>
      <c r="BO109" s="1645"/>
      <c r="BP109" s="1645"/>
      <c r="BQ109" s="1645"/>
      <c r="BR109" s="1645"/>
      <c r="BS109" s="1645"/>
      <c r="BT109" s="1645"/>
      <c r="BU109" s="1645"/>
      <c r="BV109" s="1645"/>
      <c r="BW109" s="1645"/>
      <c r="BX109" s="1645"/>
      <c r="BY109" s="1645"/>
      <c r="BZ109" s="1645"/>
      <c r="CA109" s="1645"/>
      <c r="CB109" s="1645"/>
      <c r="CC109" s="1645"/>
      <c r="CD109" s="1645"/>
      <c r="CE109" s="1645"/>
      <c r="CF109" s="1645"/>
      <c r="CG109" s="1645"/>
      <c r="CH109" s="1645"/>
      <c r="CI109" s="1645"/>
      <c r="CJ109" s="1645"/>
      <c r="CK109" s="1645"/>
      <c r="CL109" s="1645"/>
      <c r="CM109" s="1645"/>
      <c r="CN109" s="1645"/>
      <c r="CO109" s="1645"/>
      <c r="CP109" s="1645"/>
      <c r="CQ109" s="1645"/>
      <c r="CR109" s="1645"/>
      <c r="CS109" s="1645"/>
      <c r="CT109" s="1645"/>
      <c r="CU109" s="1645"/>
      <c r="CV109" s="1645"/>
      <c r="CW109" s="1645"/>
      <c r="CX109" s="1645"/>
      <c r="CY109" s="1645"/>
      <c r="CZ109" s="1645"/>
      <c r="DA109" s="1645"/>
      <c r="DB109" s="1645"/>
      <c r="DC109" s="1645"/>
      <c r="DD109" s="1645"/>
      <c r="DE109" s="1645"/>
    </row>
    <row r="110" spans="1:109" s="1646" customFormat="1" ht="13.5" hidden="1" customHeight="1">
      <c r="A110" s="2825"/>
      <c r="B110" s="1662" t="s">
        <v>22</v>
      </c>
      <c r="C110" s="1663"/>
      <c r="D110" s="1664">
        <f>D111+D114</f>
        <v>0</v>
      </c>
      <c r="E110" s="1664">
        <f t="shared" ref="E110:L110" si="76">E111+E114</f>
        <v>0</v>
      </c>
      <c r="F110" s="1664">
        <f t="shared" si="76"/>
        <v>0</v>
      </c>
      <c r="G110" s="1664">
        <f t="shared" si="76"/>
        <v>0</v>
      </c>
      <c r="H110" s="1664">
        <f t="shared" si="76"/>
        <v>0</v>
      </c>
      <c r="I110" s="1664">
        <f t="shared" si="76"/>
        <v>0</v>
      </c>
      <c r="J110" s="1664">
        <f t="shared" si="76"/>
        <v>0</v>
      </c>
      <c r="K110" s="1664">
        <f t="shared" si="76"/>
        <v>0</v>
      </c>
      <c r="L110" s="1664">
        <f t="shared" si="76"/>
        <v>0</v>
      </c>
      <c r="M110" s="1665"/>
      <c r="N110" s="2855"/>
      <c r="O110" s="2867"/>
      <c r="P110" s="1645"/>
      <c r="Q110" s="1645"/>
      <c r="R110" s="1645"/>
      <c r="S110" s="1645"/>
      <c r="T110" s="1645"/>
      <c r="U110" s="1645"/>
      <c r="V110" s="1645"/>
      <c r="W110" s="1645"/>
      <c r="X110" s="1645"/>
      <c r="Y110" s="1645"/>
      <c r="Z110" s="1645"/>
      <c r="AA110" s="1645"/>
      <c r="AB110" s="1645"/>
      <c r="AC110" s="1645"/>
      <c r="AD110" s="1645"/>
      <c r="AE110" s="1645"/>
      <c r="AF110" s="1645"/>
      <c r="AG110" s="1645"/>
      <c r="AH110" s="1645"/>
      <c r="AI110" s="1645"/>
      <c r="AJ110" s="1645"/>
      <c r="AK110" s="1645"/>
      <c r="AL110" s="1645"/>
      <c r="AM110" s="1645"/>
      <c r="AN110" s="1645"/>
      <c r="AO110" s="1645"/>
      <c r="AP110" s="1645"/>
      <c r="AQ110" s="1645"/>
      <c r="AR110" s="1645"/>
      <c r="AS110" s="1645"/>
      <c r="AT110" s="1645"/>
      <c r="AU110" s="1645"/>
      <c r="AV110" s="1645"/>
      <c r="AW110" s="1645"/>
      <c r="AX110" s="1645"/>
      <c r="AY110" s="1645"/>
      <c r="AZ110" s="1645"/>
      <c r="BA110" s="1645"/>
      <c r="BB110" s="1645"/>
      <c r="BC110" s="1645"/>
      <c r="BD110" s="1645"/>
      <c r="BE110" s="1645"/>
      <c r="BF110" s="1645"/>
      <c r="BG110" s="1645"/>
      <c r="BH110" s="1645"/>
      <c r="BI110" s="1645"/>
      <c r="BJ110" s="1645"/>
      <c r="BK110" s="1645"/>
      <c r="BL110" s="1645"/>
      <c r="BM110" s="1645"/>
      <c r="BN110" s="1645"/>
      <c r="BO110" s="1645"/>
      <c r="BP110" s="1645"/>
      <c r="BQ110" s="1645"/>
      <c r="BR110" s="1645"/>
      <c r="BS110" s="1645"/>
      <c r="BT110" s="1645"/>
      <c r="BU110" s="1645"/>
      <c r="BV110" s="1645"/>
      <c r="BW110" s="1645"/>
      <c r="BX110" s="1645"/>
      <c r="BY110" s="1645"/>
      <c r="BZ110" s="1645"/>
      <c r="CA110" s="1645"/>
      <c r="CB110" s="1645"/>
      <c r="CC110" s="1645"/>
      <c r="CD110" s="1645"/>
      <c r="CE110" s="1645"/>
      <c r="CF110" s="1645"/>
      <c r="CG110" s="1645"/>
      <c r="CH110" s="1645"/>
      <c r="CI110" s="1645"/>
      <c r="CJ110" s="1645"/>
      <c r="CK110" s="1645"/>
      <c r="CL110" s="1645"/>
      <c r="CM110" s="1645"/>
      <c r="CN110" s="1645"/>
      <c r="CO110" s="1645"/>
      <c r="CP110" s="1645"/>
      <c r="CQ110" s="1645"/>
      <c r="CR110" s="1645"/>
      <c r="CS110" s="1645"/>
      <c r="CT110" s="1645"/>
      <c r="CU110" s="1645"/>
      <c r="CV110" s="1645"/>
      <c r="CW110" s="1645"/>
      <c r="CX110" s="1645"/>
      <c r="CY110" s="1645"/>
      <c r="CZ110" s="1645"/>
      <c r="DA110" s="1645"/>
      <c r="DB110" s="1645"/>
      <c r="DC110" s="1645"/>
      <c r="DD110" s="1645"/>
      <c r="DE110" s="1645"/>
    </row>
    <row r="111" spans="1:109" s="1646" customFormat="1" ht="13.5" hidden="1" customHeight="1">
      <c r="A111" s="2825"/>
      <c r="B111" s="1666" t="s">
        <v>24</v>
      </c>
      <c r="C111" s="1667"/>
      <c r="D111" s="1668">
        <f>+D112+D113</f>
        <v>0</v>
      </c>
      <c r="E111" s="1668">
        <f t="shared" ref="E111:I111" si="77">+E112+E113</f>
        <v>0</v>
      </c>
      <c r="F111" s="1652">
        <f t="shared" si="77"/>
        <v>0</v>
      </c>
      <c r="G111" s="1652">
        <f t="shared" si="77"/>
        <v>0</v>
      </c>
      <c r="H111" s="1652">
        <f t="shared" si="77"/>
        <v>0</v>
      </c>
      <c r="I111" s="1652">
        <f t="shared" si="77"/>
        <v>0</v>
      </c>
      <c r="J111" s="1652">
        <v>0</v>
      </c>
      <c r="K111" s="1652">
        <v>0</v>
      </c>
      <c r="L111" s="1652">
        <v>0</v>
      </c>
      <c r="M111" s="4090" t="s">
        <v>61</v>
      </c>
      <c r="N111" s="4097" t="s">
        <v>61</v>
      </c>
      <c r="O111" s="2867"/>
      <c r="P111" s="1645"/>
      <c r="Q111" s="1645"/>
      <c r="R111" s="1645"/>
      <c r="S111" s="1645"/>
      <c r="T111" s="1645"/>
      <c r="U111" s="1645"/>
      <c r="V111" s="1645"/>
      <c r="W111" s="1645"/>
      <c r="X111" s="1645"/>
      <c r="Y111" s="1645"/>
      <c r="Z111" s="1645"/>
      <c r="AA111" s="1645"/>
      <c r="AB111" s="1645"/>
      <c r="AC111" s="1645"/>
      <c r="AD111" s="1645"/>
      <c r="AE111" s="1645"/>
      <c r="AF111" s="1645"/>
      <c r="AG111" s="1645"/>
      <c r="AH111" s="1645"/>
      <c r="AI111" s="1645"/>
      <c r="AJ111" s="1645"/>
      <c r="AK111" s="1645"/>
      <c r="AL111" s="1645"/>
      <c r="AM111" s="1645"/>
      <c r="AN111" s="1645"/>
      <c r="AO111" s="1645"/>
      <c r="AP111" s="1645"/>
      <c r="AQ111" s="1645"/>
      <c r="AR111" s="1645"/>
      <c r="AS111" s="1645"/>
      <c r="AT111" s="1645"/>
      <c r="AU111" s="1645"/>
      <c r="AV111" s="1645"/>
      <c r="AW111" s="1645"/>
      <c r="AX111" s="1645"/>
      <c r="AY111" s="1645"/>
      <c r="AZ111" s="1645"/>
      <c r="BA111" s="1645"/>
      <c r="BB111" s="1645"/>
      <c r="BC111" s="1645"/>
      <c r="BD111" s="1645"/>
      <c r="BE111" s="1645"/>
      <c r="BF111" s="1645"/>
      <c r="BG111" s="1645"/>
      <c r="BH111" s="1645"/>
      <c r="BI111" s="1645"/>
      <c r="BJ111" s="1645"/>
      <c r="BK111" s="1645"/>
      <c r="BL111" s="1645"/>
      <c r="BM111" s="1645"/>
      <c r="BN111" s="1645"/>
      <c r="BO111" s="1645"/>
      <c r="BP111" s="1645"/>
      <c r="BQ111" s="1645"/>
      <c r="BR111" s="1645"/>
      <c r="BS111" s="1645"/>
      <c r="BT111" s="1645"/>
      <c r="BU111" s="1645"/>
      <c r="BV111" s="1645"/>
      <c r="BW111" s="1645"/>
      <c r="BX111" s="1645"/>
      <c r="BY111" s="1645"/>
      <c r="BZ111" s="1645"/>
      <c r="CA111" s="1645"/>
      <c r="CB111" s="1645"/>
      <c r="CC111" s="1645"/>
      <c r="CD111" s="1645"/>
      <c r="CE111" s="1645"/>
      <c r="CF111" s="1645"/>
      <c r="CG111" s="1645"/>
      <c r="CH111" s="1645"/>
      <c r="CI111" s="1645"/>
      <c r="CJ111" s="1645"/>
      <c r="CK111" s="1645"/>
      <c r="CL111" s="1645"/>
      <c r="CM111" s="1645"/>
      <c r="CN111" s="1645"/>
      <c r="CO111" s="1645"/>
      <c r="CP111" s="1645"/>
      <c r="CQ111" s="1645"/>
      <c r="CR111" s="1645"/>
      <c r="CS111" s="1645"/>
      <c r="CT111" s="1645"/>
      <c r="CU111" s="1645"/>
      <c r="CV111" s="1645"/>
      <c r="CW111" s="1645"/>
      <c r="CX111" s="1645"/>
      <c r="CY111" s="1645"/>
      <c r="CZ111" s="1645"/>
      <c r="DA111" s="1645"/>
      <c r="DB111" s="1645"/>
      <c r="DC111" s="1645"/>
      <c r="DD111" s="1645"/>
      <c r="DE111" s="1645"/>
    </row>
    <row r="112" spans="1:109" s="1646" customFormat="1" ht="13.5" hidden="1" customHeight="1">
      <c r="A112" s="2825"/>
      <c r="B112" s="1651" t="s">
        <v>136</v>
      </c>
      <c r="C112" s="1652"/>
      <c r="D112" s="1652">
        <f>+D133</f>
        <v>0</v>
      </c>
      <c r="E112" s="1652">
        <f t="shared" ref="E112:F113" si="78">+E133</f>
        <v>0</v>
      </c>
      <c r="F112" s="1652">
        <f t="shared" si="78"/>
        <v>0</v>
      </c>
      <c r="G112" s="1652">
        <v>0</v>
      </c>
      <c r="H112" s="1652">
        <v>0</v>
      </c>
      <c r="I112" s="1652">
        <v>0</v>
      </c>
      <c r="J112" s="1652">
        <v>0</v>
      </c>
      <c r="K112" s="1652">
        <v>0</v>
      </c>
      <c r="L112" s="1652">
        <v>0</v>
      </c>
      <c r="M112" s="4091"/>
      <c r="N112" s="4098"/>
      <c r="O112" s="2867"/>
      <c r="P112" s="1645"/>
      <c r="Q112" s="1645"/>
      <c r="R112" s="1645"/>
      <c r="S112" s="1645"/>
      <c r="T112" s="1645"/>
      <c r="U112" s="1645"/>
      <c r="V112" s="1645"/>
      <c r="W112" s="1645"/>
      <c r="X112" s="1645"/>
      <c r="Y112" s="1645"/>
      <c r="Z112" s="1645"/>
      <c r="AA112" s="1645"/>
      <c r="AB112" s="1645"/>
      <c r="AC112" s="1645"/>
      <c r="AD112" s="1645"/>
      <c r="AE112" s="1645"/>
      <c r="AF112" s="1645"/>
      <c r="AG112" s="1645"/>
      <c r="AH112" s="1645"/>
      <c r="AI112" s="1645"/>
      <c r="AJ112" s="1645"/>
      <c r="AK112" s="1645"/>
      <c r="AL112" s="1645"/>
      <c r="AM112" s="1645"/>
      <c r="AN112" s="1645"/>
      <c r="AO112" s="1645"/>
      <c r="AP112" s="1645"/>
      <c r="AQ112" s="1645"/>
      <c r="AR112" s="1645"/>
      <c r="AS112" s="1645"/>
      <c r="AT112" s="1645"/>
      <c r="AU112" s="1645"/>
      <c r="AV112" s="1645"/>
      <c r="AW112" s="1645"/>
      <c r="AX112" s="1645"/>
      <c r="AY112" s="1645"/>
      <c r="AZ112" s="1645"/>
      <c r="BA112" s="1645"/>
      <c r="BB112" s="1645"/>
      <c r="BC112" s="1645"/>
      <c r="BD112" s="1645"/>
      <c r="BE112" s="1645"/>
      <c r="BF112" s="1645"/>
      <c r="BG112" s="1645"/>
      <c r="BH112" s="1645"/>
      <c r="BI112" s="1645"/>
      <c r="BJ112" s="1645"/>
      <c r="BK112" s="1645"/>
      <c r="BL112" s="1645"/>
      <c r="BM112" s="1645"/>
      <c r="BN112" s="1645"/>
      <c r="BO112" s="1645"/>
      <c r="BP112" s="1645"/>
      <c r="BQ112" s="1645"/>
      <c r="BR112" s="1645"/>
      <c r="BS112" s="1645"/>
      <c r="BT112" s="1645"/>
      <c r="BU112" s="1645"/>
      <c r="BV112" s="1645"/>
      <c r="BW112" s="1645"/>
      <c r="BX112" s="1645"/>
      <c r="BY112" s="1645"/>
      <c r="BZ112" s="1645"/>
      <c r="CA112" s="1645"/>
      <c r="CB112" s="1645"/>
      <c r="CC112" s="1645"/>
      <c r="CD112" s="1645"/>
      <c r="CE112" s="1645"/>
      <c r="CF112" s="1645"/>
      <c r="CG112" s="1645"/>
      <c r="CH112" s="1645"/>
      <c r="CI112" s="1645"/>
      <c r="CJ112" s="1645"/>
      <c r="CK112" s="1645"/>
      <c r="CL112" s="1645"/>
      <c r="CM112" s="1645"/>
      <c r="CN112" s="1645"/>
      <c r="CO112" s="1645"/>
      <c r="CP112" s="1645"/>
      <c r="CQ112" s="1645"/>
      <c r="CR112" s="1645"/>
      <c r="CS112" s="1645"/>
      <c r="CT112" s="1645"/>
      <c r="CU112" s="1645"/>
      <c r="CV112" s="1645"/>
      <c r="CW112" s="1645"/>
      <c r="CX112" s="1645"/>
      <c r="CY112" s="1645"/>
      <c r="CZ112" s="1645"/>
      <c r="DA112" s="1645"/>
      <c r="DB112" s="1645"/>
      <c r="DC112" s="1645"/>
      <c r="DD112" s="1645"/>
      <c r="DE112" s="1645"/>
    </row>
    <row r="113" spans="1:109" s="1646" customFormat="1" ht="13.5" hidden="1" customHeight="1">
      <c r="A113" s="2825"/>
      <c r="B113" s="1651" t="s">
        <v>138</v>
      </c>
      <c r="C113" s="1652"/>
      <c r="D113" s="1652">
        <f>+D134</f>
        <v>0</v>
      </c>
      <c r="E113" s="1652">
        <f t="shared" si="78"/>
        <v>0</v>
      </c>
      <c r="F113" s="1652">
        <f t="shared" si="78"/>
        <v>0</v>
      </c>
      <c r="G113" s="1652">
        <v>0</v>
      </c>
      <c r="H113" s="1652">
        <v>0</v>
      </c>
      <c r="I113" s="1652">
        <v>0</v>
      </c>
      <c r="J113" s="1652"/>
      <c r="K113" s="1652"/>
      <c r="L113" s="1652"/>
      <c r="M113" s="4091"/>
      <c r="N113" s="4098"/>
      <c r="O113" s="2867"/>
      <c r="P113" s="1645"/>
      <c r="Q113" s="1645"/>
      <c r="R113" s="1645"/>
      <c r="S113" s="1645"/>
      <c r="T113" s="1645"/>
      <c r="U113" s="1645"/>
      <c r="V113" s="1645"/>
      <c r="W113" s="1645"/>
      <c r="X113" s="1645"/>
      <c r="Y113" s="1645"/>
      <c r="Z113" s="1645"/>
      <c r="AA113" s="1645"/>
      <c r="AB113" s="1645"/>
      <c r="AC113" s="1645"/>
      <c r="AD113" s="1645"/>
      <c r="AE113" s="1645"/>
      <c r="AF113" s="1645"/>
      <c r="AG113" s="1645"/>
      <c r="AH113" s="1645"/>
      <c r="AI113" s="1645"/>
      <c r="AJ113" s="1645"/>
      <c r="AK113" s="1645"/>
      <c r="AL113" s="1645"/>
      <c r="AM113" s="1645"/>
      <c r="AN113" s="1645"/>
      <c r="AO113" s="1645"/>
      <c r="AP113" s="1645"/>
      <c r="AQ113" s="1645"/>
      <c r="AR113" s="1645"/>
      <c r="AS113" s="1645"/>
      <c r="AT113" s="1645"/>
      <c r="AU113" s="1645"/>
      <c r="AV113" s="1645"/>
      <c r="AW113" s="1645"/>
      <c r="AX113" s="1645"/>
      <c r="AY113" s="1645"/>
      <c r="AZ113" s="1645"/>
      <c r="BA113" s="1645"/>
      <c r="BB113" s="1645"/>
      <c r="BC113" s="1645"/>
      <c r="BD113" s="1645"/>
      <c r="BE113" s="1645"/>
      <c r="BF113" s="1645"/>
      <c r="BG113" s="1645"/>
      <c r="BH113" s="1645"/>
      <c r="BI113" s="1645"/>
      <c r="BJ113" s="1645"/>
      <c r="BK113" s="1645"/>
      <c r="BL113" s="1645"/>
      <c r="BM113" s="1645"/>
      <c r="BN113" s="1645"/>
      <c r="BO113" s="1645"/>
      <c r="BP113" s="1645"/>
      <c r="BQ113" s="1645"/>
      <c r="BR113" s="1645"/>
      <c r="BS113" s="1645"/>
      <c r="BT113" s="1645"/>
      <c r="BU113" s="1645"/>
      <c r="BV113" s="1645"/>
      <c r="BW113" s="1645"/>
      <c r="BX113" s="1645"/>
      <c r="BY113" s="1645"/>
      <c r="BZ113" s="1645"/>
      <c r="CA113" s="1645"/>
      <c r="CB113" s="1645"/>
      <c r="CC113" s="1645"/>
      <c r="CD113" s="1645"/>
      <c r="CE113" s="1645"/>
      <c r="CF113" s="1645"/>
      <c r="CG113" s="1645"/>
      <c r="CH113" s="1645"/>
      <c r="CI113" s="1645"/>
      <c r="CJ113" s="1645"/>
      <c r="CK113" s="1645"/>
      <c r="CL113" s="1645"/>
      <c r="CM113" s="1645"/>
      <c r="CN113" s="1645"/>
      <c r="CO113" s="1645"/>
      <c r="CP113" s="1645"/>
      <c r="CQ113" s="1645"/>
      <c r="CR113" s="1645"/>
      <c r="CS113" s="1645"/>
      <c r="CT113" s="1645"/>
      <c r="CU113" s="1645"/>
      <c r="CV113" s="1645"/>
      <c r="CW113" s="1645"/>
      <c r="CX113" s="1645"/>
      <c r="CY113" s="1645"/>
      <c r="CZ113" s="1645"/>
      <c r="DA113" s="1645"/>
      <c r="DB113" s="1645"/>
      <c r="DC113" s="1645"/>
      <c r="DD113" s="1645"/>
      <c r="DE113" s="1645"/>
    </row>
    <row r="114" spans="1:109" s="1671" customFormat="1" ht="13.5" hidden="1" customHeight="1">
      <c r="A114" s="2827"/>
      <c r="B114" s="1666" t="s">
        <v>18</v>
      </c>
      <c r="C114" s="1669"/>
      <c r="D114" s="1669">
        <f>+D115</f>
        <v>0</v>
      </c>
      <c r="E114" s="1669">
        <f t="shared" ref="E114:L114" si="79">+E115</f>
        <v>0</v>
      </c>
      <c r="F114" s="1669">
        <f t="shared" si="79"/>
        <v>0</v>
      </c>
      <c r="G114" s="1669">
        <f t="shared" si="79"/>
        <v>0</v>
      </c>
      <c r="H114" s="1669">
        <f t="shared" si="79"/>
        <v>0</v>
      </c>
      <c r="I114" s="1669">
        <f t="shared" si="79"/>
        <v>0</v>
      </c>
      <c r="J114" s="1669">
        <f t="shared" si="79"/>
        <v>0</v>
      </c>
      <c r="K114" s="1669">
        <f t="shared" si="79"/>
        <v>0</v>
      </c>
      <c r="L114" s="1669">
        <f t="shared" si="79"/>
        <v>0</v>
      </c>
      <c r="M114" s="4091"/>
      <c r="N114" s="4098"/>
      <c r="O114" s="2868"/>
      <c r="P114" s="1670"/>
      <c r="Q114" s="1670"/>
      <c r="R114" s="1670"/>
      <c r="S114" s="1670"/>
      <c r="T114" s="1670"/>
      <c r="U114" s="1670"/>
      <c r="V114" s="1670"/>
      <c r="W114" s="1670"/>
      <c r="X114" s="1670"/>
      <c r="Y114" s="1670"/>
      <c r="Z114" s="1670"/>
      <c r="AA114" s="1670"/>
      <c r="AB114" s="1670"/>
      <c r="AC114" s="1670"/>
      <c r="AD114" s="1670"/>
      <c r="AE114" s="1670"/>
      <c r="AF114" s="1670"/>
      <c r="AG114" s="1670"/>
      <c r="AH114" s="1670"/>
      <c r="AI114" s="1670"/>
      <c r="AJ114" s="1670"/>
      <c r="AK114" s="1670"/>
      <c r="AL114" s="1670"/>
      <c r="AM114" s="1670"/>
      <c r="AN114" s="1670"/>
      <c r="AO114" s="1670"/>
      <c r="AP114" s="1670"/>
      <c r="AQ114" s="1670"/>
      <c r="AR114" s="1670"/>
      <c r="AS114" s="1670"/>
      <c r="AT114" s="1670"/>
      <c r="AU114" s="1670"/>
      <c r="AV114" s="1670"/>
      <c r="AW114" s="1670"/>
      <c r="AX114" s="1670"/>
      <c r="AY114" s="1670"/>
      <c r="AZ114" s="1670"/>
      <c r="BA114" s="1670"/>
      <c r="BB114" s="1670"/>
      <c r="BC114" s="1670"/>
      <c r="BD114" s="1670"/>
      <c r="BE114" s="1670"/>
      <c r="BF114" s="1670"/>
      <c r="BG114" s="1670"/>
      <c r="BH114" s="1670"/>
      <c r="BI114" s="1670"/>
      <c r="BJ114" s="1670"/>
      <c r="BK114" s="1670"/>
      <c r="BL114" s="1670"/>
      <c r="BM114" s="1670"/>
      <c r="BN114" s="1670"/>
      <c r="BO114" s="1670"/>
      <c r="BP114" s="1670"/>
      <c r="BQ114" s="1670"/>
      <c r="BR114" s="1670"/>
      <c r="BS114" s="1670"/>
      <c r="BT114" s="1670"/>
      <c r="BU114" s="1670"/>
      <c r="BV114" s="1670"/>
      <c r="BW114" s="1670"/>
      <c r="BX114" s="1670"/>
      <c r="BY114" s="1670"/>
      <c r="BZ114" s="1670"/>
      <c r="CA114" s="1670"/>
      <c r="CB114" s="1670"/>
      <c r="CC114" s="1670"/>
      <c r="CD114" s="1670"/>
      <c r="CE114" s="1670"/>
      <c r="CF114" s="1670"/>
      <c r="CG114" s="1670"/>
      <c r="CH114" s="1670"/>
      <c r="CI114" s="1670"/>
      <c r="CJ114" s="1670"/>
      <c r="CK114" s="1670"/>
      <c r="CL114" s="1670"/>
      <c r="CM114" s="1670"/>
      <c r="CN114" s="1670"/>
      <c r="CO114" s="1670"/>
      <c r="CP114" s="1670"/>
      <c r="CQ114" s="1670"/>
      <c r="CR114" s="1670"/>
      <c r="CS114" s="1670"/>
      <c r="CT114" s="1670"/>
      <c r="CU114" s="1670"/>
      <c r="CV114" s="1670"/>
      <c r="CW114" s="1670"/>
      <c r="CX114" s="1670"/>
      <c r="CY114" s="1670"/>
      <c r="CZ114" s="1670"/>
      <c r="DA114" s="1670"/>
      <c r="DB114" s="1670"/>
      <c r="DC114" s="1670"/>
      <c r="DD114" s="1670"/>
      <c r="DE114" s="1670"/>
    </row>
    <row r="115" spans="1:109" s="1646" customFormat="1" ht="13.5" hidden="1" customHeight="1" thickBot="1">
      <c r="A115" s="1608"/>
      <c r="B115" s="1651" t="s">
        <v>35</v>
      </c>
      <c r="C115" s="1652"/>
      <c r="D115" s="1652">
        <f>+D136</f>
        <v>0</v>
      </c>
      <c r="E115" s="1652">
        <f t="shared" ref="E115:F115" si="80">+E136</f>
        <v>0</v>
      </c>
      <c r="F115" s="1652">
        <f t="shared" si="80"/>
        <v>0</v>
      </c>
      <c r="G115" s="1652">
        <v>0</v>
      </c>
      <c r="H115" s="1652">
        <v>0</v>
      </c>
      <c r="I115" s="1652">
        <v>0</v>
      </c>
      <c r="J115" s="1652">
        <v>0</v>
      </c>
      <c r="K115" s="1652">
        <v>0</v>
      </c>
      <c r="L115" s="1652">
        <v>0</v>
      </c>
      <c r="M115" s="4092"/>
      <c r="N115" s="4092"/>
      <c r="O115" s="1659"/>
      <c r="P115" s="1645"/>
      <c r="Q115" s="1645"/>
      <c r="R115" s="1645"/>
      <c r="S115" s="1645"/>
      <c r="T115" s="1645"/>
      <c r="U115" s="1645"/>
      <c r="V115" s="1645"/>
      <c r="W115" s="1645"/>
      <c r="X115" s="1645"/>
      <c r="Y115" s="1645"/>
      <c r="Z115" s="1645"/>
      <c r="AA115" s="1645"/>
      <c r="AB115" s="1645"/>
      <c r="AC115" s="1645"/>
      <c r="AD115" s="1645"/>
      <c r="AE115" s="1645"/>
      <c r="AF115" s="1645"/>
      <c r="AG115" s="1645"/>
      <c r="AH115" s="1645"/>
      <c r="AI115" s="1645"/>
      <c r="AJ115" s="1645"/>
      <c r="AK115" s="1645"/>
      <c r="AL115" s="1645"/>
      <c r="AM115" s="1645"/>
      <c r="AN115" s="1645"/>
      <c r="AO115" s="1645"/>
      <c r="AP115" s="1645"/>
      <c r="AQ115" s="1645"/>
      <c r="AR115" s="1645"/>
      <c r="AS115" s="1645"/>
      <c r="AT115" s="1645"/>
      <c r="AU115" s="1645"/>
      <c r="AV115" s="1645"/>
      <c r="AW115" s="1645"/>
      <c r="AX115" s="1645"/>
      <c r="AY115" s="1645"/>
      <c r="AZ115" s="1645"/>
      <c r="BA115" s="1645"/>
      <c r="BB115" s="1645"/>
      <c r="BC115" s="1645"/>
      <c r="BD115" s="1645"/>
      <c r="BE115" s="1645"/>
      <c r="BF115" s="1645"/>
      <c r="BG115" s="1645"/>
      <c r="BH115" s="1645"/>
      <c r="BI115" s="1645"/>
      <c r="BJ115" s="1645"/>
      <c r="BK115" s="1645"/>
      <c r="BL115" s="1645"/>
      <c r="BM115" s="1645"/>
      <c r="BN115" s="1645"/>
      <c r="BO115" s="1645"/>
      <c r="BP115" s="1645"/>
      <c r="BQ115" s="1645"/>
      <c r="BR115" s="1645"/>
      <c r="BS115" s="1645"/>
      <c r="BT115" s="1645"/>
      <c r="BU115" s="1645"/>
      <c r="BV115" s="1645"/>
      <c r="BW115" s="1645"/>
      <c r="BX115" s="1645"/>
      <c r="BY115" s="1645"/>
      <c r="BZ115" s="1645"/>
      <c r="CA115" s="1645"/>
      <c r="CB115" s="1645"/>
      <c r="CC115" s="1645"/>
      <c r="CD115" s="1645"/>
      <c r="CE115" s="1645"/>
      <c r="CF115" s="1645"/>
      <c r="CG115" s="1645"/>
      <c r="CH115" s="1645"/>
      <c r="CI115" s="1645"/>
      <c r="CJ115" s="1645"/>
      <c r="CK115" s="1645"/>
      <c r="CL115" s="1645"/>
      <c r="CM115" s="1645"/>
      <c r="CN115" s="1645"/>
      <c r="CO115" s="1645"/>
      <c r="CP115" s="1645"/>
      <c r="CQ115" s="1645"/>
      <c r="CR115" s="1645"/>
      <c r="CS115" s="1645"/>
      <c r="CT115" s="1645"/>
      <c r="CU115" s="1645"/>
      <c r="CV115" s="1645"/>
      <c r="CW115" s="1645"/>
      <c r="CX115" s="1645"/>
      <c r="CY115" s="1645"/>
      <c r="CZ115" s="1645"/>
      <c r="DA115" s="1645"/>
      <c r="DB115" s="1645"/>
      <c r="DC115" s="1645"/>
      <c r="DD115" s="1645"/>
      <c r="DE115" s="1645"/>
    </row>
    <row r="116" spans="1:109" s="1646" customFormat="1" ht="39.75" hidden="1" customHeight="1">
      <c r="A116" s="4094" t="s">
        <v>63</v>
      </c>
      <c r="B116" s="1672" t="s">
        <v>139</v>
      </c>
      <c r="C116" s="1673" t="s">
        <v>81</v>
      </c>
      <c r="D116" s="1674"/>
      <c r="E116" s="1675"/>
      <c r="F116" s="1675"/>
      <c r="G116" s="1675"/>
      <c r="H116" s="1675"/>
      <c r="I116" s="1675"/>
      <c r="J116" s="1675"/>
      <c r="K116" s="1675"/>
      <c r="L116" s="1675"/>
      <c r="M116" s="1676"/>
      <c r="N116" s="1676"/>
      <c r="O116" s="4112" t="s">
        <v>140</v>
      </c>
      <c r="P116" s="1645"/>
      <c r="Q116" s="1645"/>
      <c r="R116" s="1645"/>
      <c r="S116" s="1645"/>
      <c r="T116" s="1645"/>
      <c r="U116" s="1645"/>
      <c r="V116" s="1645"/>
      <c r="W116" s="1645"/>
      <c r="X116" s="1645"/>
      <c r="Y116" s="1645"/>
      <c r="Z116" s="1645"/>
      <c r="AA116" s="1645"/>
      <c r="AB116" s="1645"/>
      <c r="AC116" s="1645"/>
      <c r="AD116" s="1645"/>
      <c r="AE116" s="1645"/>
      <c r="AF116" s="1645"/>
      <c r="AG116" s="1645"/>
      <c r="AH116" s="1645"/>
      <c r="AI116" s="1645"/>
      <c r="AJ116" s="1645"/>
      <c r="AK116" s="1645"/>
      <c r="AL116" s="1645"/>
      <c r="AM116" s="1645"/>
      <c r="AN116" s="1645"/>
      <c r="AO116" s="1645"/>
      <c r="AP116" s="1645"/>
      <c r="AQ116" s="1645"/>
      <c r="AR116" s="1645"/>
      <c r="AS116" s="1645"/>
      <c r="AT116" s="1645"/>
      <c r="AU116" s="1645"/>
      <c r="AV116" s="1645"/>
      <c r="AW116" s="1645"/>
      <c r="AX116" s="1645"/>
      <c r="AY116" s="1645"/>
      <c r="AZ116" s="1645"/>
      <c r="BA116" s="1645"/>
      <c r="BB116" s="1645"/>
      <c r="BC116" s="1645"/>
      <c r="BD116" s="1645"/>
      <c r="BE116" s="1645"/>
      <c r="BF116" s="1645"/>
      <c r="BG116" s="1645"/>
      <c r="BH116" s="1645"/>
      <c r="BI116" s="1645"/>
      <c r="BJ116" s="1645"/>
      <c r="BK116" s="1645"/>
      <c r="BL116" s="1645"/>
      <c r="BM116" s="1645"/>
      <c r="BN116" s="1645"/>
      <c r="BO116" s="1645"/>
      <c r="BP116" s="1645"/>
      <c r="BQ116" s="1645"/>
      <c r="BR116" s="1645"/>
      <c r="BS116" s="1645"/>
      <c r="BT116" s="1645"/>
      <c r="BU116" s="1645"/>
      <c r="BV116" s="1645"/>
      <c r="BW116" s="1645"/>
      <c r="BX116" s="1645"/>
      <c r="BY116" s="1645"/>
      <c r="BZ116" s="1645"/>
      <c r="CA116" s="1645"/>
      <c r="CB116" s="1645"/>
      <c r="CC116" s="1645"/>
      <c r="CD116" s="1645"/>
      <c r="CE116" s="1645"/>
      <c r="CF116" s="1645"/>
      <c r="CG116" s="1645"/>
      <c r="CH116" s="1645"/>
      <c r="CI116" s="1645"/>
      <c r="CJ116" s="1645"/>
      <c r="CK116" s="1645"/>
      <c r="CL116" s="1645"/>
      <c r="CM116" s="1645"/>
      <c r="CN116" s="1645"/>
      <c r="CO116" s="1645"/>
      <c r="CP116" s="1645"/>
      <c r="CQ116" s="1645"/>
      <c r="CR116" s="1645"/>
      <c r="CS116" s="1645"/>
      <c r="CT116" s="1645"/>
      <c r="CU116" s="1645"/>
      <c r="CV116" s="1645"/>
      <c r="CW116" s="1645"/>
      <c r="CX116" s="1645"/>
      <c r="CY116" s="1645"/>
      <c r="CZ116" s="1645"/>
      <c r="DA116" s="1645"/>
      <c r="DB116" s="1645"/>
      <c r="DC116" s="1645"/>
      <c r="DD116" s="1645"/>
      <c r="DE116" s="1645"/>
    </row>
    <row r="117" spans="1:109" s="1646" customFormat="1" ht="18.75" hidden="1" customHeight="1">
      <c r="A117" s="4095"/>
      <c r="B117" s="1677" t="s">
        <v>10</v>
      </c>
      <c r="C117" s="1678"/>
      <c r="D117" s="1637"/>
      <c r="E117" s="1637"/>
      <c r="F117" s="1637">
        <f t="shared" ref="F117:G118" si="81">F118</f>
        <v>0</v>
      </c>
      <c r="G117" s="1637">
        <f t="shared" si="81"/>
        <v>0</v>
      </c>
      <c r="H117" s="1637"/>
      <c r="I117" s="1637"/>
      <c r="J117" s="1637"/>
      <c r="K117" s="1637"/>
      <c r="L117" s="1637"/>
      <c r="M117" s="1665">
        <f>+M118</f>
        <v>0</v>
      </c>
      <c r="N117" s="1665">
        <f>+N118</f>
        <v>0</v>
      </c>
      <c r="O117" s="4113"/>
      <c r="P117" s="1645"/>
      <c r="Q117" s="1645"/>
      <c r="R117" s="1645"/>
      <c r="S117" s="1645"/>
      <c r="T117" s="1645"/>
      <c r="U117" s="1645"/>
      <c r="V117" s="1645"/>
      <c r="W117" s="1645"/>
      <c r="X117" s="1645"/>
      <c r="Y117" s="1645"/>
      <c r="Z117" s="1645"/>
      <c r="AA117" s="1645"/>
      <c r="AB117" s="1645"/>
      <c r="AC117" s="1645"/>
      <c r="AD117" s="1645"/>
      <c r="AE117" s="1645"/>
      <c r="AF117" s="1645"/>
      <c r="AG117" s="1645"/>
      <c r="AH117" s="1645"/>
      <c r="AI117" s="1645"/>
      <c r="AJ117" s="1645"/>
      <c r="AK117" s="1645"/>
      <c r="AL117" s="1645"/>
      <c r="AM117" s="1645"/>
      <c r="AN117" s="1645"/>
      <c r="AO117" s="1645"/>
      <c r="AP117" s="1645"/>
      <c r="AQ117" s="1645"/>
      <c r="AR117" s="1645"/>
      <c r="AS117" s="1645"/>
      <c r="AT117" s="1645"/>
      <c r="AU117" s="1645"/>
      <c r="AV117" s="1645"/>
      <c r="AW117" s="1645"/>
      <c r="AX117" s="1645"/>
      <c r="AY117" s="1645"/>
      <c r="AZ117" s="1645"/>
      <c r="BA117" s="1645"/>
      <c r="BB117" s="1645"/>
      <c r="BC117" s="1645"/>
      <c r="BD117" s="1645"/>
      <c r="BE117" s="1645"/>
      <c r="BF117" s="1645"/>
      <c r="BG117" s="1645"/>
      <c r="BH117" s="1645"/>
      <c r="BI117" s="1645"/>
      <c r="BJ117" s="1645"/>
      <c r="BK117" s="1645"/>
      <c r="BL117" s="1645"/>
      <c r="BM117" s="1645"/>
      <c r="BN117" s="1645"/>
      <c r="BO117" s="1645"/>
      <c r="BP117" s="1645"/>
      <c r="BQ117" s="1645"/>
      <c r="BR117" s="1645"/>
      <c r="BS117" s="1645"/>
      <c r="BT117" s="1645"/>
      <c r="BU117" s="1645"/>
      <c r="BV117" s="1645"/>
      <c r="BW117" s="1645"/>
      <c r="BX117" s="1645"/>
      <c r="BY117" s="1645"/>
      <c r="BZ117" s="1645"/>
      <c r="CA117" s="1645"/>
      <c r="CB117" s="1645"/>
      <c r="CC117" s="1645"/>
      <c r="CD117" s="1645"/>
      <c r="CE117" s="1645"/>
      <c r="CF117" s="1645"/>
      <c r="CG117" s="1645"/>
      <c r="CH117" s="1645"/>
      <c r="CI117" s="1645"/>
      <c r="CJ117" s="1645"/>
      <c r="CK117" s="1645"/>
      <c r="CL117" s="1645"/>
      <c r="CM117" s="1645"/>
      <c r="CN117" s="1645"/>
      <c r="CO117" s="1645"/>
      <c r="CP117" s="1645"/>
      <c r="CQ117" s="1645"/>
      <c r="CR117" s="1645"/>
      <c r="CS117" s="1645"/>
      <c r="CT117" s="1645"/>
      <c r="CU117" s="1645"/>
      <c r="CV117" s="1645"/>
      <c r="CW117" s="1645"/>
      <c r="CX117" s="1645"/>
      <c r="CY117" s="1645"/>
      <c r="CZ117" s="1645"/>
      <c r="DA117" s="1645"/>
      <c r="DB117" s="1645"/>
      <c r="DC117" s="1645"/>
      <c r="DD117" s="1645"/>
      <c r="DE117" s="1645"/>
    </row>
    <row r="118" spans="1:109" s="1654" customFormat="1" ht="18.75" hidden="1" customHeight="1">
      <c r="A118" s="4095"/>
      <c r="B118" s="1679" t="s">
        <v>24</v>
      </c>
      <c r="C118" s="4057" t="s">
        <v>141</v>
      </c>
      <c r="D118" s="1680"/>
      <c r="E118" s="1680"/>
      <c r="F118" s="1680">
        <f t="shared" si="81"/>
        <v>0</v>
      </c>
      <c r="G118" s="1680">
        <f t="shared" si="81"/>
        <v>0</v>
      </c>
      <c r="H118" s="1680"/>
      <c r="I118" s="1680"/>
      <c r="J118" s="1680"/>
      <c r="K118" s="1680"/>
      <c r="L118" s="1680"/>
      <c r="M118" s="1681">
        <f>+M119</f>
        <v>0</v>
      </c>
      <c r="N118" s="1681">
        <f>+N119</f>
        <v>0</v>
      </c>
      <c r="O118" s="4113"/>
    </row>
    <row r="119" spans="1:109" s="1646" customFormat="1" ht="18.75" hidden="1" customHeight="1" thickBot="1">
      <c r="A119" s="4096"/>
      <c r="B119" s="1682" t="s">
        <v>12</v>
      </c>
      <c r="C119" s="4059"/>
      <c r="D119" s="1683"/>
      <c r="E119" s="1683"/>
      <c r="F119" s="1683">
        <v>0</v>
      </c>
      <c r="G119" s="1683">
        <v>0</v>
      </c>
      <c r="H119" s="1683"/>
      <c r="I119" s="1683"/>
      <c r="J119" s="1683"/>
      <c r="K119" s="1683"/>
      <c r="L119" s="1683"/>
      <c r="M119" s="1653">
        <f>SUM(E119:G119)</f>
        <v>0</v>
      </c>
      <c r="N119" s="1653">
        <f>SUM(F119:H119)</f>
        <v>0</v>
      </c>
      <c r="O119" s="4114"/>
      <c r="P119" s="1645"/>
      <c r="Q119" s="1645"/>
      <c r="R119" s="1645"/>
      <c r="S119" s="1645"/>
      <c r="T119" s="1645"/>
      <c r="U119" s="1645"/>
      <c r="V119" s="1645"/>
      <c r="W119" s="1645"/>
      <c r="X119" s="1645"/>
      <c r="Y119" s="1645"/>
      <c r="Z119" s="1645"/>
      <c r="AA119" s="1645"/>
      <c r="AB119" s="1645"/>
      <c r="AC119" s="1645"/>
      <c r="AD119" s="1645"/>
      <c r="AE119" s="1645"/>
      <c r="AF119" s="1645"/>
      <c r="AG119" s="1645"/>
      <c r="AH119" s="1645"/>
      <c r="AI119" s="1645"/>
      <c r="AJ119" s="1645"/>
      <c r="AK119" s="1645"/>
      <c r="AL119" s="1645"/>
      <c r="AM119" s="1645"/>
      <c r="AN119" s="1645"/>
      <c r="AO119" s="1645"/>
      <c r="AP119" s="1645"/>
      <c r="AQ119" s="1645"/>
      <c r="AR119" s="1645"/>
      <c r="AS119" s="1645"/>
      <c r="AT119" s="1645"/>
      <c r="AU119" s="1645"/>
      <c r="AV119" s="1645"/>
      <c r="AW119" s="1645"/>
      <c r="AX119" s="1645"/>
      <c r="AY119" s="1645"/>
      <c r="AZ119" s="1645"/>
      <c r="BA119" s="1645"/>
      <c r="BB119" s="1645"/>
      <c r="BC119" s="1645"/>
      <c r="BD119" s="1645"/>
      <c r="BE119" s="1645"/>
      <c r="BF119" s="1645"/>
      <c r="BG119" s="1645"/>
      <c r="BH119" s="1645"/>
      <c r="BI119" s="1645"/>
      <c r="BJ119" s="1645"/>
      <c r="BK119" s="1645"/>
      <c r="BL119" s="1645"/>
      <c r="BM119" s="1645"/>
      <c r="BN119" s="1645"/>
      <c r="BO119" s="1645"/>
      <c r="BP119" s="1645"/>
      <c r="BQ119" s="1645"/>
      <c r="BR119" s="1645"/>
      <c r="BS119" s="1645"/>
      <c r="BT119" s="1645"/>
      <c r="BU119" s="1645"/>
      <c r="BV119" s="1645"/>
      <c r="BW119" s="1645"/>
      <c r="BX119" s="1645"/>
      <c r="BY119" s="1645"/>
      <c r="BZ119" s="1645"/>
      <c r="CA119" s="1645"/>
      <c r="CB119" s="1645"/>
      <c r="CC119" s="1645"/>
      <c r="CD119" s="1645"/>
      <c r="CE119" s="1645"/>
      <c r="CF119" s="1645"/>
      <c r="CG119" s="1645"/>
      <c r="CH119" s="1645"/>
      <c r="CI119" s="1645"/>
      <c r="CJ119" s="1645"/>
      <c r="CK119" s="1645"/>
      <c r="CL119" s="1645"/>
      <c r="CM119" s="1645"/>
      <c r="CN119" s="1645"/>
      <c r="CO119" s="1645"/>
      <c r="CP119" s="1645"/>
      <c r="CQ119" s="1645"/>
      <c r="CR119" s="1645"/>
      <c r="CS119" s="1645"/>
      <c r="CT119" s="1645"/>
      <c r="CU119" s="1645"/>
      <c r="CV119" s="1645"/>
      <c r="CW119" s="1645"/>
      <c r="CX119" s="1645"/>
      <c r="CY119" s="1645"/>
      <c r="CZ119" s="1645"/>
      <c r="DA119" s="1645"/>
      <c r="DB119" s="1645"/>
      <c r="DC119" s="1645"/>
      <c r="DD119" s="1645"/>
      <c r="DE119" s="1645"/>
    </row>
    <row r="120" spans="1:109" ht="12.75" hidden="1" customHeight="1">
      <c r="A120" s="4106" t="s">
        <v>64</v>
      </c>
      <c r="B120" s="3454" t="s">
        <v>142</v>
      </c>
      <c r="C120" s="3444" t="s">
        <v>81</v>
      </c>
      <c r="D120" s="3444"/>
      <c r="E120" s="3444"/>
      <c r="F120" s="3444"/>
      <c r="G120" s="3444"/>
      <c r="H120" s="3444"/>
      <c r="I120" s="3444"/>
      <c r="J120" s="3444"/>
      <c r="K120" s="3444"/>
      <c r="L120" s="3444"/>
      <c r="M120" s="1684"/>
      <c r="N120" s="1684"/>
      <c r="O120" s="4107" t="s">
        <v>143</v>
      </c>
    </row>
    <row r="121" spans="1:109" ht="13.5" hidden="1" customHeight="1">
      <c r="A121" s="4102"/>
      <c r="B121" s="1619" t="s">
        <v>10</v>
      </c>
      <c r="C121" s="1685"/>
      <c r="D121" s="3444"/>
      <c r="E121" s="3444"/>
      <c r="F121" s="3444">
        <v>0</v>
      </c>
      <c r="G121" s="3444">
        <v>0</v>
      </c>
      <c r="H121" s="3444"/>
      <c r="I121" s="3444"/>
      <c r="J121" s="3444"/>
      <c r="K121" s="3444"/>
      <c r="L121" s="3444"/>
      <c r="M121" s="1684"/>
      <c r="N121" s="1684"/>
      <c r="O121" s="4107"/>
    </row>
    <row r="122" spans="1:109" ht="14.25" hidden="1" customHeight="1">
      <c r="A122" s="4102"/>
      <c r="B122" s="3454" t="s">
        <v>24</v>
      </c>
      <c r="C122" s="4109" t="s">
        <v>144</v>
      </c>
      <c r="D122" s="3444"/>
      <c r="E122" s="3444"/>
      <c r="F122" s="3444">
        <v>0</v>
      </c>
      <c r="G122" s="3444">
        <v>0</v>
      </c>
      <c r="H122" s="3444"/>
      <c r="I122" s="3444"/>
      <c r="J122" s="3444"/>
      <c r="K122" s="3444"/>
      <c r="L122" s="3444"/>
      <c r="M122" s="1684"/>
      <c r="N122" s="1684"/>
      <c r="O122" s="4108"/>
    </row>
    <row r="123" spans="1:109" ht="15" hidden="1" customHeight="1" thickBot="1">
      <c r="A123" s="4102"/>
      <c r="B123" s="3454" t="s">
        <v>12</v>
      </c>
      <c r="C123" s="4109"/>
      <c r="D123" s="3444"/>
      <c r="E123" s="3444"/>
      <c r="F123" s="3444">
        <v>0</v>
      </c>
      <c r="G123" s="3444">
        <v>0</v>
      </c>
      <c r="H123" s="3444"/>
      <c r="I123" s="3444"/>
      <c r="J123" s="3444"/>
      <c r="K123" s="3444"/>
      <c r="L123" s="3444"/>
      <c r="M123" s="1684"/>
      <c r="N123" s="1684"/>
      <c r="O123" s="4108"/>
    </row>
    <row r="124" spans="1:109" ht="36.75" hidden="1" customHeight="1">
      <c r="A124" s="4101" t="s">
        <v>63</v>
      </c>
      <c r="B124" s="1672" t="s">
        <v>203</v>
      </c>
      <c r="C124" s="1686" t="s">
        <v>81</v>
      </c>
      <c r="D124" s="1687"/>
      <c r="E124" s="1675"/>
      <c r="F124" s="1675"/>
      <c r="G124" s="1675"/>
      <c r="H124" s="1675"/>
      <c r="I124" s="1675"/>
      <c r="J124" s="1675"/>
      <c r="K124" s="1675"/>
      <c r="L124" s="1675"/>
      <c r="M124" s="1688"/>
      <c r="N124" s="1688"/>
      <c r="O124" s="4110" t="s">
        <v>175</v>
      </c>
    </row>
    <row r="125" spans="1:109" ht="14.25" hidden="1" customHeight="1">
      <c r="A125" s="4106"/>
      <c r="B125" s="1612" t="s">
        <v>10</v>
      </c>
      <c r="C125" s="1685"/>
      <c r="D125" s="1689"/>
      <c r="E125" s="1689">
        <f>+E126+E129</f>
        <v>0</v>
      </c>
      <c r="F125" s="1689">
        <v>0</v>
      </c>
      <c r="G125" s="1689">
        <v>0</v>
      </c>
      <c r="H125" s="1689">
        <v>0</v>
      </c>
      <c r="I125" s="1689">
        <v>0</v>
      </c>
      <c r="J125" s="1689">
        <v>0</v>
      </c>
      <c r="K125" s="1689">
        <v>0</v>
      </c>
      <c r="L125" s="1689">
        <v>0</v>
      </c>
      <c r="M125" s="1665">
        <f>+M126</f>
        <v>0</v>
      </c>
      <c r="N125" s="1665">
        <f>+N126</f>
        <v>0</v>
      </c>
      <c r="O125" s="4110"/>
    </row>
    <row r="126" spans="1:109" ht="15.75" hidden="1" customHeight="1">
      <c r="A126" s="4106"/>
      <c r="B126" s="1690" t="s">
        <v>24</v>
      </c>
      <c r="C126" s="4057" t="s">
        <v>145</v>
      </c>
      <c r="D126" s="1691"/>
      <c r="E126" s="1691">
        <f t="shared" ref="E126" si="82">E127+E128</f>
        <v>0</v>
      </c>
      <c r="F126" s="1691">
        <f t="shared" ref="F126:L126" si="83">F127+F128</f>
        <v>0</v>
      </c>
      <c r="G126" s="1691">
        <f t="shared" si="83"/>
        <v>0</v>
      </c>
      <c r="H126" s="1691">
        <f t="shared" si="83"/>
        <v>0</v>
      </c>
      <c r="I126" s="1691">
        <f t="shared" si="83"/>
        <v>0</v>
      </c>
      <c r="J126" s="1691">
        <f t="shared" si="83"/>
        <v>0</v>
      </c>
      <c r="K126" s="1691">
        <f t="shared" si="83"/>
        <v>0</v>
      </c>
      <c r="L126" s="1691">
        <f t="shared" si="83"/>
        <v>0</v>
      </c>
      <c r="M126" s="1650">
        <f>+M128</f>
        <v>0</v>
      </c>
      <c r="N126" s="1650">
        <f>+N128</f>
        <v>0</v>
      </c>
      <c r="O126" s="4110"/>
    </row>
    <row r="127" spans="1:109" ht="13.5" hidden="1" customHeight="1">
      <c r="A127" s="4106"/>
      <c r="B127" s="1692" t="s">
        <v>136</v>
      </c>
      <c r="C127" s="4093"/>
      <c r="D127" s="1623"/>
      <c r="E127" s="1623"/>
      <c r="F127" s="1629">
        <v>0</v>
      </c>
      <c r="G127" s="1629">
        <v>0</v>
      </c>
      <c r="H127" s="1629">
        <v>0</v>
      </c>
      <c r="I127" s="1629">
        <v>0</v>
      </c>
      <c r="J127" s="1629">
        <v>0</v>
      </c>
      <c r="K127" s="1629">
        <v>0</v>
      </c>
      <c r="L127" s="1629">
        <v>0</v>
      </c>
      <c r="M127" s="1658" t="s">
        <v>61</v>
      </c>
      <c r="N127" s="1658" t="s">
        <v>61</v>
      </c>
      <c r="O127" s="4110"/>
    </row>
    <row r="128" spans="1:109" ht="13.5" hidden="1" customHeight="1">
      <c r="A128" s="4106"/>
      <c r="B128" s="1693" t="s">
        <v>137</v>
      </c>
      <c r="C128" s="4093"/>
      <c r="D128" s="1623"/>
      <c r="E128" s="1623"/>
      <c r="F128" s="1694">
        <v>0</v>
      </c>
      <c r="G128" s="1694">
        <v>0</v>
      </c>
      <c r="H128" s="1694">
        <v>0</v>
      </c>
      <c r="I128" s="1694">
        <v>0</v>
      </c>
      <c r="J128" s="1694">
        <v>0</v>
      </c>
      <c r="K128" s="1694">
        <v>0</v>
      </c>
      <c r="L128" s="1694">
        <v>0</v>
      </c>
      <c r="M128" s="1650"/>
      <c r="N128" s="1650"/>
      <c r="O128" s="4110"/>
    </row>
    <row r="129" spans="1:15" ht="12" hidden="1" customHeight="1">
      <c r="A129" s="4106"/>
      <c r="B129" s="1690" t="s">
        <v>18</v>
      </c>
      <c r="C129" s="4093"/>
      <c r="D129" s="1691"/>
      <c r="E129" s="1691">
        <f t="shared" ref="E129" si="84">+E130</f>
        <v>0</v>
      </c>
      <c r="F129" s="1691">
        <v>0</v>
      </c>
      <c r="G129" s="1691">
        <v>0</v>
      </c>
      <c r="H129" s="1691">
        <v>0</v>
      </c>
      <c r="I129" s="1691">
        <v>0</v>
      </c>
      <c r="J129" s="1691">
        <v>0</v>
      </c>
      <c r="K129" s="1691">
        <v>0</v>
      </c>
      <c r="L129" s="1691">
        <v>0</v>
      </c>
      <c r="M129" s="1658" t="str">
        <f>+M130</f>
        <v>x</v>
      </c>
      <c r="N129" s="1658" t="str">
        <f>+N130</f>
        <v>x</v>
      </c>
      <c r="O129" s="4110"/>
    </row>
    <row r="130" spans="1:15" ht="14.25" hidden="1" customHeight="1">
      <c r="A130" s="4106"/>
      <c r="B130" s="1695" t="s">
        <v>35</v>
      </c>
      <c r="C130" s="4058"/>
      <c r="D130" s="1623"/>
      <c r="E130" s="1623"/>
      <c r="F130" s="3455">
        <v>0</v>
      </c>
      <c r="G130" s="3455">
        <v>0</v>
      </c>
      <c r="H130" s="3455">
        <v>0</v>
      </c>
      <c r="I130" s="3455">
        <v>0</v>
      </c>
      <c r="J130" s="3455">
        <v>0</v>
      </c>
      <c r="K130" s="3455">
        <v>0</v>
      </c>
      <c r="L130" s="3455">
        <v>0</v>
      </c>
      <c r="M130" s="1696" t="s">
        <v>61</v>
      </c>
      <c r="N130" s="1696" t="s">
        <v>61</v>
      </c>
      <c r="O130" s="4110"/>
    </row>
    <row r="131" spans="1:15" ht="13.5" hidden="1" customHeight="1">
      <c r="A131" s="4106"/>
      <c r="B131" s="1619" t="s">
        <v>22</v>
      </c>
      <c r="C131" s="1685"/>
      <c r="D131" s="1689"/>
      <c r="E131" s="1689">
        <f>E135+E132</f>
        <v>0</v>
      </c>
      <c r="F131" s="1689">
        <v>0</v>
      </c>
      <c r="G131" s="1689">
        <v>0</v>
      </c>
      <c r="H131" s="1689">
        <v>0</v>
      </c>
      <c r="I131" s="1689">
        <v>0</v>
      </c>
      <c r="J131" s="1689">
        <v>0</v>
      </c>
      <c r="K131" s="1689">
        <v>0</v>
      </c>
      <c r="L131" s="1689">
        <v>0</v>
      </c>
      <c r="M131" s="1665"/>
      <c r="N131" s="1665"/>
      <c r="O131" s="4110"/>
    </row>
    <row r="132" spans="1:15" ht="14.25" hidden="1" customHeight="1">
      <c r="A132" s="4106"/>
      <c r="B132" s="1621" t="s">
        <v>24</v>
      </c>
      <c r="C132" s="4087" t="s">
        <v>23</v>
      </c>
      <c r="D132" s="1697"/>
      <c r="E132" s="1697">
        <f t="shared" ref="E132" si="85">+E134+E133</f>
        <v>0</v>
      </c>
      <c r="F132" s="1691">
        <f t="shared" ref="F132:L132" si="86">+F134+F133</f>
        <v>0</v>
      </c>
      <c r="G132" s="1691">
        <f t="shared" si="86"/>
        <v>0</v>
      </c>
      <c r="H132" s="1691">
        <f t="shared" si="86"/>
        <v>0</v>
      </c>
      <c r="I132" s="1691">
        <f t="shared" si="86"/>
        <v>0</v>
      </c>
      <c r="J132" s="1691">
        <f t="shared" si="86"/>
        <v>0</v>
      </c>
      <c r="K132" s="1691">
        <f t="shared" si="86"/>
        <v>0</v>
      </c>
      <c r="L132" s="1691">
        <f t="shared" si="86"/>
        <v>0</v>
      </c>
      <c r="M132" s="4090" t="s">
        <v>61</v>
      </c>
      <c r="N132" s="4090" t="s">
        <v>61</v>
      </c>
      <c r="O132" s="4110"/>
    </row>
    <row r="133" spans="1:15" ht="13.5" hidden="1" customHeight="1">
      <c r="A133" s="4106"/>
      <c r="B133" s="1692" t="s">
        <v>136</v>
      </c>
      <c r="C133" s="4088"/>
      <c r="D133" s="1623"/>
      <c r="E133" s="1623"/>
      <c r="F133" s="1698">
        <v>0</v>
      </c>
      <c r="G133" s="1698">
        <v>0</v>
      </c>
      <c r="H133" s="1698">
        <v>0</v>
      </c>
      <c r="I133" s="1698">
        <v>0</v>
      </c>
      <c r="J133" s="1698">
        <v>0</v>
      </c>
      <c r="K133" s="1698">
        <v>0</v>
      </c>
      <c r="L133" s="1698">
        <v>0</v>
      </c>
      <c r="M133" s="4091"/>
      <c r="N133" s="4091"/>
      <c r="O133" s="4110"/>
    </row>
    <row r="134" spans="1:15" ht="13.5" hidden="1" customHeight="1">
      <c r="A134" s="4106"/>
      <c r="B134" s="1693" t="s">
        <v>146</v>
      </c>
      <c r="C134" s="4088"/>
      <c r="D134" s="1623"/>
      <c r="E134" s="1699"/>
      <c r="F134" s="1694">
        <v>0</v>
      </c>
      <c r="G134" s="1694">
        <v>0</v>
      </c>
      <c r="H134" s="1694">
        <v>0</v>
      </c>
      <c r="I134" s="1694">
        <v>0</v>
      </c>
      <c r="J134" s="1694">
        <v>0</v>
      </c>
      <c r="K134" s="1694">
        <v>0</v>
      </c>
      <c r="L134" s="1694">
        <v>0</v>
      </c>
      <c r="M134" s="4091"/>
      <c r="N134" s="4091"/>
      <c r="O134" s="4110"/>
    </row>
    <row r="135" spans="1:15" ht="12.75" hidden="1" customHeight="1">
      <c r="A135" s="4106"/>
      <c r="B135" s="1690" t="s">
        <v>18</v>
      </c>
      <c r="C135" s="4088"/>
      <c r="D135" s="1697"/>
      <c r="E135" s="1697">
        <f t="shared" ref="E135" si="87">+E136</f>
        <v>0</v>
      </c>
      <c r="F135" s="1691">
        <v>0</v>
      </c>
      <c r="G135" s="1691">
        <v>0</v>
      </c>
      <c r="H135" s="1691">
        <v>0</v>
      </c>
      <c r="I135" s="1691">
        <v>0</v>
      </c>
      <c r="J135" s="1691"/>
      <c r="K135" s="1691"/>
      <c r="L135" s="1691"/>
      <c r="M135" s="4091"/>
      <c r="N135" s="4091"/>
      <c r="O135" s="4110"/>
    </row>
    <row r="136" spans="1:15" ht="13.5" hidden="1" customHeight="1" thickBot="1">
      <c r="A136" s="4106"/>
      <c r="B136" s="1700" t="s">
        <v>35</v>
      </c>
      <c r="C136" s="4089"/>
      <c r="D136" s="1623"/>
      <c r="E136" s="1623">
        <v>0</v>
      </c>
      <c r="F136" s="1698">
        <v>0</v>
      </c>
      <c r="G136" s="1698">
        <v>0</v>
      </c>
      <c r="H136" s="1698">
        <v>0</v>
      </c>
      <c r="I136" s="1698">
        <v>0</v>
      </c>
      <c r="J136" s="1698">
        <v>0</v>
      </c>
      <c r="K136" s="1698">
        <v>0</v>
      </c>
      <c r="L136" s="1698">
        <v>0</v>
      </c>
      <c r="M136" s="4092"/>
      <c r="N136" s="4092"/>
      <c r="O136" s="4111"/>
    </row>
    <row r="137" spans="1:15" ht="26.25" hidden="1" customHeight="1">
      <c r="A137" s="4101" t="s">
        <v>63</v>
      </c>
      <c r="B137" s="1701" t="s">
        <v>177</v>
      </c>
      <c r="C137" s="1702" t="s">
        <v>81</v>
      </c>
      <c r="D137" s="1703"/>
      <c r="E137" s="1675"/>
      <c r="F137" s="1675"/>
      <c r="G137" s="1675"/>
      <c r="H137" s="1675"/>
      <c r="I137" s="1675"/>
      <c r="J137" s="1675"/>
      <c r="K137" s="1675"/>
      <c r="L137" s="1675"/>
      <c r="M137" s="1618"/>
      <c r="N137" s="1618"/>
      <c r="O137" s="4036" t="s">
        <v>182</v>
      </c>
    </row>
    <row r="138" spans="1:15" s="1615" customFormat="1" ht="17.25" hidden="1" customHeight="1">
      <c r="A138" s="4102"/>
      <c r="B138" s="1704" t="s">
        <v>10</v>
      </c>
      <c r="C138" s="1685"/>
      <c r="D138" s="1705"/>
      <c r="E138" s="1705">
        <f t="shared" ref="E138:J139" si="88">E139</f>
        <v>0</v>
      </c>
      <c r="F138" s="1705">
        <f t="shared" si="88"/>
        <v>0</v>
      </c>
      <c r="G138" s="1705">
        <f t="shared" si="88"/>
        <v>0</v>
      </c>
      <c r="H138" s="1705">
        <f t="shared" si="88"/>
        <v>0</v>
      </c>
      <c r="I138" s="1705">
        <f t="shared" si="88"/>
        <v>0</v>
      </c>
      <c r="J138" s="1705">
        <f t="shared" si="88"/>
        <v>0</v>
      </c>
      <c r="K138" s="1705">
        <f>K139</f>
        <v>0</v>
      </c>
      <c r="L138" s="1705">
        <f>L139</f>
        <v>0</v>
      </c>
      <c r="M138" s="1706">
        <f>+M139</f>
        <v>0</v>
      </c>
      <c r="N138" s="1706">
        <f>+N139</f>
        <v>0</v>
      </c>
      <c r="O138" s="4037"/>
    </row>
    <row r="139" spans="1:15" s="1709" customFormat="1" ht="15" hidden="1" customHeight="1">
      <c r="A139" s="4102"/>
      <c r="B139" s="1707" t="s">
        <v>24</v>
      </c>
      <c r="C139" s="4104" t="s">
        <v>145</v>
      </c>
      <c r="D139" s="1697"/>
      <c r="E139" s="1697">
        <f>E140</f>
        <v>0</v>
      </c>
      <c r="F139" s="1697">
        <f t="shared" si="88"/>
        <v>0</v>
      </c>
      <c r="G139" s="1697">
        <f t="shared" si="88"/>
        <v>0</v>
      </c>
      <c r="H139" s="1697">
        <f t="shared" si="88"/>
        <v>0</v>
      </c>
      <c r="I139" s="1697">
        <f t="shared" si="88"/>
        <v>0</v>
      </c>
      <c r="J139" s="1697">
        <f t="shared" si="88"/>
        <v>0</v>
      </c>
      <c r="K139" s="1697">
        <f>K140</f>
        <v>0</v>
      </c>
      <c r="L139" s="1697">
        <f>L140</f>
        <v>0</v>
      </c>
      <c r="M139" s="1708">
        <f>+M140</f>
        <v>0</v>
      </c>
      <c r="N139" s="1708">
        <f>+N140</f>
        <v>0</v>
      </c>
      <c r="O139" s="4037"/>
    </row>
    <row r="140" spans="1:15" s="1615" customFormat="1" ht="15" hidden="1" customHeight="1" thickBot="1">
      <c r="A140" s="4103"/>
      <c r="B140" s="1710" t="s">
        <v>137</v>
      </c>
      <c r="C140" s="4105"/>
      <c r="D140" s="2373"/>
      <c r="E140" s="2373">
        <v>0</v>
      </c>
      <c r="F140" s="1711">
        <v>0</v>
      </c>
      <c r="G140" s="1711">
        <v>0</v>
      </c>
      <c r="H140" s="1711">
        <v>0</v>
      </c>
      <c r="I140" s="1711">
        <v>0</v>
      </c>
      <c r="J140" s="1711">
        <v>0</v>
      </c>
      <c r="K140" s="1711">
        <v>0</v>
      </c>
      <c r="L140" s="1711">
        <v>0</v>
      </c>
      <c r="M140" s="1712"/>
      <c r="N140" s="1712"/>
      <c r="O140" s="4056"/>
    </row>
    <row r="141" spans="1:15" ht="12.75" hidden="1">
      <c r="A141" s="3444"/>
      <c r="B141" s="3444"/>
      <c r="C141" s="3444"/>
      <c r="D141" s="3444"/>
      <c r="E141" s="3444"/>
      <c r="F141" s="3444"/>
      <c r="G141" s="3444"/>
      <c r="H141" s="3444"/>
      <c r="I141" s="3444"/>
      <c r="J141" s="3444"/>
      <c r="K141" s="3444"/>
      <c r="L141" s="3444"/>
      <c r="M141" s="3444"/>
      <c r="N141" s="3444"/>
    </row>
    <row r="142" spans="1:15" ht="12.75" hidden="1">
      <c r="A142" s="3444"/>
      <c r="B142" s="3456" t="s">
        <v>350</v>
      </c>
      <c r="C142" s="3455"/>
      <c r="D142" s="3455"/>
      <c r="E142" s="3455"/>
      <c r="F142" s="3455"/>
      <c r="G142" s="3455"/>
      <c r="H142" s="3455"/>
      <c r="I142" s="3455"/>
      <c r="J142" s="3455"/>
      <c r="K142" s="3455"/>
      <c r="L142" s="3455"/>
      <c r="M142" s="3444"/>
      <c r="N142" s="3444"/>
    </row>
    <row r="143" spans="1:15" ht="12.75" hidden="1">
      <c r="A143" s="3444"/>
      <c r="B143" s="3456" t="s">
        <v>351</v>
      </c>
      <c r="C143" s="3455"/>
      <c r="D143" s="3351">
        <f>D73+D59+D43+D82</f>
        <v>996038</v>
      </c>
      <c r="E143" s="3351">
        <f t="shared" ref="E143:L143" si="89">E73+E59+E43+E82</f>
        <v>292115</v>
      </c>
      <c r="F143" s="3351">
        <f t="shared" si="89"/>
        <v>107202</v>
      </c>
      <c r="G143" s="3351">
        <f t="shared" si="89"/>
        <v>342369</v>
      </c>
      <c r="H143" s="3351">
        <f t="shared" si="89"/>
        <v>124950</v>
      </c>
      <c r="I143" s="3351">
        <f t="shared" si="89"/>
        <v>99540</v>
      </c>
      <c r="J143" s="3351">
        <f t="shared" si="89"/>
        <v>29862</v>
      </c>
      <c r="K143" s="3351">
        <f t="shared" si="89"/>
        <v>0</v>
      </c>
      <c r="L143" s="3351">
        <f t="shared" si="89"/>
        <v>0</v>
      </c>
      <c r="M143" s="3444"/>
      <c r="N143" s="3444"/>
    </row>
    <row r="144" spans="1:15" ht="12.75" hidden="1">
      <c r="A144" s="3444"/>
      <c r="B144" s="3456" t="s">
        <v>352</v>
      </c>
      <c r="C144" s="3455"/>
      <c r="D144" s="3351">
        <v>0</v>
      </c>
      <c r="E144" s="3351">
        <v>0</v>
      </c>
      <c r="F144" s="3351">
        <v>0</v>
      </c>
      <c r="G144" s="3351">
        <v>0</v>
      </c>
      <c r="H144" s="3351">
        <v>0</v>
      </c>
      <c r="I144" s="3351">
        <v>0</v>
      </c>
      <c r="J144" s="3351">
        <v>0</v>
      </c>
      <c r="K144" s="3351">
        <v>0</v>
      </c>
      <c r="L144" s="3351">
        <v>0</v>
      </c>
      <c r="M144" s="3444"/>
      <c r="N144" s="3444"/>
    </row>
    <row r="145" spans="1:15" ht="12.75" hidden="1">
      <c r="A145" s="3444"/>
      <c r="B145" s="3456" t="s">
        <v>353</v>
      </c>
      <c r="C145" s="3455"/>
      <c r="D145" s="2033">
        <f>D143+D144</f>
        <v>996038</v>
      </c>
      <c r="E145" s="2033">
        <f t="shared" ref="E145:L145" si="90">E143+E144</f>
        <v>292115</v>
      </c>
      <c r="F145" s="2033">
        <f t="shared" si="90"/>
        <v>107202</v>
      </c>
      <c r="G145" s="2033">
        <f t="shared" si="90"/>
        <v>342369</v>
      </c>
      <c r="H145" s="2033">
        <f t="shared" si="90"/>
        <v>124950</v>
      </c>
      <c r="I145" s="2033">
        <f t="shared" si="90"/>
        <v>99540</v>
      </c>
      <c r="J145" s="2033">
        <f t="shared" si="90"/>
        <v>29862</v>
      </c>
      <c r="K145" s="2033">
        <f t="shared" si="90"/>
        <v>0</v>
      </c>
      <c r="L145" s="2033">
        <f t="shared" si="90"/>
        <v>0</v>
      </c>
      <c r="M145" s="3444"/>
      <c r="N145" s="3444"/>
    </row>
    <row r="146" spans="1:15" ht="12.75" hidden="1">
      <c r="B146" s="1714" t="s">
        <v>42</v>
      </c>
      <c r="C146" s="1715"/>
      <c r="D146" s="2034">
        <f t="shared" ref="D146:L146" si="91">D20-D145</f>
        <v>0</v>
      </c>
      <c r="E146" s="2034">
        <f t="shared" si="91"/>
        <v>0</v>
      </c>
      <c r="F146" s="2034">
        <f t="shared" si="91"/>
        <v>0</v>
      </c>
      <c r="G146" s="2034">
        <f t="shared" si="91"/>
        <v>0</v>
      </c>
      <c r="H146" s="2034">
        <f t="shared" si="91"/>
        <v>0</v>
      </c>
      <c r="I146" s="2034">
        <f t="shared" si="91"/>
        <v>0</v>
      </c>
      <c r="J146" s="2034">
        <f t="shared" si="91"/>
        <v>0</v>
      </c>
      <c r="K146" s="2034">
        <f t="shared" si="91"/>
        <v>0</v>
      </c>
      <c r="L146" s="2034">
        <f t="shared" si="91"/>
        <v>0</v>
      </c>
    </row>
    <row r="147" spans="1:15" hidden="1"/>
    <row r="148" spans="1:15" hidden="1"/>
    <row r="149" spans="1:15" hidden="1"/>
    <row r="150" spans="1:15" hidden="1"/>
    <row r="151" spans="1:15" ht="12" hidden="1" thickBot="1">
      <c r="A151" s="2374"/>
      <c r="B151" s="2375"/>
      <c r="C151" s="2375"/>
      <c r="D151" s="2375"/>
      <c r="E151" s="2375"/>
      <c r="F151" s="2375"/>
      <c r="G151" s="2375"/>
      <c r="H151" s="2375"/>
      <c r="I151" s="2375"/>
      <c r="J151" s="2375"/>
      <c r="K151" s="2375"/>
      <c r="L151" s="2375"/>
      <c r="M151" s="2375"/>
      <c r="N151" s="2375"/>
      <c r="O151" s="2376"/>
    </row>
    <row r="152" spans="1:15" hidden="1"/>
    <row r="153" spans="1:15" hidden="1"/>
    <row r="175" spans="1:1" ht="12" thickBot="1">
      <c r="A175" s="2374"/>
    </row>
    <row r="176" spans="1:1" ht="12" thickBot="1">
      <c r="A176" s="2793"/>
    </row>
    <row r="177" spans="1:2" ht="12" thickBot="1">
      <c r="A177" s="2793"/>
    </row>
    <row r="178" spans="1:2" ht="12" thickBot="1">
      <c r="A178" s="2793"/>
    </row>
    <row r="179" spans="1:2" ht="12" thickBot="1">
      <c r="A179" s="2793"/>
    </row>
    <row r="180" spans="1:2" ht="12" thickBot="1">
      <c r="A180" s="2793"/>
    </row>
    <row r="181" spans="1:2" ht="12" thickBot="1">
      <c r="A181" s="2793"/>
    </row>
    <row r="182" spans="1:2" ht="12" thickBot="1">
      <c r="A182" s="2793"/>
    </row>
    <row r="183" spans="1:2" ht="12" thickBot="1">
      <c r="A183" s="2793"/>
    </row>
    <row r="184" spans="1:2" ht="12" thickBot="1">
      <c r="A184" s="2793"/>
    </row>
    <row r="185" spans="1:2" ht="12" thickBot="1">
      <c r="A185" s="2793"/>
    </row>
    <row r="186" spans="1:2" ht="12" thickBot="1">
      <c r="A186" s="2793"/>
      <c r="B186" s="2375"/>
    </row>
    <row r="187" spans="1:2" ht="12" thickBot="1">
      <c r="A187" s="2793"/>
      <c r="B187" s="2772"/>
    </row>
    <row r="188" spans="1:2" ht="12" thickBot="1">
      <c r="A188" s="2793"/>
    </row>
    <row r="189" spans="1:2" ht="12" thickBot="1">
      <c r="A189" s="2793"/>
    </row>
    <row r="190" spans="1:2" ht="12" thickBot="1">
      <c r="A190" s="2793"/>
    </row>
    <row r="191" spans="1:2" ht="12" thickBot="1">
      <c r="A191" s="2793"/>
    </row>
    <row r="192" spans="1:2" ht="12" thickBot="1">
      <c r="A192" s="2793"/>
    </row>
    <row r="193" spans="1:15" ht="12" thickBot="1">
      <c r="A193" s="2793"/>
    </row>
    <row r="194" spans="1:15" ht="12" thickBot="1">
      <c r="A194" s="2793"/>
    </row>
    <row r="195" spans="1:15" ht="12" thickBot="1">
      <c r="A195" s="2793"/>
    </row>
    <row r="196" spans="1:15" ht="12" thickBot="1">
      <c r="A196" s="2793"/>
    </row>
    <row r="197" spans="1:15" ht="12" thickBot="1">
      <c r="A197" s="2793"/>
    </row>
    <row r="198" spans="1:15" ht="12" thickBot="1">
      <c r="A198" s="2793"/>
    </row>
    <row r="199" spans="1:15" ht="12" thickBot="1">
      <c r="A199" s="2793"/>
    </row>
    <row r="200" spans="1:15" ht="12" thickBot="1">
      <c r="A200" s="2793"/>
      <c r="N200" s="2375"/>
      <c r="O200" s="2376"/>
    </row>
    <row r="201" spans="1:15" ht="12" thickBot="1">
      <c r="A201" s="2793"/>
      <c r="C201" s="2375"/>
      <c r="N201" s="2771"/>
      <c r="O201" s="2759"/>
    </row>
    <row r="202" spans="1:15" ht="12" thickBot="1">
      <c r="A202" s="2793"/>
      <c r="C202" s="2771"/>
      <c r="N202" s="2771"/>
      <c r="O202" s="2759"/>
    </row>
    <row r="203" spans="1:15" ht="12" thickBot="1">
      <c r="A203" s="2793"/>
      <c r="C203" s="2771"/>
      <c r="N203" s="2771"/>
      <c r="O203" s="2759"/>
    </row>
    <row r="204" spans="1:15" ht="12" thickBot="1">
      <c r="A204" s="2794"/>
      <c r="C204" s="2771"/>
      <c r="D204" s="2375"/>
      <c r="E204" s="2375"/>
      <c r="F204" s="2375"/>
      <c r="G204" s="2375"/>
      <c r="H204" s="2375"/>
      <c r="I204" s="2375"/>
      <c r="J204" s="2375"/>
      <c r="K204" s="2375"/>
      <c r="L204" s="2375"/>
      <c r="N204" s="2771"/>
      <c r="O204" s="2759"/>
    </row>
    <row r="205" spans="1:15" ht="12" thickBot="1">
      <c r="C205" s="2772"/>
      <c r="D205" s="2772"/>
      <c r="E205" s="2772"/>
      <c r="F205" s="2772"/>
      <c r="G205" s="2772"/>
      <c r="H205" s="2772"/>
      <c r="I205" s="2772"/>
      <c r="J205" s="2772"/>
      <c r="K205" s="2772"/>
      <c r="L205" s="2772"/>
      <c r="N205" s="2772"/>
      <c r="O205" s="2759"/>
    </row>
    <row r="206" spans="1:15" ht="12" thickBot="1">
      <c r="O206" s="2759"/>
    </row>
    <row r="207" spans="1:15" ht="12" thickBot="1">
      <c r="O207" s="2759"/>
    </row>
    <row r="208" spans="1:15" ht="12" thickBot="1">
      <c r="O208" s="2759"/>
    </row>
    <row r="209" spans="1:15" ht="12" thickBot="1">
      <c r="O209" s="2759"/>
    </row>
    <row r="210" spans="1:15" ht="13.5" thickBot="1">
      <c r="A210" s="3444"/>
      <c r="B210" s="3444" t="s">
        <v>69</v>
      </c>
      <c r="C210" s="3444"/>
      <c r="D210" s="3444"/>
      <c r="E210" s="3444"/>
      <c r="F210" s="3444"/>
      <c r="G210" s="3444"/>
      <c r="H210" s="3444"/>
      <c r="I210" s="3444"/>
      <c r="J210" s="3444"/>
      <c r="K210" s="3444"/>
      <c r="L210" s="3444"/>
      <c r="M210" s="3444"/>
      <c r="N210" s="3444"/>
      <c r="O210" s="3457"/>
    </row>
    <row r="211" spans="1:15" ht="13.5" thickBot="1">
      <c r="A211" s="3444"/>
      <c r="O211" s="3457"/>
    </row>
    <row r="212" spans="1:15" ht="13.5" thickBot="1">
      <c r="A212" s="3444"/>
      <c r="O212" s="3457"/>
    </row>
    <row r="213" spans="1:15" ht="13.5" thickBot="1">
      <c r="A213" s="3444"/>
      <c r="O213" s="3457"/>
    </row>
    <row r="214" spans="1:15" ht="12.75">
      <c r="A214" s="3444"/>
      <c r="O214" s="3458"/>
    </row>
    <row r="215" spans="1:15" ht="12.75">
      <c r="A215" s="3444"/>
      <c r="O215" s="3444"/>
    </row>
    <row r="216" spans="1:15" ht="12.75">
      <c r="A216" s="3444"/>
      <c r="O216" s="3444"/>
    </row>
    <row r="217" spans="1:15" ht="12.75">
      <c r="A217" s="3444"/>
      <c r="O217" s="3444"/>
    </row>
    <row r="218" spans="1:15" ht="12.75">
      <c r="A218" s="3444"/>
      <c r="O218" s="3444"/>
    </row>
    <row r="219" spans="1:15" ht="12.75">
      <c r="A219" s="3444"/>
      <c r="O219" s="3444"/>
    </row>
    <row r="220" spans="1:15" ht="12.75">
      <c r="A220" s="3444"/>
      <c r="O220" s="3444"/>
    </row>
    <row r="221" spans="1:15" ht="12.75">
      <c r="A221" s="3444"/>
      <c r="B221" s="3444"/>
      <c r="C221" s="3444"/>
      <c r="D221" s="3444"/>
      <c r="E221" s="3444"/>
      <c r="F221" s="3444"/>
      <c r="G221" s="3444"/>
      <c r="H221" s="3444"/>
      <c r="I221" s="3444"/>
      <c r="J221" s="3444"/>
      <c r="K221" s="3444"/>
      <c r="L221" s="3444"/>
      <c r="M221" s="3444"/>
      <c r="N221" s="3444"/>
      <c r="O221" s="3444"/>
    </row>
    <row r="248" spans="15:15" ht="12" thickBot="1">
      <c r="O248" s="2376"/>
    </row>
    <row r="249" spans="15:15" ht="12" thickBot="1">
      <c r="O249" s="2759"/>
    </row>
    <row r="250" spans="15:15" ht="12" thickBot="1">
      <c r="O250" s="2759"/>
    </row>
    <row r="251" spans="15:15" ht="12" thickBot="1">
      <c r="O251" s="2759"/>
    </row>
    <row r="252" spans="15:15" ht="12" thickBot="1">
      <c r="O252" s="2759"/>
    </row>
    <row r="253" spans="15:15" ht="12" thickBot="1">
      <c r="O253" s="2759"/>
    </row>
    <row r="254" spans="15:15" ht="12" thickBot="1">
      <c r="O254" s="2759"/>
    </row>
    <row r="255" spans="15:15" ht="12" thickBot="1">
      <c r="O255" s="2759"/>
    </row>
    <row r="256" spans="15:15" ht="12" thickBot="1">
      <c r="O256" s="2759"/>
    </row>
    <row r="257" spans="15:15" ht="12" thickBot="1">
      <c r="O257" s="2759"/>
    </row>
    <row r="258" spans="15:15" ht="12" thickBot="1">
      <c r="O258" s="2759"/>
    </row>
    <row r="259" spans="15:15" ht="12" thickBot="1">
      <c r="O259" s="2759"/>
    </row>
    <row r="260" spans="15:15" ht="12" thickBot="1">
      <c r="O260" s="2759"/>
    </row>
    <row r="261" spans="15:15" ht="12" thickBot="1">
      <c r="O261" s="2759"/>
    </row>
    <row r="262" spans="15:15">
      <c r="O262" s="2760"/>
    </row>
    <row r="401" spans="1:15" ht="12" thickBot="1">
      <c r="A401" s="2374"/>
    </row>
    <row r="402" spans="1:15" ht="12" thickBot="1">
      <c r="A402" s="2793"/>
    </row>
    <row r="403" spans="1:15" ht="12" thickBot="1">
      <c r="A403" s="2793"/>
    </row>
    <row r="404" spans="1:15" ht="12" thickBot="1">
      <c r="A404" s="2793"/>
    </row>
    <row r="405" spans="1:15" ht="12" thickBot="1">
      <c r="A405" s="2793"/>
    </row>
    <row r="406" spans="1:15" ht="12" thickBot="1">
      <c r="A406" s="2793"/>
    </row>
    <row r="407" spans="1:15" ht="12" thickBot="1">
      <c r="A407" s="2793"/>
      <c r="N407" s="2375"/>
      <c r="O407" s="2376"/>
    </row>
    <row r="408" spans="1:15" ht="12" thickBot="1">
      <c r="A408" s="2793"/>
      <c r="C408" s="2375"/>
      <c r="N408" s="2771"/>
      <c r="O408" s="2759"/>
    </row>
    <row r="409" spans="1:15" ht="12" thickBot="1">
      <c r="A409" s="2793"/>
      <c r="C409" s="2771"/>
      <c r="D409" s="2375"/>
      <c r="E409" s="2375"/>
      <c r="F409" s="2375"/>
      <c r="G409" s="2375"/>
      <c r="H409" s="2375"/>
      <c r="I409" s="2375"/>
      <c r="J409" s="2375"/>
      <c r="K409" s="2375"/>
      <c r="L409" s="2375"/>
      <c r="N409" s="2771"/>
      <c r="O409" s="2759"/>
    </row>
    <row r="410" spans="1:15" ht="12" thickBot="1">
      <c r="A410" s="2793"/>
      <c r="C410" s="2772"/>
      <c r="D410" s="2772"/>
      <c r="E410" s="2772"/>
      <c r="F410" s="2772"/>
      <c r="G410" s="2772"/>
      <c r="H410" s="2772"/>
      <c r="I410" s="2772"/>
      <c r="J410" s="2772"/>
      <c r="K410" s="2772"/>
      <c r="L410" s="2772"/>
      <c r="N410" s="2772"/>
      <c r="O410" s="2759"/>
    </row>
    <row r="411" spans="1:15" ht="12" thickBot="1">
      <c r="A411" s="2793"/>
      <c r="O411" s="2759"/>
    </row>
    <row r="412" spans="1:15" ht="12" thickBot="1">
      <c r="A412" s="2793"/>
      <c r="O412" s="2759"/>
    </row>
    <row r="413" spans="1:15" ht="12" thickBot="1">
      <c r="A413" s="2793"/>
      <c r="O413" s="2759"/>
    </row>
    <row r="414" spans="1:15" ht="12" thickBot="1">
      <c r="A414" s="2793"/>
      <c r="O414" s="2759"/>
    </row>
    <row r="415" spans="1:15" ht="12" thickBot="1">
      <c r="A415" s="2793"/>
      <c r="O415" s="2760"/>
    </row>
    <row r="416" spans="1:15" ht="12" thickBot="1">
      <c r="A416" s="2793"/>
    </row>
    <row r="417" spans="1:1" ht="12" thickBot="1">
      <c r="A417" s="2793"/>
    </row>
    <row r="418" spans="1:1">
      <c r="A418" s="2794"/>
    </row>
    <row r="516" spans="1:15" ht="12" thickBot="1">
      <c r="O516" s="2376"/>
    </row>
    <row r="517" spans="1:15" ht="12" thickBot="1">
      <c r="O517" s="2759"/>
    </row>
    <row r="518" spans="1:15" ht="12" thickBot="1">
      <c r="O518" s="2759"/>
    </row>
    <row r="519" spans="1:15" ht="12" thickBot="1">
      <c r="O519" s="2759"/>
    </row>
    <row r="520" spans="1:15" ht="12" thickBot="1">
      <c r="N520" s="2375"/>
      <c r="O520" s="2759"/>
    </row>
    <row r="521" spans="1:15" ht="12" thickBot="1">
      <c r="N521" s="2771"/>
      <c r="O521" s="2759"/>
    </row>
    <row r="522" spans="1:15" ht="12" thickBot="1">
      <c r="N522" s="2771"/>
      <c r="O522" s="2759"/>
    </row>
    <row r="523" spans="1:15" ht="12" thickBot="1">
      <c r="N523" s="2771"/>
      <c r="O523" s="2759"/>
    </row>
    <row r="524" spans="1:15" ht="12" thickBot="1">
      <c r="N524" s="2771"/>
      <c r="O524" s="2759"/>
    </row>
    <row r="525" spans="1:15" ht="12" thickBot="1">
      <c r="A525" s="2374"/>
      <c r="B525" s="2375"/>
      <c r="C525" s="2375"/>
      <c r="D525" s="2375"/>
      <c r="E525" s="2375"/>
      <c r="F525" s="2375"/>
      <c r="G525" s="2375"/>
      <c r="H525" s="2375"/>
      <c r="I525" s="2375"/>
      <c r="J525" s="2375"/>
      <c r="K525" s="2375"/>
      <c r="L525" s="2375"/>
      <c r="N525" s="2771"/>
      <c r="O525" s="2759"/>
    </row>
    <row r="526" spans="1:15" ht="12" thickBot="1">
      <c r="A526" s="2793"/>
      <c r="B526" s="2772"/>
      <c r="C526" s="2772"/>
      <c r="D526" s="2772"/>
      <c r="E526" s="2772"/>
      <c r="F526" s="2772"/>
      <c r="G526" s="2772"/>
      <c r="H526" s="2772"/>
      <c r="I526" s="2772"/>
      <c r="J526" s="2772"/>
      <c r="K526" s="2772"/>
      <c r="L526" s="2772"/>
      <c r="N526" s="2772"/>
      <c r="O526" s="2759"/>
    </row>
    <row r="527" spans="1:15" ht="12" thickBot="1">
      <c r="A527" s="2793"/>
      <c r="O527" s="2759"/>
    </row>
    <row r="528" spans="1:15" ht="12" thickBot="1">
      <c r="A528" s="2793"/>
      <c r="O528" s="2759"/>
    </row>
    <row r="529" spans="1:15" ht="12" thickBot="1">
      <c r="A529" s="2793"/>
      <c r="O529" s="2759"/>
    </row>
    <row r="530" spans="1:15" ht="12" thickBot="1">
      <c r="A530" s="2793"/>
      <c r="O530" s="2759"/>
    </row>
    <row r="531" spans="1:15" ht="12" thickBot="1">
      <c r="A531" s="2793"/>
      <c r="O531" s="2759"/>
    </row>
    <row r="532" spans="1:15" ht="12" thickBot="1">
      <c r="A532" s="2793"/>
      <c r="O532" s="2759"/>
    </row>
    <row r="533" spans="1:15">
      <c r="A533" s="2794"/>
      <c r="O533" s="2760"/>
    </row>
  </sheetData>
  <mergeCells count="85">
    <mergeCell ref="A94:A97"/>
    <mergeCell ref="O94:O97"/>
    <mergeCell ref="O88:O93"/>
    <mergeCell ref="C92:C93"/>
    <mergeCell ref="C96:C97"/>
    <mergeCell ref="M20:M25"/>
    <mergeCell ref="M32:M36"/>
    <mergeCell ref="M43:M47"/>
    <mergeCell ref="M52:M54"/>
    <mergeCell ref="M59:M61"/>
    <mergeCell ref="A137:A140"/>
    <mergeCell ref="O137:O140"/>
    <mergeCell ref="C139:C140"/>
    <mergeCell ref="A55:A61"/>
    <mergeCell ref="O55:O61"/>
    <mergeCell ref="C57:C58"/>
    <mergeCell ref="C60:C61"/>
    <mergeCell ref="A120:A123"/>
    <mergeCell ref="O120:O123"/>
    <mergeCell ref="C122:C123"/>
    <mergeCell ref="A124:A136"/>
    <mergeCell ref="O124:O136"/>
    <mergeCell ref="O116:O119"/>
    <mergeCell ref="C118:C119"/>
    <mergeCell ref="O100:O102"/>
    <mergeCell ref="O103:O107"/>
    <mergeCell ref="A48:A54"/>
    <mergeCell ref="A37:A47"/>
    <mergeCell ref="C39:C42"/>
    <mergeCell ref="A26:A36"/>
    <mergeCell ref="C33:C36"/>
    <mergeCell ref="C28:C31"/>
    <mergeCell ref="C44:C47"/>
    <mergeCell ref="C50:C51"/>
    <mergeCell ref="C53:C54"/>
    <mergeCell ref="C132:C136"/>
    <mergeCell ref="A99:L99"/>
    <mergeCell ref="N132:N136"/>
    <mergeCell ref="N59:N61"/>
    <mergeCell ref="C67:C68"/>
    <mergeCell ref="N66:N68"/>
    <mergeCell ref="C126:C130"/>
    <mergeCell ref="A62:A68"/>
    <mergeCell ref="A116:A119"/>
    <mergeCell ref="N111:N115"/>
    <mergeCell ref="A69:A75"/>
    <mergeCell ref="C64:C65"/>
    <mergeCell ref="M66:M68"/>
    <mergeCell ref="M73:M75"/>
    <mergeCell ref="M111:M115"/>
    <mergeCell ref="M132:M136"/>
    <mergeCell ref="A5:O5"/>
    <mergeCell ref="B6:B8"/>
    <mergeCell ref="C6:C8"/>
    <mergeCell ref="D6:D8"/>
    <mergeCell ref="O6:O8"/>
    <mergeCell ref="N6:N8"/>
    <mergeCell ref="E6:E8"/>
    <mergeCell ref="F6:F8"/>
    <mergeCell ref="G6:L6"/>
    <mergeCell ref="G7:G8"/>
    <mergeCell ref="H7:H8"/>
    <mergeCell ref="I7:I8"/>
    <mergeCell ref="J7:J8"/>
    <mergeCell ref="K7:K8"/>
    <mergeCell ref="L7:L8"/>
    <mergeCell ref="M6:M8"/>
    <mergeCell ref="O48:O54"/>
    <mergeCell ref="N52:N54"/>
    <mergeCell ref="O69:O75"/>
    <mergeCell ref="C71:C72"/>
    <mergeCell ref="N73:N75"/>
    <mergeCell ref="C74:C75"/>
    <mergeCell ref="O62:O68"/>
    <mergeCell ref="N20:N25"/>
    <mergeCell ref="N32:N36"/>
    <mergeCell ref="O26:O36"/>
    <mergeCell ref="N43:N47"/>
    <mergeCell ref="O37:O47"/>
    <mergeCell ref="A76:A86"/>
    <mergeCell ref="O76:O86"/>
    <mergeCell ref="M82:M86"/>
    <mergeCell ref="N82:N86"/>
    <mergeCell ref="C78:C81"/>
    <mergeCell ref="C83:C86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4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</oddHeader>
    <oddFooter>&amp;C&amp;8&amp;P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52"/>
  <sheetViews>
    <sheetView showGridLines="0" view="pageBreakPreview" topLeftCell="A4" zoomScaleSheetLayoutView="100" workbookViewId="0">
      <pane xSplit="2" ySplit="5" topLeftCell="E9" activePane="bottomRight" state="frozen"/>
      <selection activeCell="D14" sqref="D14"/>
      <selection pane="topRight" activeCell="D14" sqref="D14"/>
      <selection pane="bottomLeft" activeCell="D14" sqref="D14"/>
      <selection pane="bottomRight" activeCell="B267" sqref="B267"/>
    </sheetView>
  </sheetViews>
  <sheetFormatPr defaultColWidth="9.140625" defaultRowHeight="12.75"/>
  <cols>
    <col min="1" max="1" width="4.7109375" style="301" customWidth="1"/>
    <col min="2" max="2" width="61" style="302" customWidth="1"/>
    <col min="3" max="3" width="10" style="302" customWidth="1"/>
    <col min="4" max="4" width="14.28515625" style="302" customWidth="1"/>
    <col min="5" max="5" width="13.7109375" style="302" customWidth="1"/>
    <col min="6" max="6" width="10.28515625" style="302" customWidth="1"/>
    <col min="7" max="7" width="9.85546875" style="302" customWidth="1"/>
    <col min="8" max="8" width="11.28515625" style="302" customWidth="1"/>
    <col min="9" max="9" width="11" style="302" customWidth="1"/>
    <col min="10" max="10" width="9.85546875" style="302" customWidth="1"/>
    <col min="11" max="12" width="10.42578125" style="302" bestFit="1" customWidth="1"/>
    <col min="13" max="13" width="12.5703125" style="302" hidden="1" customWidth="1"/>
    <col min="14" max="14" width="12.5703125" style="302" customWidth="1"/>
    <col min="15" max="15" width="13.5703125" style="368" customWidth="1"/>
    <col min="16" max="16" width="15.140625" style="302" hidden="1" customWidth="1"/>
    <col min="17" max="17" width="16.42578125" style="302" hidden="1" customWidth="1"/>
    <col min="18" max="18" width="9.5703125" style="302" hidden="1" customWidth="1"/>
    <col min="19" max="21" width="0" style="302" hidden="1" customWidth="1"/>
    <col min="22" max="16384" width="9.140625" style="302"/>
  </cols>
  <sheetData>
    <row r="1" spans="1:77" ht="3.75" customHeight="1">
      <c r="M1" s="6"/>
      <c r="N1" s="6"/>
      <c r="O1" s="7"/>
    </row>
    <row r="2" spans="1:77" ht="15" customHeight="1">
      <c r="B2" s="304"/>
      <c r="E2" s="305"/>
      <c r="F2" s="305"/>
      <c r="I2" s="307" t="s">
        <v>499</v>
      </c>
      <c r="J2" s="307"/>
      <c r="K2" s="307"/>
      <c r="L2" s="307"/>
      <c r="M2" s="6"/>
      <c r="N2" s="6"/>
      <c r="O2" s="7"/>
    </row>
    <row r="3" spans="1:77" ht="0.75" customHeight="1">
      <c r="G3" s="308"/>
      <c r="H3" s="308"/>
      <c r="I3" s="308"/>
      <c r="J3" s="308"/>
      <c r="K3" s="308"/>
      <c r="L3" s="308"/>
      <c r="M3" s="6"/>
      <c r="N3" s="6"/>
      <c r="O3" s="7"/>
    </row>
    <row r="4" spans="1:77" ht="3" customHeight="1">
      <c r="D4" s="305"/>
      <c r="E4" s="305"/>
      <c r="F4" s="305"/>
      <c r="G4" s="305"/>
      <c r="H4" s="305"/>
      <c r="I4" s="305"/>
      <c r="J4" s="305"/>
      <c r="K4" s="305"/>
      <c r="L4" s="305"/>
      <c r="M4" s="305"/>
      <c r="N4" s="6"/>
      <c r="O4" s="7"/>
    </row>
    <row r="5" spans="1:77" s="309" customFormat="1" ht="40.5" customHeight="1" thickBot="1">
      <c r="A5" s="4170" t="s">
        <v>147</v>
      </c>
      <c r="B5" s="4170"/>
      <c r="C5" s="4170"/>
      <c r="D5" s="4170"/>
      <c r="E5" s="4170"/>
      <c r="F5" s="4170"/>
      <c r="G5" s="4170"/>
      <c r="H5" s="4170"/>
      <c r="I5" s="4170"/>
      <c r="J5" s="4170"/>
      <c r="K5" s="4170"/>
      <c r="L5" s="4170"/>
      <c r="M5" s="4170"/>
      <c r="N5" s="4170"/>
      <c r="O5" s="4170"/>
    </row>
    <row r="6" spans="1:77" s="311" customFormat="1" ht="55.5" customHeight="1" thickBot="1">
      <c r="A6" s="143"/>
      <c r="B6" s="4171" t="s">
        <v>75</v>
      </c>
      <c r="C6" s="3774" t="s">
        <v>71</v>
      </c>
      <c r="D6" s="3980" t="s">
        <v>117</v>
      </c>
      <c r="E6" s="3983" t="s">
        <v>396</v>
      </c>
      <c r="F6" s="3602" t="s">
        <v>436</v>
      </c>
      <c r="G6" s="3791" t="s">
        <v>392</v>
      </c>
      <c r="H6" s="3792"/>
      <c r="I6" s="3792"/>
      <c r="J6" s="3792"/>
      <c r="K6" s="3792"/>
      <c r="L6" s="3793"/>
      <c r="M6" s="3783" t="s">
        <v>406</v>
      </c>
      <c r="N6" s="3783" t="s">
        <v>393</v>
      </c>
      <c r="O6" s="4173" t="s">
        <v>73</v>
      </c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</row>
    <row r="7" spans="1:77" s="311" customFormat="1" ht="14.25" customHeight="1" thickBot="1">
      <c r="A7" s="144"/>
      <c r="B7" s="4171"/>
      <c r="C7" s="3775"/>
      <c r="D7" s="4172"/>
      <c r="E7" s="3985"/>
      <c r="F7" s="3604"/>
      <c r="G7" s="3042" t="s">
        <v>6</v>
      </c>
      <c r="H7" s="312" t="s">
        <v>179</v>
      </c>
      <c r="I7" s="312" t="s">
        <v>180</v>
      </c>
      <c r="J7" s="312" t="s">
        <v>222</v>
      </c>
      <c r="K7" s="312" t="s">
        <v>223</v>
      </c>
      <c r="L7" s="312" t="s">
        <v>224</v>
      </c>
      <c r="M7" s="4013"/>
      <c r="N7" s="4013"/>
      <c r="O7" s="4174"/>
      <c r="P7" s="175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</row>
    <row r="8" spans="1:77" s="311" customFormat="1" ht="12.75" customHeight="1">
      <c r="A8" s="911">
        <v>1</v>
      </c>
      <c r="B8" s="912">
        <v>2</v>
      </c>
      <c r="C8" s="913" t="s">
        <v>118</v>
      </c>
      <c r="D8" s="913" t="s">
        <v>119</v>
      </c>
      <c r="E8" s="1405">
        <v>5</v>
      </c>
      <c r="F8" s="913">
        <v>6</v>
      </c>
      <c r="G8" s="913">
        <v>7</v>
      </c>
      <c r="H8" s="913">
        <v>8</v>
      </c>
      <c r="I8" s="913">
        <v>9</v>
      </c>
      <c r="J8" s="913">
        <v>10</v>
      </c>
      <c r="K8" s="913">
        <v>11</v>
      </c>
      <c r="L8" s="913">
        <v>12</v>
      </c>
      <c r="M8" s="914">
        <v>13</v>
      </c>
      <c r="N8" s="914">
        <v>13</v>
      </c>
      <c r="O8" s="915">
        <v>14</v>
      </c>
      <c r="P8" s="311" t="s">
        <v>214</v>
      </c>
    </row>
    <row r="9" spans="1:77" s="1508" customFormat="1" ht="16.5" customHeight="1">
      <c r="A9" s="185"/>
      <c r="B9" s="405" t="s">
        <v>76</v>
      </c>
      <c r="C9" s="390"/>
      <c r="D9" s="391">
        <f>+D10+D11</f>
        <v>335894272</v>
      </c>
      <c r="E9" s="391">
        <f t="shared" ref="E9" si="0">+E10+E11</f>
        <v>27647365</v>
      </c>
      <c r="F9" s="391">
        <f t="shared" ref="F9:N9" si="1">+F10+F11</f>
        <v>30049516</v>
      </c>
      <c r="G9" s="391">
        <f t="shared" si="1"/>
        <v>42282704</v>
      </c>
      <c r="H9" s="217">
        <f t="shared" si="1"/>
        <v>81173762</v>
      </c>
      <c r="I9" s="217">
        <f t="shared" si="1"/>
        <v>76196073</v>
      </c>
      <c r="J9" s="217">
        <f t="shared" si="1"/>
        <v>27018513</v>
      </c>
      <c r="K9" s="217">
        <f t="shared" si="1"/>
        <v>26073404</v>
      </c>
      <c r="L9" s="217">
        <f t="shared" si="1"/>
        <v>25452935</v>
      </c>
      <c r="M9" s="146">
        <f t="shared" ref="M9" si="2">+M10+M11</f>
        <v>308246907</v>
      </c>
      <c r="N9" s="146">
        <f t="shared" si="1"/>
        <v>278197391</v>
      </c>
      <c r="O9" s="17"/>
      <c r="P9" s="313">
        <f>M9-M12</f>
        <v>0</v>
      </c>
      <c r="Q9" s="313"/>
    </row>
    <row r="10" spans="1:77" s="1508" customFormat="1">
      <c r="A10" s="185"/>
      <c r="B10" s="207" t="s">
        <v>77</v>
      </c>
      <c r="C10" s="208"/>
      <c r="D10" s="209">
        <f t="shared" ref="D10:L10" si="3">+D27+D72+D94-D102+D156+D186+D213-D217+D39</f>
        <v>235487524</v>
      </c>
      <c r="E10" s="209">
        <f t="shared" si="3"/>
        <v>26885682</v>
      </c>
      <c r="F10" s="209">
        <f t="shared" si="3"/>
        <v>28591808</v>
      </c>
      <c r="G10" s="209">
        <f t="shared" si="3"/>
        <v>38308620</v>
      </c>
      <c r="H10" s="209">
        <f t="shared" si="3"/>
        <v>33389582</v>
      </c>
      <c r="I10" s="209">
        <f t="shared" si="3"/>
        <v>30200480</v>
      </c>
      <c r="J10" s="209">
        <f t="shared" si="3"/>
        <v>26874013</v>
      </c>
      <c r="K10" s="209">
        <f t="shared" si="3"/>
        <v>25928904</v>
      </c>
      <c r="L10" s="209">
        <f t="shared" si="3"/>
        <v>25308435</v>
      </c>
      <c r="M10" s="527">
        <f>+M27+M72+M94+M156+M186+M213+M39</f>
        <v>208601842</v>
      </c>
      <c r="N10" s="527">
        <f>+N27+N72+N94+N156+N186+N213+N39</f>
        <v>180010034</v>
      </c>
      <c r="O10" s="17"/>
      <c r="P10" s="313">
        <f>F10+G10+H10+I10+J10+K10+L10-M10</f>
        <v>0</v>
      </c>
      <c r="Q10" s="313"/>
    </row>
    <row r="11" spans="1:77" s="1508" customFormat="1" ht="13.5" thickBot="1">
      <c r="A11" s="185"/>
      <c r="B11" s="210" t="s">
        <v>9</v>
      </c>
      <c r="C11" s="211"/>
      <c r="D11" s="212">
        <f>D60+D83+D119-D121+D170+D197+D226</f>
        <v>100406748</v>
      </c>
      <c r="E11" s="212">
        <f t="shared" ref="E11:L11" si="4">E60+E83+E119-E121+E170+E197+E226</f>
        <v>761683</v>
      </c>
      <c r="F11" s="212">
        <f t="shared" si="4"/>
        <v>1457708</v>
      </c>
      <c r="G11" s="212">
        <f t="shared" si="4"/>
        <v>3974084</v>
      </c>
      <c r="H11" s="212">
        <f t="shared" si="4"/>
        <v>47784180</v>
      </c>
      <c r="I11" s="212">
        <f t="shared" si="4"/>
        <v>45995593</v>
      </c>
      <c r="J11" s="212">
        <f t="shared" si="4"/>
        <v>144500</v>
      </c>
      <c r="K11" s="212">
        <f t="shared" si="4"/>
        <v>144500</v>
      </c>
      <c r="L11" s="212">
        <f t="shared" si="4"/>
        <v>144500</v>
      </c>
      <c r="M11" s="18">
        <f>+M60+M83+M119+M170+M197+M226</f>
        <v>99645065</v>
      </c>
      <c r="N11" s="18">
        <f>+N60+N83+N119+N170+N197+N226</f>
        <v>98187357</v>
      </c>
      <c r="O11" s="17"/>
      <c r="P11" s="313">
        <f>F11+G11+H11+I11+J11+K11+L11-M11</f>
        <v>0</v>
      </c>
    </row>
    <row r="12" spans="1:77" s="316" customFormat="1" ht="13.5" customHeight="1">
      <c r="A12" s="149"/>
      <c r="B12" s="150" t="s">
        <v>10</v>
      </c>
      <c r="C12" s="151"/>
      <c r="D12" s="152">
        <f>+D13+D18</f>
        <v>337500702</v>
      </c>
      <c r="E12" s="152">
        <f t="shared" ref="E12" si="5">+E13+E18</f>
        <v>28038481</v>
      </c>
      <c r="F12" s="152">
        <f t="shared" ref="F12:L12" si="6">+F13+F18</f>
        <v>30439395</v>
      </c>
      <c r="G12" s="152">
        <f t="shared" si="6"/>
        <v>42744351</v>
      </c>
      <c r="H12" s="152">
        <f t="shared" si="6"/>
        <v>81268030</v>
      </c>
      <c r="I12" s="152">
        <f t="shared" si="6"/>
        <v>76273538</v>
      </c>
      <c r="J12" s="152">
        <f t="shared" si="6"/>
        <v>27082532</v>
      </c>
      <c r="K12" s="152">
        <f t="shared" si="6"/>
        <v>26137422</v>
      </c>
      <c r="L12" s="152">
        <f t="shared" si="6"/>
        <v>25516953</v>
      </c>
      <c r="M12" s="186">
        <f>+M13+M18</f>
        <v>308246907</v>
      </c>
      <c r="N12" s="186">
        <f>+N13+N18</f>
        <v>278197391</v>
      </c>
      <c r="O12" s="147"/>
      <c r="P12" s="313"/>
      <c r="Q12" s="315"/>
    </row>
    <row r="13" spans="1:77" s="321" customFormat="1" ht="13.5" customHeight="1">
      <c r="A13" s="145"/>
      <c r="B13" s="153" t="s">
        <v>11</v>
      </c>
      <c r="C13" s="154"/>
      <c r="D13" s="317">
        <f>+D14+D15+D16+D17</f>
        <v>67684586</v>
      </c>
      <c r="E13" s="317">
        <f t="shared" ref="E13" si="7">+E14+E15+E16+E17</f>
        <v>4916913</v>
      </c>
      <c r="F13" s="317">
        <f t="shared" ref="F13:L13" si="8">+F14+F15+F16+F17</f>
        <v>5681685</v>
      </c>
      <c r="G13" s="317">
        <f t="shared" si="8"/>
        <v>6876858</v>
      </c>
      <c r="H13" s="317">
        <f t="shared" si="8"/>
        <v>21737595</v>
      </c>
      <c r="I13" s="317">
        <f t="shared" si="8"/>
        <v>17817249</v>
      </c>
      <c r="J13" s="317">
        <f t="shared" si="8"/>
        <v>4487584</v>
      </c>
      <c r="K13" s="317">
        <f t="shared" si="8"/>
        <v>3052728</v>
      </c>
      <c r="L13" s="317">
        <f t="shared" si="8"/>
        <v>3113974</v>
      </c>
      <c r="M13" s="318">
        <f>+M14+M15+M16+M17</f>
        <v>61552359</v>
      </c>
      <c r="N13" s="318">
        <f>+N14+N15+N16+N17</f>
        <v>56260553</v>
      </c>
      <c r="O13" s="319"/>
      <c r="P13" s="313"/>
      <c r="Q13" s="320"/>
      <c r="R13" s="320"/>
      <c r="S13" s="320"/>
      <c r="T13" s="320"/>
      <c r="U13" s="320"/>
      <c r="V13" s="320"/>
      <c r="W13" s="320"/>
      <c r="X13" s="320"/>
      <c r="Y13" s="320"/>
      <c r="Z13" s="320"/>
      <c r="AA13" s="320"/>
    </row>
    <row r="14" spans="1:77" s="324" customFormat="1" ht="12" customHeight="1">
      <c r="A14" s="155"/>
      <c r="B14" s="156" t="s">
        <v>12</v>
      </c>
      <c r="C14" s="157"/>
      <c r="D14" s="322">
        <f t="shared" ref="D14:L14" si="9">+D96+D140+D215+D29+D41+D62</f>
        <v>63814873</v>
      </c>
      <c r="E14" s="322">
        <f t="shared" si="9"/>
        <v>4104408</v>
      </c>
      <c r="F14" s="322">
        <f t="shared" si="9"/>
        <v>4896161</v>
      </c>
      <c r="G14" s="322">
        <f t="shared" si="9"/>
        <v>5457218</v>
      </c>
      <c r="H14" s="322">
        <f t="shared" si="9"/>
        <v>21391699</v>
      </c>
      <c r="I14" s="322">
        <f t="shared" si="9"/>
        <v>17503156</v>
      </c>
      <c r="J14" s="322">
        <f t="shared" si="9"/>
        <v>4423565</v>
      </c>
      <c r="K14" s="322">
        <f t="shared" si="9"/>
        <v>2988710</v>
      </c>
      <c r="L14" s="322">
        <f t="shared" si="9"/>
        <v>3049956</v>
      </c>
      <c r="M14" s="323">
        <f>SUM(F14:L14)</f>
        <v>59710465</v>
      </c>
      <c r="N14" s="323">
        <f t="shared" ref="M14:N16" si="10">SUM(G14:L14)</f>
        <v>54814304</v>
      </c>
      <c r="O14" s="147"/>
      <c r="P14" s="313">
        <f t="shared" ref="P14:P19" si="11">F14+G14+H14+I14+J14+K14+L14-M14</f>
        <v>0</v>
      </c>
      <c r="Q14" s="324" t="s">
        <v>252</v>
      </c>
    </row>
    <row r="15" spans="1:77" s="324" customFormat="1" ht="11.25" customHeight="1">
      <c r="A15" s="155"/>
      <c r="B15" s="325" t="s">
        <v>13</v>
      </c>
      <c r="C15" s="326"/>
      <c r="D15" s="322">
        <f t="shared" ref="D15:L15" si="12">+D63+D74+D85+D216+D228+D45</f>
        <v>2263283</v>
      </c>
      <c r="E15" s="322">
        <f t="shared" si="12"/>
        <v>421389</v>
      </c>
      <c r="F15" s="322">
        <f t="shared" si="12"/>
        <v>395645</v>
      </c>
      <c r="G15" s="322">
        <f t="shared" si="12"/>
        <v>957993</v>
      </c>
      <c r="H15" s="322">
        <f t="shared" si="12"/>
        <v>251628</v>
      </c>
      <c r="I15" s="322">
        <f t="shared" si="12"/>
        <v>236628</v>
      </c>
      <c r="J15" s="322">
        <f t="shared" si="12"/>
        <v>0</v>
      </c>
      <c r="K15" s="322">
        <f t="shared" si="12"/>
        <v>0</v>
      </c>
      <c r="L15" s="322">
        <f t="shared" si="12"/>
        <v>0</v>
      </c>
      <c r="M15" s="323">
        <f>SUM(F15:L15)</f>
        <v>1841894</v>
      </c>
      <c r="N15" s="323">
        <f t="shared" si="10"/>
        <v>1446249</v>
      </c>
      <c r="O15" s="147"/>
      <c r="P15" s="313">
        <f t="shared" si="11"/>
        <v>0</v>
      </c>
    </row>
    <row r="16" spans="1:77" s="324" customFormat="1" ht="15" hidden="1" customHeight="1">
      <c r="A16" s="155"/>
      <c r="B16" s="325" t="s">
        <v>16</v>
      </c>
      <c r="C16" s="326"/>
      <c r="D16" s="327">
        <f>+D141</f>
        <v>0</v>
      </c>
      <c r="E16" s="327">
        <f t="shared" ref="E16:L16" si="13">+E141</f>
        <v>0</v>
      </c>
      <c r="F16" s="327">
        <f t="shared" si="13"/>
        <v>0</v>
      </c>
      <c r="G16" s="327">
        <f t="shared" si="13"/>
        <v>0</v>
      </c>
      <c r="H16" s="327">
        <f t="shared" si="13"/>
        <v>0</v>
      </c>
      <c r="I16" s="327">
        <f t="shared" si="13"/>
        <v>0</v>
      </c>
      <c r="J16" s="327">
        <f t="shared" si="13"/>
        <v>0</v>
      </c>
      <c r="K16" s="327">
        <f t="shared" si="13"/>
        <v>0</v>
      </c>
      <c r="L16" s="327">
        <f t="shared" si="13"/>
        <v>0</v>
      </c>
      <c r="M16" s="323">
        <f t="shared" si="10"/>
        <v>0</v>
      </c>
      <c r="N16" s="323">
        <f t="shared" si="10"/>
        <v>0</v>
      </c>
      <c r="O16" s="147"/>
      <c r="P16" s="313">
        <f t="shared" si="11"/>
        <v>0</v>
      </c>
    </row>
    <row r="17" spans="1:27" s="324" customFormat="1" ht="12" customHeight="1">
      <c r="A17" s="155"/>
      <c r="B17" s="325" t="s">
        <v>32</v>
      </c>
      <c r="C17" s="326"/>
      <c r="D17" s="327">
        <f t="shared" ref="D17:L17" si="14">D102+D121+D217</f>
        <v>1606430</v>
      </c>
      <c r="E17" s="327">
        <f t="shared" si="14"/>
        <v>391116</v>
      </c>
      <c r="F17" s="327">
        <f t="shared" si="14"/>
        <v>389879</v>
      </c>
      <c r="G17" s="327">
        <f t="shared" si="14"/>
        <v>461647</v>
      </c>
      <c r="H17" s="327">
        <f t="shared" si="14"/>
        <v>94268</v>
      </c>
      <c r="I17" s="327">
        <f t="shared" si="14"/>
        <v>77465</v>
      </c>
      <c r="J17" s="327">
        <f t="shared" si="14"/>
        <v>64019</v>
      </c>
      <c r="K17" s="327">
        <f t="shared" si="14"/>
        <v>64018</v>
      </c>
      <c r="L17" s="327">
        <f t="shared" si="14"/>
        <v>64018</v>
      </c>
      <c r="M17" s="328">
        <f>M102+M121</f>
        <v>0</v>
      </c>
      <c r="N17" s="328">
        <f>N102+N121</f>
        <v>0</v>
      </c>
      <c r="O17" s="147"/>
      <c r="P17" s="313">
        <f>D15-D22</f>
        <v>0</v>
      </c>
    </row>
    <row r="18" spans="1:27" s="321" customFormat="1" ht="12" customHeight="1">
      <c r="A18" s="145"/>
      <c r="B18" s="158" t="s">
        <v>18</v>
      </c>
      <c r="C18" s="159"/>
      <c r="D18" s="160">
        <f>SUM(D19)</f>
        <v>269816116</v>
      </c>
      <c r="E18" s="160">
        <f t="shared" ref="E18" si="15">SUM(E19)</f>
        <v>23121568</v>
      </c>
      <c r="F18" s="160">
        <f t="shared" ref="F18:N18" si="16">SUM(F19)</f>
        <v>24757710</v>
      </c>
      <c r="G18" s="160">
        <f t="shared" si="16"/>
        <v>35867493</v>
      </c>
      <c r="H18" s="160">
        <f t="shared" si="16"/>
        <v>59530435</v>
      </c>
      <c r="I18" s="160">
        <f t="shared" si="16"/>
        <v>58456289</v>
      </c>
      <c r="J18" s="160">
        <f t="shared" si="16"/>
        <v>22594948</v>
      </c>
      <c r="K18" s="160">
        <f t="shared" si="16"/>
        <v>23084694</v>
      </c>
      <c r="L18" s="160">
        <f t="shared" si="16"/>
        <v>22402979</v>
      </c>
      <c r="M18" s="318">
        <f t="shared" si="16"/>
        <v>246694548</v>
      </c>
      <c r="N18" s="318">
        <f t="shared" si="16"/>
        <v>221936838</v>
      </c>
      <c r="O18" s="319"/>
      <c r="P18" s="313">
        <f t="shared" si="11"/>
        <v>0</v>
      </c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</row>
    <row r="19" spans="1:27" s="333" customFormat="1" ht="12" customHeight="1">
      <c r="A19" s="161"/>
      <c r="B19" s="329" t="s">
        <v>21</v>
      </c>
      <c r="C19" s="330"/>
      <c r="D19" s="322">
        <f t="shared" ref="D19:L19" si="17">+D31+D65+D76+D87+D106+D125+D143+D219+D230+D50</f>
        <v>269816116</v>
      </c>
      <c r="E19" s="322">
        <f t="shared" si="17"/>
        <v>23121568</v>
      </c>
      <c r="F19" s="322">
        <f t="shared" si="17"/>
        <v>24757710</v>
      </c>
      <c r="G19" s="322">
        <f t="shared" si="17"/>
        <v>35867493</v>
      </c>
      <c r="H19" s="322">
        <f t="shared" si="17"/>
        <v>59530435</v>
      </c>
      <c r="I19" s="322">
        <f t="shared" si="17"/>
        <v>58456289</v>
      </c>
      <c r="J19" s="322">
        <f t="shared" si="17"/>
        <v>22594948</v>
      </c>
      <c r="K19" s="322">
        <f t="shared" si="17"/>
        <v>23084694</v>
      </c>
      <c r="L19" s="322">
        <f t="shared" si="17"/>
        <v>22402979</v>
      </c>
      <c r="M19" s="323">
        <f>SUM(F19:L19)</f>
        <v>246694548</v>
      </c>
      <c r="N19" s="323">
        <f>SUM(G19:L19)</f>
        <v>221936838</v>
      </c>
      <c r="O19" s="331"/>
      <c r="P19" s="313">
        <f t="shared" si="11"/>
        <v>0</v>
      </c>
      <c r="Q19" s="332"/>
      <c r="R19" s="332"/>
      <c r="S19" s="332"/>
      <c r="T19" s="332"/>
      <c r="U19" s="332"/>
      <c r="V19" s="332"/>
      <c r="W19" s="332"/>
      <c r="X19" s="332"/>
      <c r="Y19" s="332"/>
      <c r="Z19" s="332"/>
      <c r="AA19" s="332"/>
    </row>
    <row r="20" spans="1:27" s="333" customFormat="1" ht="12.75" customHeight="1">
      <c r="A20" s="161"/>
      <c r="B20" s="78" t="s">
        <v>22</v>
      </c>
      <c r="C20" s="394"/>
      <c r="D20" s="395">
        <f>+D21+D24</f>
        <v>272079399</v>
      </c>
      <c r="E20" s="395">
        <f t="shared" ref="E20" si="18">+E21+E24</f>
        <v>17710330</v>
      </c>
      <c r="F20" s="395">
        <f t="shared" ref="F20:L20" si="19">+F21+F24</f>
        <v>26599494</v>
      </c>
      <c r="G20" s="395">
        <f t="shared" si="19"/>
        <v>36673202</v>
      </c>
      <c r="H20" s="395">
        <f t="shared" si="19"/>
        <v>60366978</v>
      </c>
      <c r="I20" s="395">
        <f t="shared" si="19"/>
        <v>51161864</v>
      </c>
      <c r="J20" s="395">
        <f t="shared" si="19"/>
        <v>22721431</v>
      </c>
      <c r="K20" s="395">
        <f t="shared" si="19"/>
        <v>22935629</v>
      </c>
      <c r="L20" s="395">
        <f t="shared" si="19"/>
        <v>22764014</v>
      </c>
      <c r="M20" s="4175" t="s">
        <v>61</v>
      </c>
      <c r="N20" s="4175" t="s">
        <v>61</v>
      </c>
      <c r="O20" s="147"/>
      <c r="P20" s="337">
        <f>D77+D88+D115+D134+D147+D220+D54+D35+D66+D231</f>
        <v>272079399</v>
      </c>
      <c r="Q20" s="332"/>
      <c r="R20" s="332"/>
      <c r="S20" s="332"/>
      <c r="T20" s="332"/>
      <c r="U20" s="332"/>
      <c r="V20" s="332"/>
      <c r="W20" s="332"/>
      <c r="X20" s="332"/>
      <c r="Y20" s="332"/>
      <c r="Z20" s="332"/>
      <c r="AA20" s="332"/>
    </row>
    <row r="21" spans="1:27" s="321" customFormat="1" ht="12" customHeight="1">
      <c r="A21" s="145"/>
      <c r="B21" s="153" t="s">
        <v>11</v>
      </c>
      <c r="C21" s="154"/>
      <c r="D21" s="317">
        <f>+D22+D23</f>
        <v>2263283</v>
      </c>
      <c r="E21" s="317">
        <f t="shared" ref="E21" si="20">+E22+E23</f>
        <v>413005</v>
      </c>
      <c r="F21" s="317">
        <f t="shared" ref="F21:L21" si="21">+F22+F23</f>
        <v>369575</v>
      </c>
      <c r="G21" s="317">
        <f t="shared" si="21"/>
        <v>969040</v>
      </c>
      <c r="H21" s="317">
        <f t="shared" si="21"/>
        <v>261721</v>
      </c>
      <c r="I21" s="317">
        <f t="shared" si="21"/>
        <v>236628</v>
      </c>
      <c r="J21" s="317">
        <f t="shared" si="21"/>
        <v>13314</v>
      </c>
      <c r="K21" s="317">
        <f t="shared" si="21"/>
        <v>0</v>
      </c>
      <c r="L21" s="317">
        <f t="shared" si="21"/>
        <v>0</v>
      </c>
      <c r="M21" s="4050"/>
      <c r="N21" s="4050"/>
      <c r="O21" s="319"/>
      <c r="P21" s="337"/>
      <c r="Q21" s="320"/>
      <c r="R21" s="320"/>
      <c r="S21" s="320"/>
      <c r="T21" s="320"/>
      <c r="U21" s="320"/>
      <c r="V21" s="320"/>
      <c r="W21" s="320"/>
      <c r="X21" s="320"/>
      <c r="Y21" s="320"/>
      <c r="Z21" s="320"/>
      <c r="AA21" s="320"/>
    </row>
    <row r="22" spans="1:27" s="333" customFormat="1" ht="12" customHeight="1">
      <c r="A22" s="161"/>
      <c r="B22" s="325" t="s">
        <v>13</v>
      </c>
      <c r="C22" s="334"/>
      <c r="D22" s="322">
        <f t="shared" ref="D22:L22" si="22">+D68+D79+D222+D233+D90+D56</f>
        <v>2263283</v>
      </c>
      <c r="E22" s="322">
        <f t="shared" si="22"/>
        <v>413005</v>
      </c>
      <c r="F22" s="322">
        <f t="shared" si="22"/>
        <v>369575</v>
      </c>
      <c r="G22" s="322">
        <f t="shared" si="22"/>
        <v>969040</v>
      </c>
      <c r="H22" s="322">
        <f t="shared" si="22"/>
        <v>261721</v>
      </c>
      <c r="I22" s="322">
        <f t="shared" si="22"/>
        <v>236628</v>
      </c>
      <c r="J22" s="322">
        <f t="shared" si="22"/>
        <v>13314</v>
      </c>
      <c r="K22" s="322">
        <f t="shared" si="22"/>
        <v>0</v>
      </c>
      <c r="L22" s="322">
        <f t="shared" si="22"/>
        <v>0</v>
      </c>
      <c r="M22" s="4050"/>
      <c r="N22" s="4050"/>
      <c r="O22" s="331"/>
      <c r="P22" s="337"/>
      <c r="Q22" s="332"/>
      <c r="R22" s="332"/>
      <c r="S22" s="332"/>
      <c r="T22" s="332"/>
      <c r="U22" s="332"/>
      <c r="V22" s="332"/>
      <c r="W22" s="332"/>
      <c r="X22" s="332"/>
      <c r="Y22" s="332"/>
      <c r="Z22" s="332"/>
      <c r="AA22" s="332"/>
    </row>
    <row r="23" spans="1:27" s="333" customFormat="1" ht="12" hidden="1" customHeight="1">
      <c r="A23" s="161"/>
      <c r="B23" s="325" t="s">
        <v>16</v>
      </c>
      <c r="C23" s="334"/>
      <c r="D23" s="327">
        <f>+D149</f>
        <v>0</v>
      </c>
      <c r="E23" s="327">
        <f>+E149</f>
        <v>0</v>
      </c>
      <c r="F23" s="327">
        <f>+F149</f>
        <v>0</v>
      </c>
      <c r="G23" s="327">
        <f t="shared" ref="G23:L23" si="23">+G149</f>
        <v>0</v>
      </c>
      <c r="H23" s="327">
        <f t="shared" si="23"/>
        <v>0</v>
      </c>
      <c r="I23" s="327">
        <f t="shared" si="23"/>
        <v>0</v>
      </c>
      <c r="J23" s="327">
        <f t="shared" si="23"/>
        <v>0</v>
      </c>
      <c r="K23" s="327">
        <f t="shared" si="23"/>
        <v>0</v>
      </c>
      <c r="L23" s="327">
        <f t="shared" si="23"/>
        <v>0</v>
      </c>
      <c r="M23" s="4050"/>
      <c r="N23" s="4050"/>
      <c r="O23" s="331"/>
      <c r="P23" s="337"/>
      <c r="Q23" s="332"/>
      <c r="R23" s="332"/>
      <c r="S23" s="332"/>
      <c r="T23" s="332"/>
      <c r="U23" s="332"/>
      <c r="V23" s="332"/>
      <c r="W23" s="332"/>
      <c r="X23" s="332"/>
      <c r="Y23" s="332"/>
      <c r="Z23" s="332"/>
      <c r="AA23" s="332"/>
    </row>
    <row r="24" spans="1:27" s="321" customFormat="1" ht="12" customHeight="1">
      <c r="A24" s="145"/>
      <c r="B24" s="158" t="s">
        <v>18</v>
      </c>
      <c r="C24" s="159"/>
      <c r="D24" s="160">
        <f>+D25</f>
        <v>269816116</v>
      </c>
      <c r="E24" s="160">
        <f t="shared" ref="E24" si="24">+E25</f>
        <v>17297325</v>
      </c>
      <c r="F24" s="160">
        <f t="shared" ref="F24:L24" si="25">+F25</f>
        <v>26229919</v>
      </c>
      <c r="G24" s="160">
        <f t="shared" si="25"/>
        <v>35704162</v>
      </c>
      <c r="H24" s="160">
        <f t="shared" si="25"/>
        <v>60105257</v>
      </c>
      <c r="I24" s="160">
        <f t="shared" si="25"/>
        <v>50925236</v>
      </c>
      <c r="J24" s="160">
        <f t="shared" si="25"/>
        <v>22708117</v>
      </c>
      <c r="K24" s="160">
        <f t="shared" si="25"/>
        <v>22935629</v>
      </c>
      <c r="L24" s="160">
        <f t="shared" si="25"/>
        <v>22764014</v>
      </c>
      <c r="M24" s="4050"/>
      <c r="N24" s="4050"/>
      <c r="O24" s="319"/>
      <c r="P24" s="337"/>
      <c r="Q24" s="320"/>
      <c r="R24" s="320"/>
      <c r="S24" s="320"/>
      <c r="T24" s="320"/>
      <c r="U24" s="320"/>
      <c r="V24" s="320"/>
      <c r="W24" s="320"/>
      <c r="X24" s="320"/>
      <c r="Y24" s="320"/>
      <c r="Z24" s="320"/>
      <c r="AA24" s="320"/>
    </row>
    <row r="25" spans="1:27" s="333" customFormat="1" ht="12" customHeight="1" thickBot="1">
      <c r="A25" s="162"/>
      <c r="B25" s="335" t="s">
        <v>21</v>
      </c>
      <c r="C25" s="163"/>
      <c r="D25" s="164">
        <f t="shared" ref="D25:L25" si="26">+D37+D70+D81+D92+D117+D136+D151+D224+D235+D58</f>
        <v>269816116</v>
      </c>
      <c r="E25" s="164">
        <f t="shared" si="26"/>
        <v>17297325</v>
      </c>
      <c r="F25" s="164">
        <f t="shared" si="26"/>
        <v>26229919</v>
      </c>
      <c r="G25" s="164">
        <f t="shared" si="26"/>
        <v>35704162</v>
      </c>
      <c r="H25" s="164">
        <f t="shared" si="26"/>
        <v>60105257</v>
      </c>
      <c r="I25" s="164">
        <f t="shared" si="26"/>
        <v>50925236</v>
      </c>
      <c r="J25" s="164">
        <f t="shared" si="26"/>
        <v>22708117</v>
      </c>
      <c r="K25" s="164">
        <f t="shared" si="26"/>
        <v>22935629</v>
      </c>
      <c r="L25" s="164">
        <f t="shared" si="26"/>
        <v>22764014</v>
      </c>
      <c r="M25" s="4051"/>
      <c r="N25" s="4051"/>
      <c r="O25" s="336"/>
      <c r="P25" s="337">
        <f>D19-D25</f>
        <v>0</v>
      </c>
      <c r="Q25" s="332"/>
      <c r="R25" s="332"/>
      <c r="S25" s="332"/>
      <c r="T25" s="332"/>
      <c r="U25" s="332"/>
      <c r="V25" s="332"/>
      <c r="W25" s="332"/>
      <c r="X25" s="332"/>
      <c r="Y25" s="332"/>
      <c r="Z25" s="332"/>
      <c r="AA25" s="332"/>
    </row>
    <row r="26" spans="1:27" s="332" customFormat="1" ht="25.5" customHeight="1">
      <c r="A26" s="4158" t="s">
        <v>63</v>
      </c>
      <c r="B26" s="165" t="s">
        <v>546</v>
      </c>
      <c r="C26" s="166" t="s">
        <v>109</v>
      </c>
      <c r="D26" s="182"/>
      <c r="E26" s="181"/>
      <c r="F26" s="181"/>
      <c r="G26" s="181"/>
      <c r="H26" s="181"/>
      <c r="I26" s="181"/>
      <c r="J26" s="181"/>
      <c r="K26" s="181"/>
      <c r="L26" s="251"/>
      <c r="M26" s="338"/>
      <c r="N26" s="338"/>
      <c r="O26" s="4188" t="s">
        <v>304</v>
      </c>
      <c r="P26" s="337"/>
    </row>
    <row r="27" spans="1:27" s="332" customFormat="1" ht="14.25" customHeight="1">
      <c r="A27" s="4159"/>
      <c r="B27" s="21" t="s">
        <v>10</v>
      </c>
      <c r="C27" s="2124"/>
      <c r="D27" s="339">
        <f>+D28+D30</f>
        <v>1966760</v>
      </c>
      <c r="E27" s="339">
        <f t="shared" ref="E27" si="27">+E28+E30</f>
        <v>192432</v>
      </c>
      <c r="F27" s="339">
        <f t="shared" ref="F27:K27" si="28">+F28+F30</f>
        <v>190282</v>
      </c>
      <c r="G27" s="339">
        <f t="shared" si="28"/>
        <v>310701</v>
      </c>
      <c r="H27" s="339">
        <f t="shared" si="28"/>
        <v>281170</v>
      </c>
      <c r="I27" s="339">
        <f t="shared" si="28"/>
        <v>281170</v>
      </c>
      <c r="J27" s="339">
        <f t="shared" si="28"/>
        <v>280970</v>
      </c>
      <c r="K27" s="339">
        <f t="shared" si="28"/>
        <v>430035</v>
      </c>
      <c r="L27" s="339"/>
      <c r="M27" s="2125">
        <f>M28+M30</f>
        <v>1774328</v>
      </c>
      <c r="N27" s="2125">
        <f>N28+N30</f>
        <v>1584046</v>
      </c>
      <c r="O27" s="4189"/>
      <c r="P27" s="313"/>
    </row>
    <row r="28" spans="1:27" s="1835" customFormat="1" ht="12" customHeight="1">
      <c r="A28" s="4159"/>
      <c r="B28" s="555" t="s">
        <v>24</v>
      </c>
      <c r="C28" s="4131" t="s">
        <v>148</v>
      </c>
      <c r="D28" s="340">
        <f>+D29</f>
        <v>2000</v>
      </c>
      <c r="E28" s="340">
        <f t="shared" ref="E28" si="29">+E29</f>
        <v>10</v>
      </c>
      <c r="F28" s="340">
        <f t="shared" ref="F28:K28" si="30">+F29</f>
        <v>0</v>
      </c>
      <c r="G28" s="340">
        <f t="shared" si="30"/>
        <v>790</v>
      </c>
      <c r="H28" s="340">
        <f t="shared" si="30"/>
        <v>400</v>
      </c>
      <c r="I28" s="340">
        <f t="shared" si="30"/>
        <v>400</v>
      </c>
      <c r="J28" s="340">
        <f t="shared" si="30"/>
        <v>200</v>
      </c>
      <c r="K28" s="340">
        <f t="shared" si="30"/>
        <v>200</v>
      </c>
      <c r="L28" s="340"/>
      <c r="M28" s="341">
        <f>+M29</f>
        <v>1990</v>
      </c>
      <c r="N28" s="341">
        <f>+N29</f>
        <v>1990</v>
      </c>
      <c r="O28" s="4189"/>
      <c r="P28" s="1834"/>
    </row>
    <row r="29" spans="1:27" s="1835" customFormat="1" ht="11.25" customHeight="1">
      <c r="A29" s="4159"/>
      <c r="B29" s="168" t="s">
        <v>12</v>
      </c>
      <c r="C29" s="4139"/>
      <c r="D29" s="239">
        <f>E29+F29+G29+H29+I29+J29+K29+L29</f>
        <v>2000</v>
      </c>
      <c r="E29" s="1247">
        <v>10</v>
      </c>
      <c r="F29" s="1247">
        <f>300-300</f>
        <v>0</v>
      </c>
      <c r="G29" s="1247">
        <f>400+90+300</f>
        <v>790</v>
      </c>
      <c r="H29" s="1247">
        <v>400</v>
      </c>
      <c r="I29" s="1247">
        <v>400</v>
      </c>
      <c r="J29" s="1247">
        <v>200</v>
      </c>
      <c r="K29" s="1247">
        <v>200</v>
      </c>
      <c r="L29" s="2126"/>
      <c r="M29" s="614">
        <f>SUM(F29:K29)</f>
        <v>1990</v>
      </c>
      <c r="N29" s="614">
        <f>SUM(G29:L29)</f>
        <v>1990</v>
      </c>
      <c r="O29" s="4189"/>
      <c r="P29" s="1836"/>
    </row>
    <row r="30" spans="1:27" s="332" customFormat="1" ht="12" customHeight="1">
      <c r="A30" s="4159"/>
      <c r="B30" s="604" t="s">
        <v>18</v>
      </c>
      <c r="C30" s="4016"/>
      <c r="D30" s="342">
        <f>+D31</f>
        <v>1964760</v>
      </c>
      <c r="E30" s="342">
        <f t="shared" ref="E30:K30" si="31">E31</f>
        <v>192422</v>
      </c>
      <c r="F30" s="342">
        <f t="shared" si="31"/>
        <v>190282</v>
      </c>
      <c r="G30" s="342">
        <f t="shared" si="31"/>
        <v>309911</v>
      </c>
      <c r="H30" s="342">
        <f t="shared" si="31"/>
        <v>280770</v>
      </c>
      <c r="I30" s="342">
        <f t="shared" si="31"/>
        <v>280770</v>
      </c>
      <c r="J30" s="342">
        <f t="shared" si="31"/>
        <v>280770</v>
      </c>
      <c r="K30" s="342">
        <f t="shared" si="31"/>
        <v>429835</v>
      </c>
      <c r="L30" s="342"/>
      <c r="M30" s="341">
        <f>+M31</f>
        <v>1772338</v>
      </c>
      <c r="N30" s="341">
        <f>+N31</f>
        <v>1582056</v>
      </c>
      <c r="O30" s="4189"/>
      <c r="P30" s="337"/>
      <c r="Q30" s="337"/>
    </row>
    <row r="31" spans="1:27" s="1508" customFormat="1">
      <c r="A31" s="4159"/>
      <c r="B31" s="1248" t="s">
        <v>21</v>
      </c>
      <c r="C31" s="4017"/>
      <c r="D31" s="239">
        <f>E31+F31+G31+H31+I31+J31+K31+L31</f>
        <v>1964760</v>
      </c>
      <c r="E31" s="1247">
        <f>+E33+E34</f>
        <v>192422</v>
      </c>
      <c r="F31" s="239">
        <f t="shared" ref="F31:K31" si="32">SUM(F33:F34)</f>
        <v>190282</v>
      </c>
      <c r="G31" s="239">
        <f t="shared" si="32"/>
        <v>309911</v>
      </c>
      <c r="H31" s="239">
        <f t="shared" si="32"/>
        <v>280770</v>
      </c>
      <c r="I31" s="239">
        <f t="shared" si="32"/>
        <v>280770</v>
      </c>
      <c r="J31" s="239">
        <f t="shared" si="32"/>
        <v>280770</v>
      </c>
      <c r="K31" s="239">
        <f t="shared" si="32"/>
        <v>429835</v>
      </c>
      <c r="L31" s="2127"/>
      <c r="M31" s="614">
        <f>SUM(F31:L31)</f>
        <v>1772338</v>
      </c>
      <c r="N31" s="614">
        <f>SUM(G31:L31)</f>
        <v>1582056</v>
      </c>
      <c r="O31" s="4189"/>
      <c r="P31" s="313"/>
    </row>
    <row r="32" spans="1:27" s="1508" customFormat="1" hidden="1">
      <c r="A32" s="4159"/>
      <c r="B32" s="2128" t="s">
        <v>344</v>
      </c>
      <c r="C32" s="3082"/>
      <c r="D32" s="839"/>
      <c r="E32" s="2129"/>
      <c r="F32" s="2129"/>
      <c r="G32" s="2129"/>
      <c r="H32" s="2129"/>
      <c r="I32" s="2129"/>
      <c r="J32" s="2129"/>
      <c r="K32" s="2129"/>
      <c r="L32" s="2129"/>
      <c r="M32" s="2130"/>
      <c r="N32" s="2130"/>
      <c r="O32" s="4189"/>
      <c r="P32" s="313"/>
    </row>
    <row r="33" spans="1:16" s="1508" customFormat="1" hidden="1">
      <c r="A33" s="4159"/>
      <c r="B33" s="2131" t="s">
        <v>260</v>
      </c>
      <c r="C33" s="3076"/>
      <c r="D33" s="891">
        <f>SUM(E33:K33)</f>
        <v>1881600</v>
      </c>
      <c r="E33" s="2132">
        <v>187905</v>
      </c>
      <c r="F33" s="2132">
        <f>268800-68800-19862</f>
        <v>180138</v>
      </c>
      <c r="G33" s="2132">
        <f>268800+19862</f>
        <v>288662</v>
      </c>
      <c r="H33" s="2132">
        <v>268800</v>
      </c>
      <c r="I33" s="2132">
        <v>268800</v>
      </c>
      <c r="J33" s="2132">
        <v>268800</v>
      </c>
      <c r="K33" s="2132">
        <f>268800+80895+68800</f>
        <v>418495</v>
      </c>
      <c r="L33" s="2132"/>
      <c r="M33" s="2133">
        <f>SUM(F33:K33)</f>
        <v>1693695</v>
      </c>
      <c r="N33" s="2133">
        <f>SUM(G33:L33)</f>
        <v>1513557</v>
      </c>
      <c r="O33" s="4189"/>
      <c r="P33" s="313"/>
    </row>
    <row r="34" spans="1:16" s="1508" customFormat="1" hidden="1">
      <c r="A34" s="4159"/>
      <c r="B34" s="2131" t="s">
        <v>110</v>
      </c>
      <c r="C34" s="3076"/>
      <c r="D34" s="839">
        <f>+E34+F34+G34+H34+I34+J34+K34</f>
        <v>83160</v>
      </c>
      <c r="E34" s="2134">
        <v>4517</v>
      </c>
      <c r="F34" s="2134">
        <f>11970-1826</f>
        <v>10144</v>
      </c>
      <c r="G34" s="2134">
        <f>11970+7453+1826</f>
        <v>21249</v>
      </c>
      <c r="H34" s="2134">
        <v>11970</v>
      </c>
      <c r="I34" s="2134">
        <v>11970</v>
      </c>
      <c r="J34" s="2134">
        <v>11970</v>
      </c>
      <c r="K34" s="2134">
        <v>11340</v>
      </c>
      <c r="L34" s="2134"/>
      <c r="M34" s="2135">
        <f>SUM(F34:K34)</f>
        <v>78643</v>
      </c>
      <c r="N34" s="2135">
        <f>SUM(G34:L34)</f>
        <v>68499</v>
      </c>
      <c r="O34" s="4189"/>
      <c r="P34" s="313"/>
    </row>
    <row r="35" spans="1:16" s="1508" customFormat="1" ht="12.75" customHeight="1">
      <c r="A35" s="3706"/>
      <c r="B35" s="21" t="s">
        <v>22</v>
      </c>
      <c r="C35" s="170"/>
      <c r="D35" s="339">
        <f>+D36</f>
        <v>1964760</v>
      </c>
      <c r="E35" s="339">
        <f t="shared" ref="E35:L35" si="33">+E36</f>
        <v>0</v>
      </c>
      <c r="F35" s="339">
        <f t="shared" si="33"/>
        <v>0</v>
      </c>
      <c r="G35" s="339">
        <f t="shared" si="33"/>
        <v>473192</v>
      </c>
      <c r="H35" s="339">
        <f t="shared" si="33"/>
        <v>288223</v>
      </c>
      <c r="I35" s="339">
        <f t="shared" si="33"/>
        <v>280770</v>
      </c>
      <c r="J35" s="339">
        <f t="shared" si="33"/>
        <v>280770</v>
      </c>
      <c r="K35" s="339">
        <f t="shared" si="33"/>
        <v>280770</v>
      </c>
      <c r="L35" s="339">
        <f t="shared" si="33"/>
        <v>361035</v>
      </c>
      <c r="M35" s="4140" t="s">
        <v>61</v>
      </c>
      <c r="N35" s="4140" t="s">
        <v>61</v>
      </c>
      <c r="O35" s="4189"/>
      <c r="P35" s="313">
        <f>G35-'[1]Tab. 6E - Administracja'!$G$35</f>
        <v>0</v>
      </c>
    </row>
    <row r="36" spans="1:16" s="1508" customFormat="1" ht="12.75" customHeight="1">
      <c r="A36" s="3706"/>
      <c r="B36" s="2136" t="s">
        <v>18</v>
      </c>
      <c r="C36" s="4016" t="s">
        <v>148</v>
      </c>
      <c r="D36" s="342">
        <f>+D37</f>
        <v>1964760</v>
      </c>
      <c r="E36" s="342">
        <f t="shared" ref="E36:L36" si="34">E37</f>
        <v>0</v>
      </c>
      <c r="F36" s="342">
        <f t="shared" si="34"/>
        <v>0</v>
      </c>
      <c r="G36" s="342">
        <f t="shared" si="34"/>
        <v>473192</v>
      </c>
      <c r="H36" s="342">
        <f t="shared" si="34"/>
        <v>288223</v>
      </c>
      <c r="I36" s="342">
        <f t="shared" si="34"/>
        <v>280770</v>
      </c>
      <c r="J36" s="342">
        <f t="shared" si="34"/>
        <v>280770</v>
      </c>
      <c r="K36" s="342">
        <f t="shared" si="34"/>
        <v>280770</v>
      </c>
      <c r="L36" s="342">
        <f t="shared" si="34"/>
        <v>361035</v>
      </c>
      <c r="M36" s="4042"/>
      <c r="N36" s="4042"/>
      <c r="O36" s="4189"/>
    </row>
    <row r="37" spans="1:16" s="1508" customFormat="1" ht="12" customHeight="1" thickBot="1">
      <c r="A37" s="3707"/>
      <c r="B37" s="344" t="s">
        <v>21</v>
      </c>
      <c r="C37" s="4141"/>
      <c r="D37" s="239">
        <f>E37+F37+G37+H37+I37+J37+K37+L37</f>
        <v>1964760</v>
      </c>
      <c r="E37" s="1247">
        <v>0</v>
      </c>
      <c r="F37" s="2127">
        <f>192422-192422</f>
        <v>0</v>
      </c>
      <c r="G37" s="2127">
        <f>280770+192422</f>
        <v>473192</v>
      </c>
      <c r="H37" s="2127">
        <f>288223</f>
        <v>288223</v>
      </c>
      <c r="I37" s="2127">
        <v>280770</v>
      </c>
      <c r="J37" s="2127">
        <v>280770</v>
      </c>
      <c r="K37" s="2127">
        <v>280770</v>
      </c>
      <c r="L37" s="2127">
        <v>361035</v>
      </c>
      <c r="M37" s="4043"/>
      <c r="N37" s="4043"/>
      <c r="O37" s="4190"/>
      <c r="P37" s="313">
        <f>D37-D31</f>
        <v>0</v>
      </c>
    </row>
    <row r="38" spans="1:16" s="1508" customFormat="1" ht="30" customHeight="1">
      <c r="A38" s="4158" t="s">
        <v>64</v>
      </c>
      <c r="B38" s="165" t="s">
        <v>362</v>
      </c>
      <c r="C38" s="3174" t="s">
        <v>109</v>
      </c>
      <c r="D38" s="382"/>
      <c r="E38" s="382"/>
      <c r="F38" s="382"/>
      <c r="G38" s="382"/>
      <c r="H38" s="382"/>
      <c r="I38" s="382"/>
      <c r="J38" s="382"/>
      <c r="K38" s="382"/>
      <c r="L38" s="2692"/>
      <c r="M38" s="182">
        <f t="shared" ref="M38" si="35">M43+M47+M52</f>
        <v>783552</v>
      </c>
      <c r="N38" s="182"/>
      <c r="O38" s="4188" t="s">
        <v>279</v>
      </c>
      <c r="P38" s="1508" t="s">
        <v>370</v>
      </c>
    </row>
    <row r="39" spans="1:16" s="1508" customFormat="1" ht="12" customHeight="1">
      <c r="A39" s="4159"/>
      <c r="B39" s="581" t="s">
        <v>10</v>
      </c>
      <c r="C39" s="1427"/>
      <c r="D39" s="2137">
        <f t="shared" ref="D39:I39" si="36">+D40+D49</f>
        <v>1333052</v>
      </c>
      <c r="E39" s="2137">
        <f t="shared" si="36"/>
        <v>83853</v>
      </c>
      <c r="F39" s="2137">
        <f t="shared" si="36"/>
        <v>248327</v>
      </c>
      <c r="G39" s="2137">
        <f t="shared" si="36"/>
        <v>467622</v>
      </c>
      <c r="H39" s="2137">
        <f t="shared" si="36"/>
        <v>266680</v>
      </c>
      <c r="I39" s="2137">
        <f t="shared" si="36"/>
        <v>266570</v>
      </c>
      <c r="J39" s="2138">
        <v>0</v>
      </c>
      <c r="K39" s="2137"/>
      <c r="L39" s="2137"/>
      <c r="M39" s="2139">
        <f>+M40+M49</f>
        <v>1249199</v>
      </c>
      <c r="N39" s="2139">
        <f>+N40+N49</f>
        <v>1000872</v>
      </c>
      <c r="O39" s="4189"/>
      <c r="P39" s="313"/>
    </row>
    <row r="40" spans="1:16" s="1508" customFormat="1" ht="12" customHeight="1">
      <c r="A40" s="4159"/>
      <c r="B40" s="555" t="s">
        <v>24</v>
      </c>
      <c r="C40" s="4187" t="s">
        <v>148</v>
      </c>
      <c r="D40" s="1428">
        <f>+D41+D45</f>
        <v>201234</v>
      </c>
      <c r="E40" s="1428">
        <f>+E41+E45</f>
        <v>12587</v>
      </c>
      <c r="F40" s="1428">
        <f t="shared" ref="F40:I40" si="37">+F41+F45</f>
        <v>37319</v>
      </c>
      <c r="G40" s="1428">
        <f t="shared" si="37"/>
        <v>70754</v>
      </c>
      <c r="H40" s="1428">
        <f t="shared" si="37"/>
        <v>40342</v>
      </c>
      <c r="I40" s="1428">
        <f t="shared" si="37"/>
        <v>40232</v>
      </c>
      <c r="J40" s="2140">
        <v>0</v>
      </c>
      <c r="K40" s="1428"/>
      <c r="L40" s="1428"/>
      <c r="M40" s="1429">
        <f>+M41+M45</f>
        <v>188647</v>
      </c>
      <c r="N40" s="1429">
        <f>+N41+N45</f>
        <v>151328</v>
      </c>
      <c r="O40" s="4189"/>
    </row>
    <row r="41" spans="1:16" s="1508" customFormat="1" ht="12" customHeight="1">
      <c r="A41" s="4159"/>
      <c r="B41" s="168" t="s">
        <v>12</v>
      </c>
      <c r="C41" s="4139"/>
      <c r="D41" s="1406">
        <f>E41+F41+G41+H41+I41+J41+K41+L41</f>
        <v>68078</v>
      </c>
      <c r="E41" s="1430">
        <f>+E43+E44</f>
        <v>4203</v>
      </c>
      <c r="F41" s="2141">
        <f t="shared" ref="F41:I41" si="38">+F43+F44</f>
        <v>12494</v>
      </c>
      <c r="G41" s="2141">
        <f t="shared" si="38"/>
        <v>24063</v>
      </c>
      <c r="H41" s="2141">
        <f t="shared" si="38"/>
        <v>13714</v>
      </c>
      <c r="I41" s="2141">
        <f t="shared" si="38"/>
        <v>13604</v>
      </c>
      <c r="J41" s="2142">
        <v>0</v>
      </c>
      <c r="K41" s="410"/>
      <c r="L41" s="410"/>
      <c r="M41" s="614">
        <f>SUM(F41:K41)</f>
        <v>63875</v>
      </c>
      <c r="N41" s="614">
        <f>SUM(G41:L41)</f>
        <v>51381</v>
      </c>
      <c r="O41" s="4189"/>
    </row>
    <row r="42" spans="1:16" s="1508" customFormat="1" ht="12" hidden="1" customHeight="1">
      <c r="A42" s="4159"/>
      <c r="B42" s="168" t="s">
        <v>149</v>
      </c>
      <c r="C42" s="4139"/>
      <c r="D42" s="1406"/>
      <c r="E42" s="1430"/>
      <c r="F42" s="2141"/>
      <c r="G42" s="2141"/>
      <c r="H42" s="2141"/>
      <c r="I42" s="2141"/>
      <c r="J42" s="2142"/>
      <c r="K42" s="410"/>
      <c r="L42" s="410"/>
      <c r="M42" s="1429"/>
      <c r="N42" s="1429"/>
      <c r="O42" s="4189"/>
    </row>
    <row r="43" spans="1:16" s="1508" customFormat="1" ht="12" hidden="1" customHeight="1">
      <c r="A43" s="4159"/>
      <c r="B43" s="2087" t="s">
        <v>260</v>
      </c>
      <c r="C43" s="4139"/>
      <c r="D43" s="1406">
        <f>E43+F43+G43+H43+I43+J43+K43+L43</f>
        <v>43007</v>
      </c>
      <c r="E43" s="1430">
        <f>3610+217</f>
        <v>3827</v>
      </c>
      <c r="F43" s="1431">
        <f>9240+555-674</f>
        <v>9121</v>
      </c>
      <c r="G43" s="1431">
        <f>9240+555+674</f>
        <v>10469</v>
      </c>
      <c r="H43" s="169">
        <f>9240+555</f>
        <v>9795</v>
      </c>
      <c r="I43" s="169">
        <f>9240+555</f>
        <v>9795</v>
      </c>
      <c r="J43" s="2142">
        <v>0</v>
      </c>
      <c r="K43" s="410"/>
      <c r="L43" s="410"/>
      <c r="M43" s="614">
        <f t="shared" ref="M43:N45" si="39">SUM(F43:K43)</f>
        <v>39180</v>
      </c>
      <c r="N43" s="614">
        <f t="shared" si="39"/>
        <v>30059</v>
      </c>
      <c r="O43" s="4189"/>
    </row>
    <row r="44" spans="1:16" s="1508" customFormat="1" ht="12" hidden="1" customHeight="1">
      <c r="A44" s="4159"/>
      <c r="B44" s="868" t="s">
        <v>110</v>
      </c>
      <c r="C44" s="4139"/>
      <c r="D44" s="1406">
        <f>E44+F44+G44+H44+I44+J44+K44+L44</f>
        <v>25071</v>
      </c>
      <c r="E44" s="1430">
        <f>286+90</f>
        <v>376</v>
      </c>
      <c r="F44" s="2141">
        <f>13902-772-9757</f>
        <v>3373</v>
      </c>
      <c r="G44" s="2141">
        <f>4474-555+9675</f>
        <v>13594</v>
      </c>
      <c r="H44" s="2141">
        <f>4474-555</f>
        <v>3919</v>
      </c>
      <c r="I44" s="2141">
        <f>4364-555</f>
        <v>3809</v>
      </c>
      <c r="J44" s="2143">
        <v>0</v>
      </c>
      <c r="K44" s="2141"/>
      <c r="L44" s="2141"/>
      <c r="M44" s="614">
        <f t="shared" si="39"/>
        <v>24695</v>
      </c>
      <c r="N44" s="614">
        <f t="shared" si="39"/>
        <v>21322</v>
      </c>
      <c r="O44" s="4189"/>
    </row>
    <row r="45" spans="1:16" s="272" customFormat="1">
      <c r="A45" s="4159"/>
      <c r="B45" s="2144" t="s">
        <v>13</v>
      </c>
      <c r="C45" s="4139"/>
      <c r="D45" s="1406">
        <f>+E45+F45+G45+H45+I45</f>
        <v>133156</v>
      </c>
      <c r="E45" s="2145">
        <f>+E47+E48</f>
        <v>8384</v>
      </c>
      <c r="F45" s="2146">
        <f>+F47+F48</f>
        <v>24825</v>
      </c>
      <c r="G45" s="2146">
        <f>+G47+G48</f>
        <v>46691</v>
      </c>
      <c r="H45" s="2146">
        <f>+H47+H48</f>
        <v>26628</v>
      </c>
      <c r="I45" s="2146">
        <f>+I47+I48</f>
        <v>26628</v>
      </c>
      <c r="J45" s="2147">
        <v>0</v>
      </c>
      <c r="K45" s="2146"/>
      <c r="L45" s="2146"/>
      <c r="M45" s="2148">
        <f t="shared" si="39"/>
        <v>124772</v>
      </c>
      <c r="N45" s="2148">
        <f t="shared" si="39"/>
        <v>99947</v>
      </c>
      <c r="O45" s="4189"/>
    </row>
    <row r="46" spans="1:16" s="1508" customFormat="1" ht="11.25" hidden="1" customHeight="1">
      <c r="A46" s="4159"/>
      <c r="B46" s="168" t="s">
        <v>149</v>
      </c>
      <c r="C46" s="4139"/>
      <c r="D46" s="1431"/>
      <c r="E46" s="169"/>
      <c r="F46" s="169"/>
      <c r="G46" s="169"/>
      <c r="H46" s="169"/>
      <c r="I46" s="169"/>
      <c r="J46" s="2149"/>
      <c r="K46" s="169"/>
      <c r="L46" s="169"/>
      <c r="M46" s="1432"/>
      <c r="N46" s="1432"/>
      <c r="O46" s="4189"/>
    </row>
    <row r="47" spans="1:16" s="1508" customFormat="1" ht="13.5" hidden="1" customHeight="1">
      <c r="A47" s="4159"/>
      <c r="B47" s="2087" t="s">
        <v>260</v>
      </c>
      <c r="C47" s="4139"/>
      <c r="D47" s="1431">
        <f>+E47+F47+G47+H47+I47</f>
        <v>86006</v>
      </c>
      <c r="E47" s="169">
        <f>7221+433</f>
        <v>7654</v>
      </c>
      <c r="F47" s="169">
        <f>18480+1108-1345</f>
        <v>18243</v>
      </c>
      <c r="G47" s="169">
        <f>18480+1108+1345</f>
        <v>20933</v>
      </c>
      <c r="H47" s="169">
        <f>18480+1108</f>
        <v>19588</v>
      </c>
      <c r="I47" s="169">
        <f>18480+1108</f>
        <v>19588</v>
      </c>
      <c r="J47" s="2149">
        <v>0</v>
      </c>
      <c r="K47" s="169"/>
      <c r="L47" s="169"/>
      <c r="M47" s="614">
        <f>SUM(F47:K47)</f>
        <v>78352</v>
      </c>
      <c r="N47" s="614">
        <f>SUM(G47:L47)</f>
        <v>60109</v>
      </c>
      <c r="O47" s="4189"/>
    </row>
    <row r="48" spans="1:16" s="1508" customFormat="1" ht="10.5" hidden="1" customHeight="1">
      <c r="A48" s="4159"/>
      <c r="B48" s="2150" t="s">
        <v>110</v>
      </c>
      <c r="C48" s="4139"/>
      <c r="D48" s="1431">
        <f>+E48+F48+G48+H48+I48</f>
        <v>47150</v>
      </c>
      <c r="E48" s="169">
        <f>552+178</f>
        <v>730</v>
      </c>
      <c r="F48" s="169">
        <f>27004-1541-18881</f>
        <v>6582</v>
      </c>
      <c r="G48" s="169">
        <f>8148-1108+18718</f>
        <v>25758</v>
      </c>
      <c r="H48" s="169">
        <f>8148-1108</f>
        <v>7040</v>
      </c>
      <c r="I48" s="169">
        <f>8148-1108</f>
        <v>7040</v>
      </c>
      <c r="J48" s="2149">
        <v>0</v>
      </c>
      <c r="K48" s="169"/>
      <c r="L48" s="169"/>
      <c r="M48" s="614">
        <f>SUM(F48:K48)</f>
        <v>46420</v>
      </c>
      <c r="N48" s="614">
        <f>SUM(G48:L48)</f>
        <v>39838</v>
      </c>
      <c r="O48" s="4189"/>
    </row>
    <row r="49" spans="1:16" s="1508" customFormat="1" ht="12.75" customHeight="1">
      <c r="A49" s="4159"/>
      <c r="B49" s="604" t="s">
        <v>18</v>
      </c>
      <c r="C49" s="4016"/>
      <c r="D49" s="1433">
        <f>+D50</f>
        <v>1131818</v>
      </c>
      <c r="E49" s="1433">
        <f>+E50</f>
        <v>71266</v>
      </c>
      <c r="F49" s="1433">
        <f t="shared" ref="F49:I49" si="40">+F50</f>
        <v>211008</v>
      </c>
      <c r="G49" s="1433">
        <f t="shared" si="40"/>
        <v>396868</v>
      </c>
      <c r="H49" s="1433">
        <f t="shared" si="40"/>
        <v>226338</v>
      </c>
      <c r="I49" s="1433">
        <f t="shared" si="40"/>
        <v>226338</v>
      </c>
      <c r="J49" s="1434">
        <v>0</v>
      </c>
      <c r="K49" s="1433"/>
      <c r="L49" s="1433"/>
      <c r="M49" s="1429">
        <f>+M50</f>
        <v>1060552</v>
      </c>
      <c r="N49" s="1429">
        <f>+N50</f>
        <v>849544</v>
      </c>
      <c r="O49" s="4189"/>
    </row>
    <row r="50" spans="1:16" s="1508" customFormat="1" ht="12" customHeight="1">
      <c r="A50" s="4159"/>
      <c r="B50" s="1248" t="s">
        <v>21</v>
      </c>
      <c r="C50" s="4017"/>
      <c r="D50" s="2051">
        <f>E50+F50+G50+H50+I50+J50+K50+L50</f>
        <v>1131818</v>
      </c>
      <c r="E50" s="1430">
        <f>+E52+E53</f>
        <v>71266</v>
      </c>
      <c r="F50" s="2151">
        <f t="shared" ref="F50:I50" si="41">+F52+F53</f>
        <v>211008</v>
      </c>
      <c r="G50" s="2151">
        <f t="shared" si="41"/>
        <v>396868</v>
      </c>
      <c r="H50" s="2151">
        <f t="shared" si="41"/>
        <v>226338</v>
      </c>
      <c r="I50" s="2151">
        <f t="shared" si="41"/>
        <v>226338</v>
      </c>
      <c r="J50" s="2152">
        <v>0</v>
      </c>
      <c r="K50" s="2151"/>
      <c r="L50" s="2151"/>
      <c r="M50" s="614">
        <f>SUM(F50:K50)</f>
        <v>1060552</v>
      </c>
      <c r="N50" s="614">
        <f>SUM(G50:L50)</f>
        <v>849544</v>
      </c>
      <c r="O50" s="4189"/>
    </row>
    <row r="51" spans="1:16" s="1508" customFormat="1" ht="12" hidden="1" customHeight="1">
      <c r="A51" s="4159"/>
      <c r="B51" s="2153" t="s">
        <v>149</v>
      </c>
      <c r="C51" s="3076"/>
      <c r="D51" s="169"/>
      <c r="E51" s="2149"/>
      <c r="F51" s="2154"/>
      <c r="G51" s="2154"/>
      <c r="H51" s="2154"/>
      <c r="I51" s="2154"/>
      <c r="J51" s="1219"/>
      <c r="K51" s="2154"/>
      <c r="L51" s="2154"/>
      <c r="M51" s="1432"/>
      <c r="N51" s="1432"/>
      <c r="O51" s="4189"/>
    </row>
    <row r="52" spans="1:16" s="1508" customFormat="1" ht="12" hidden="1" customHeight="1">
      <c r="A52" s="4159"/>
      <c r="B52" s="2087" t="s">
        <v>260</v>
      </c>
      <c r="C52" s="3076"/>
      <c r="D52" s="169">
        <f>+F52+G52+H52+I52+E52</f>
        <v>731081</v>
      </c>
      <c r="E52" s="2155">
        <f>61378+3683</f>
        <v>65061</v>
      </c>
      <c r="F52" s="1435">
        <f>157080+9425-11439</f>
        <v>155066</v>
      </c>
      <c r="G52" s="1435">
        <f>157080+9425+11439</f>
        <v>177944</v>
      </c>
      <c r="H52" s="1435">
        <f>157080+9425</f>
        <v>166505</v>
      </c>
      <c r="I52" s="1435">
        <f>157080+9425</f>
        <v>166505</v>
      </c>
      <c r="J52" s="1436">
        <v>0</v>
      </c>
      <c r="K52" s="1435"/>
      <c r="L52" s="1435"/>
      <c r="M52" s="614">
        <f>SUM(F52:K52)</f>
        <v>666020</v>
      </c>
      <c r="N52" s="614">
        <f>SUM(G52:L52)</f>
        <v>510954</v>
      </c>
      <c r="O52" s="4189"/>
    </row>
    <row r="53" spans="1:16" s="1508" customFormat="1" ht="12" hidden="1" customHeight="1">
      <c r="A53" s="4159"/>
      <c r="B53" s="2150" t="s">
        <v>110</v>
      </c>
      <c r="C53" s="3076"/>
      <c r="D53" s="1431">
        <f>+F53+G53+H53+I53+E53</f>
        <v>400737</v>
      </c>
      <c r="E53" s="109">
        <f>4689+1516</f>
        <v>6205</v>
      </c>
      <c r="F53" s="109">
        <f>229528-13108-160478</f>
        <v>55942</v>
      </c>
      <c r="G53" s="109">
        <f>69258-9425+159091</f>
        <v>218924</v>
      </c>
      <c r="H53" s="109">
        <f>69258-9425</f>
        <v>59833</v>
      </c>
      <c r="I53" s="109">
        <f>69258-9425</f>
        <v>59833</v>
      </c>
      <c r="J53" s="447">
        <v>0</v>
      </c>
      <c r="K53" s="109"/>
      <c r="L53" s="109"/>
      <c r="M53" s="614">
        <f>SUM(F53:K53)</f>
        <v>394532</v>
      </c>
      <c r="N53" s="614">
        <f>SUM(G53:L53)</f>
        <v>338590</v>
      </c>
      <c r="O53" s="4189"/>
    </row>
    <row r="54" spans="1:16" s="1508" customFormat="1" ht="12" customHeight="1">
      <c r="A54" s="4159"/>
      <c r="B54" s="581" t="s">
        <v>22</v>
      </c>
      <c r="C54" s="1437"/>
      <c r="D54" s="1438">
        <f>+D55+D57</f>
        <v>1264974</v>
      </c>
      <c r="E54" s="1438">
        <f>+E55+E57</f>
        <v>0</v>
      </c>
      <c r="F54" s="1438">
        <f>+F55+F57</f>
        <v>0</v>
      </c>
      <c r="G54" s="1438">
        <f t="shared" ref="G54:J54" si="42">+G55+G57</f>
        <v>536685</v>
      </c>
      <c r="H54" s="1438">
        <f t="shared" si="42"/>
        <v>348840</v>
      </c>
      <c r="I54" s="1438">
        <f t="shared" si="42"/>
        <v>252966</v>
      </c>
      <c r="J54" s="1438">
        <f t="shared" si="42"/>
        <v>126483</v>
      </c>
      <c r="K54" s="1438"/>
      <c r="L54" s="1438"/>
      <c r="M54" s="4052"/>
      <c r="N54" s="4052"/>
      <c r="O54" s="4189"/>
      <c r="P54" s="313">
        <f>G54-'[1]Tab. 6E - Administracja'!$G$54</f>
        <v>-95730</v>
      </c>
    </row>
    <row r="55" spans="1:16" s="1508" customFormat="1" ht="12" customHeight="1">
      <c r="A55" s="4159"/>
      <c r="B55" s="1439" t="s">
        <v>24</v>
      </c>
      <c r="C55" s="4187" t="s">
        <v>148</v>
      </c>
      <c r="D55" s="1428">
        <f>+D56</f>
        <v>133156</v>
      </c>
      <c r="E55" s="1428">
        <f>+E56</f>
        <v>0</v>
      </c>
      <c r="F55" s="1428">
        <f>+F56</f>
        <v>0</v>
      </c>
      <c r="G55" s="1428">
        <f t="shared" ref="G55:J55" si="43">+G56</f>
        <v>56493</v>
      </c>
      <c r="H55" s="1428">
        <f t="shared" si="43"/>
        <v>36721</v>
      </c>
      <c r="I55" s="1428">
        <f t="shared" si="43"/>
        <v>26628</v>
      </c>
      <c r="J55" s="1428">
        <f t="shared" si="43"/>
        <v>13314</v>
      </c>
      <c r="K55" s="1428"/>
      <c r="L55" s="1428"/>
      <c r="M55" s="4042"/>
      <c r="N55" s="4042"/>
      <c r="O55" s="4189"/>
    </row>
    <row r="56" spans="1:16" s="1508" customFormat="1" ht="12" customHeight="1">
      <c r="A56" s="4159"/>
      <c r="B56" s="172" t="s">
        <v>13</v>
      </c>
      <c r="C56" s="4139"/>
      <c r="D56" s="1406">
        <f>E56+F56+G56+H56+I56+J56+K56+L56</f>
        <v>133156</v>
      </c>
      <c r="E56" s="1430">
        <v>0</v>
      </c>
      <c r="F56" s="1440">
        <v>0</v>
      </c>
      <c r="G56" s="1440">
        <f>58798+7773-10078</f>
        <v>56493</v>
      </c>
      <c r="H56" s="1440">
        <f>26628+10093</f>
        <v>36721</v>
      </c>
      <c r="I56" s="1440">
        <v>26628</v>
      </c>
      <c r="J56" s="1440">
        <v>13314</v>
      </c>
      <c r="K56" s="1440"/>
      <c r="L56" s="1440"/>
      <c r="M56" s="4042"/>
      <c r="N56" s="4042"/>
      <c r="O56" s="4189"/>
    </row>
    <row r="57" spans="1:16" s="1508" customFormat="1" ht="12" customHeight="1">
      <c r="A57" s="4159"/>
      <c r="B57" s="1441" t="s">
        <v>18</v>
      </c>
      <c r="C57" s="4016"/>
      <c r="D57" s="1433">
        <f>+D58</f>
        <v>1131818</v>
      </c>
      <c r="E57" s="1433">
        <f>+E58</f>
        <v>0</v>
      </c>
      <c r="F57" s="1433">
        <f>+F58</f>
        <v>0</v>
      </c>
      <c r="G57" s="1433">
        <f t="shared" ref="G57:J57" si="44">+G58</f>
        <v>480192</v>
      </c>
      <c r="H57" s="1433">
        <f t="shared" si="44"/>
        <v>312119</v>
      </c>
      <c r="I57" s="1433">
        <f t="shared" si="44"/>
        <v>226338</v>
      </c>
      <c r="J57" s="1433">
        <f t="shared" si="44"/>
        <v>113169</v>
      </c>
      <c r="K57" s="1433"/>
      <c r="L57" s="1433"/>
      <c r="M57" s="4042"/>
      <c r="N57" s="4042"/>
      <c r="O57" s="4189"/>
    </row>
    <row r="58" spans="1:16" s="1508" customFormat="1" ht="12" customHeight="1" thickBot="1">
      <c r="A58" s="4160"/>
      <c r="B58" s="344" t="s">
        <v>21</v>
      </c>
      <c r="C58" s="4141"/>
      <c r="D58" s="833">
        <f>E58+F58+G58+H58+I58+J58+K58+L58</f>
        <v>1131818</v>
      </c>
      <c r="E58" s="1442">
        <v>0</v>
      </c>
      <c r="F58" s="576">
        <f>66067-66067</f>
        <v>0</v>
      </c>
      <c r="G58" s="576">
        <f>499777+66067-85652</f>
        <v>480192</v>
      </c>
      <c r="H58" s="576">
        <f>226338+85781</f>
        <v>312119</v>
      </c>
      <c r="I58" s="576">
        <v>226338</v>
      </c>
      <c r="J58" s="576">
        <v>113169</v>
      </c>
      <c r="K58" s="576"/>
      <c r="L58" s="576"/>
      <c r="M58" s="4043"/>
      <c r="N58" s="4043"/>
      <c r="O58" s="4190"/>
    </row>
    <row r="59" spans="1:16" s="1508" customFormat="1" ht="27" customHeight="1">
      <c r="A59" s="4158" t="s">
        <v>65</v>
      </c>
      <c r="B59" s="165" t="s">
        <v>373</v>
      </c>
      <c r="C59" s="166" t="s">
        <v>81</v>
      </c>
      <c r="D59" s="182"/>
      <c r="E59" s="181"/>
      <c r="F59" s="181"/>
      <c r="G59" s="181"/>
      <c r="H59" s="181"/>
      <c r="I59" s="181"/>
      <c r="J59" s="181"/>
      <c r="K59" s="181"/>
      <c r="L59" s="251"/>
      <c r="M59" s="338"/>
      <c r="N59" s="338"/>
      <c r="O59" s="4188" t="s">
        <v>110</v>
      </c>
      <c r="P59" s="1508" t="s">
        <v>370</v>
      </c>
    </row>
    <row r="60" spans="1:16" s="1508" customFormat="1" ht="12" customHeight="1">
      <c r="A60" s="4159"/>
      <c r="B60" s="581" t="s">
        <v>10</v>
      </c>
      <c r="C60" s="1427"/>
      <c r="D60" s="1438">
        <f>+D61+D64</f>
        <v>12448</v>
      </c>
      <c r="E60" s="1438">
        <f t="shared" ref="E60" si="45">+E61+E64</f>
        <v>0</v>
      </c>
      <c r="F60" s="1438">
        <f t="shared" ref="F60:I60" si="46">+F61+F64</f>
        <v>12448</v>
      </c>
      <c r="G60" s="1545">
        <f t="shared" si="46"/>
        <v>0</v>
      </c>
      <c r="H60" s="1545">
        <f t="shared" si="46"/>
        <v>0</v>
      </c>
      <c r="I60" s="1545">
        <f t="shared" si="46"/>
        <v>0</v>
      </c>
      <c r="J60" s="1438"/>
      <c r="K60" s="1438"/>
      <c r="L60" s="1438"/>
      <c r="M60" s="1546">
        <f>M61+M64</f>
        <v>12448</v>
      </c>
      <c r="N60" s="1546">
        <f>N61+N64</f>
        <v>0</v>
      </c>
      <c r="O60" s="4189"/>
      <c r="P60" s="313"/>
    </row>
    <row r="61" spans="1:16" s="1508" customFormat="1" ht="12" customHeight="1">
      <c r="A61" s="4159"/>
      <c r="B61" s="555" t="s">
        <v>24</v>
      </c>
      <c r="C61" s="4131" t="s">
        <v>148</v>
      </c>
      <c r="D61" s="1428">
        <f>+D62+D63</f>
        <v>1867</v>
      </c>
      <c r="E61" s="1428">
        <f>+E62+E63</f>
        <v>0</v>
      </c>
      <c r="F61" s="1428">
        <f>+F62+F63</f>
        <v>1867</v>
      </c>
      <c r="G61" s="2140">
        <f t="shared" ref="G61:H61" si="47">+G63</f>
        <v>0</v>
      </c>
      <c r="H61" s="2140">
        <f t="shared" si="47"/>
        <v>0</v>
      </c>
      <c r="I61" s="2140">
        <f>+I63</f>
        <v>0</v>
      </c>
      <c r="J61" s="1428"/>
      <c r="K61" s="1428"/>
      <c r="L61" s="1428"/>
      <c r="M61" s="1429">
        <f>+M62+M63</f>
        <v>1867</v>
      </c>
      <c r="N61" s="1429">
        <f>+N62+N63</f>
        <v>0</v>
      </c>
      <c r="O61" s="4189"/>
    </row>
    <row r="62" spans="1:16" s="1508" customFormat="1" ht="12" customHeight="1">
      <c r="A62" s="4159"/>
      <c r="B62" s="168" t="s">
        <v>12</v>
      </c>
      <c r="C62" s="4139"/>
      <c r="D62" s="839">
        <f>E62+F62+G62+H62+I62+J62+K62+L62</f>
        <v>622</v>
      </c>
      <c r="E62" s="1430">
        <v>0</v>
      </c>
      <c r="F62" s="2141">
        <f>630-8</f>
        <v>622</v>
      </c>
      <c r="G62" s="2142">
        <v>0</v>
      </c>
      <c r="H62" s="2142">
        <v>0</v>
      </c>
      <c r="I62" s="2142">
        <v>0</v>
      </c>
      <c r="J62" s="410"/>
      <c r="K62" s="410"/>
      <c r="L62" s="410"/>
      <c r="M62" s="1432">
        <f>SUM(F62:K62)</f>
        <v>622</v>
      </c>
      <c r="N62" s="1432">
        <f>SUM(G62:L62)</f>
        <v>0</v>
      </c>
      <c r="O62" s="4189"/>
    </row>
    <row r="63" spans="1:16" s="1508" customFormat="1" ht="12" customHeight="1">
      <c r="A63" s="4159"/>
      <c r="B63" s="168" t="s">
        <v>13</v>
      </c>
      <c r="C63" s="4016"/>
      <c r="D63" s="839">
        <f>E63+F63+G63+H63+I63+J63+K63+L63</f>
        <v>1245</v>
      </c>
      <c r="E63" s="1430">
        <v>0</v>
      </c>
      <c r="F63" s="169">
        <f>1260-15</f>
        <v>1245</v>
      </c>
      <c r="G63" s="2149">
        <v>0</v>
      </c>
      <c r="H63" s="2149">
        <v>0</v>
      </c>
      <c r="I63" s="2149">
        <v>0</v>
      </c>
      <c r="J63" s="169"/>
      <c r="K63" s="169"/>
      <c r="L63" s="169"/>
      <c r="M63" s="1432">
        <f>SUM(F63:K63)</f>
        <v>1245</v>
      </c>
      <c r="N63" s="1432">
        <f>SUM(G63:L63)</f>
        <v>0</v>
      </c>
      <c r="O63" s="4189"/>
      <c r="P63" s="313">
        <f>D63-D68</f>
        <v>0</v>
      </c>
    </row>
    <row r="64" spans="1:16" s="1508" customFormat="1" ht="12" customHeight="1">
      <c r="A64" s="4159"/>
      <c r="B64" s="604" t="s">
        <v>18</v>
      </c>
      <c r="C64" s="4016"/>
      <c r="D64" s="1433">
        <f t="shared" ref="D64:I64" si="48">D65</f>
        <v>10581</v>
      </c>
      <c r="E64" s="1433">
        <f t="shared" si="48"/>
        <v>0</v>
      </c>
      <c r="F64" s="1433">
        <f t="shared" si="48"/>
        <v>10581</v>
      </c>
      <c r="G64" s="1434">
        <f t="shared" si="48"/>
        <v>0</v>
      </c>
      <c r="H64" s="1434">
        <f t="shared" si="48"/>
        <v>0</v>
      </c>
      <c r="I64" s="1434">
        <f t="shared" si="48"/>
        <v>0</v>
      </c>
      <c r="J64" s="1433"/>
      <c r="K64" s="1433"/>
      <c r="L64" s="1433"/>
      <c r="M64" s="2156">
        <f>+M65</f>
        <v>10581</v>
      </c>
      <c r="N64" s="2156">
        <f>+N65</f>
        <v>0</v>
      </c>
      <c r="O64" s="4189"/>
    </row>
    <row r="65" spans="1:16" s="1508" customFormat="1">
      <c r="A65" s="4159"/>
      <c r="B65" s="605" t="s">
        <v>21</v>
      </c>
      <c r="C65" s="4017"/>
      <c r="D65" s="839">
        <f>E65+F65+G65+H65+I65+J65+K65+L65</f>
        <v>10581</v>
      </c>
      <c r="E65" s="1430">
        <v>0</v>
      </c>
      <c r="F65" s="131">
        <f>10710-129</f>
        <v>10581</v>
      </c>
      <c r="G65" s="2157">
        <v>0</v>
      </c>
      <c r="H65" s="2157">
        <v>0</v>
      </c>
      <c r="I65" s="2157">
        <v>0</v>
      </c>
      <c r="J65" s="131"/>
      <c r="K65" s="131"/>
      <c r="L65" s="131"/>
      <c r="M65" s="1432">
        <f>SUM(F65:K65)</f>
        <v>10581</v>
      </c>
      <c r="N65" s="1432">
        <f>SUM(G65:L65)</f>
        <v>0</v>
      </c>
      <c r="O65" s="4189"/>
    </row>
    <row r="66" spans="1:16" s="1508" customFormat="1" ht="12" customHeight="1">
      <c r="A66" s="3706"/>
      <c r="B66" s="581" t="s">
        <v>22</v>
      </c>
      <c r="C66" s="2158"/>
      <c r="D66" s="1438">
        <f>+D67+D69</f>
        <v>11826</v>
      </c>
      <c r="E66" s="1438">
        <f t="shared" ref="E66" si="49">E67+E69</f>
        <v>0</v>
      </c>
      <c r="F66" s="1545">
        <f t="shared" ref="F66:I66" si="50">F67+F69</f>
        <v>0</v>
      </c>
      <c r="G66" s="1438">
        <f t="shared" si="50"/>
        <v>11826</v>
      </c>
      <c r="H66" s="1545">
        <f t="shared" si="50"/>
        <v>0</v>
      </c>
      <c r="I66" s="1545">
        <f t="shared" si="50"/>
        <v>0</v>
      </c>
      <c r="J66" s="1438"/>
      <c r="K66" s="1438"/>
      <c r="L66" s="1438"/>
      <c r="M66" s="4041" t="s">
        <v>61</v>
      </c>
      <c r="N66" s="4041" t="s">
        <v>61</v>
      </c>
      <c r="O66" s="4189"/>
      <c r="P66" s="313">
        <f>G66-'[1]Tab. 6E - Administracja'!$G$66</f>
        <v>-144</v>
      </c>
    </row>
    <row r="67" spans="1:16" s="1508" customFormat="1" ht="12" customHeight="1">
      <c r="A67" s="3706"/>
      <c r="B67" s="1547" t="s">
        <v>24</v>
      </c>
      <c r="C67" s="4131" t="s">
        <v>148</v>
      </c>
      <c r="D67" s="1428">
        <f t="shared" ref="D67:I67" si="51">D68</f>
        <v>1245</v>
      </c>
      <c r="E67" s="1428">
        <f t="shared" si="51"/>
        <v>0</v>
      </c>
      <c r="F67" s="2140">
        <f t="shared" si="51"/>
        <v>0</v>
      </c>
      <c r="G67" s="1428">
        <f t="shared" si="51"/>
        <v>1245</v>
      </c>
      <c r="H67" s="2140">
        <f t="shared" si="51"/>
        <v>0</v>
      </c>
      <c r="I67" s="2140">
        <f t="shared" si="51"/>
        <v>0</v>
      </c>
      <c r="J67" s="1428"/>
      <c r="K67" s="1428"/>
      <c r="L67" s="1428"/>
      <c r="M67" s="4042"/>
      <c r="N67" s="4042"/>
      <c r="O67" s="4189"/>
    </row>
    <row r="68" spans="1:16" s="1508" customFormat="1" ht="10.5" customHeight="1">
      <c r="A68" s="3706"/>
      <c r="B68" s="172" t="s">
        <v>13</v>
      </c>
      <c r="C68" s="4016"/>
      <c r="D68" s="839">
        <f>E68+F68+G68+H68+I68+J68+K68+L68</f>
        <v>1245</v>
      </c>
      <c r="E68" s="1430">
        <v>0</v>
      </c>
      <c r="F68" s="2159">
        <v>0</v>
      </c>
      <c r="G68" s="1440">
        <f>1260-15</f>
        <v>1245</v>
      </c>
      <c r="H68" s="2159">
        <v>0</v>
      </c>
      <c r="I68" s="2159">
        <v>0</v>
      </c>
      <c r="J68" s="1440"/>
      <c r="K68" s="1440"/>
      <c r="L68" s="1440"/>
      <c r="M68" s="4042"/>
      <c r="N68" s="4042"/>
      <c r="O68" s="4189"/>
    </row>
    <row r="69" spans="1:16" s="1508" customFormat="1" ht="12" customHeight="1">
      <c r="A69" s="3706"/>
      <c r="B69" s="2160" t="s">
        <v>18</v>
      </c>
      <c r="C69" s="4016"/>
      <c r="D69" s="1433">
        <f t="shared" ref="D69:I69" si="52">D70</f>
        <v>10581</v>
      </c>
      <c r="E69" s="1433">
        <f t="shared" si="52"/>
        <v>0</v>
      </c>
      <c r="F69" s="1434">
        <f t="shared" si="52"/>
        <v>0</v>
      </c>
      <c r="G69" s="1433">
        <f t="shared" si="52"/>
        <v>10581</v>
      </c>
      <c r="H69" s="1434">
        <f t="shared" si="52"/>
        <v>0</v>
      </c>
      <c r="I69" s="1434">
        <f t="shared" si="52"/>
        <v>0</v>
      </c>
      <c r="J69" s="1433"/>
      <c r="K69" s="1433"/>
      <c r="L69" s="1433"/>
      <c r="M69" s="4042"/>
      <c r="N69" s="4042"/>
      <c r="O69" s="4189"/>
    </row>
    <row r="70" spans="1:16" s="1508" customFormat="1" ht="12" customHeight="1" thickBot="1">
      <c r="A70" s="3707"/>
      <c r="B70" s="344" t="s">
        <v>21</v>
      </c>
      <c r="C70" s="4141"/>
      <c r="D70" s="833">
        <f>E70+F70+G70+H70+I70+J70+K70+L70</f>
        <v>10581</v>
      </c>
      <c r="E70" s="1442">
        <v>0</v>
      </c>
      <c r="F70" s="1544">
        <v>0</v>
      </c>
      <c r="G70" s="576">
        <f>10710-129</f>
        <v>10581</v>
      </c>
      <c r="H70" s="1544">
        <v>0</v>
      </c>
      <c r="I70" s="1544">
        <v>0</v>
      </c>
      <c r="J70" s="576"/>
      <c r="K70" s="576"/>
      <c r="L70" s="576"/>
      <c r="M70" s="4043"/>
      <c r="N70" s="4043"/>
      <c r="O70" s="4190"/>
    </row>
    <row r="71" spans="1:16" s="1508" customFormat="1" ht="36.75" customHeight="1">
      <c r="A71" s="4158" t="s">
        <v>66</v>
      </c>
      <c r="B71" s="165" t="s">
        <v>233</v>
      </c>
      <c r="C71" s="166" t="s">
        <v>109</v>
      </c>
      <c r="D71" s="182"/>
      <c r="E71" s="181"/>
      <c r="F71" s="382"/>
      <c r="G71" s="181"/>
      <c r="H71" s="181"/>
      <c r="I71" s="181"/>
      <c r="J71" s="181"/>
      <c r="K71" s="181"/>
      <c r="L71" s="251"/>
      <c r="M71" s="338"/>
      <c r="N71" s="338"/>
      <c r="O71" s="4176" t="s">
        <v>340</v>
      </c>
    </row>
    <row r="72" spans="1:16" s="1508" customFormat="1" ht="14.25" customHeight="1">
      <c r="A72" s="4159"/>
      <c r="B72" s="581" t="s">
        <v>10</v>
      </c>
      <c r="C72" s="610"/>
      <c r="D72" s="840">
        <f>+D73+D75</f>
        <v>9208690</v>
      </c>
      <c r="E72" s="840">
        <f t="shared" ref="E72" si="53">+E73+E75</f>
        <v>2589029</v>
      </c>
      <c r="F72" s="840">
        <f>+F73+F75</f>
        <v>1519661</v>
      </c>
      <c r="G72" s="840">
        <f>+G73+G75</f>
        <v>2200000</v>
      </c>
      <c r="H72" s="840">
        <f>+H73+H75</f>
        <v>1500000</v>
      </c>
      <c r="I72" s="840">
        <f>+I73+I75</f>
        <v>1400000</v>
      </c>
      <c r="J72" s="840"/>
      <c r="K72" s="840"/>
      <c r="L72" s="840"/>
      <c r="M72" s="841">
        <f>M73+M75</f>
        <v>6619661</v>
      </c>
      <c r="N72" s="841">
        <f>N73+N75</f>
        <v>5100000</v>
      </c>
      <c r="O72" s="4136"/>
    </row>
    <row r="73" spans="1:16" s="1508" customFormat="1">
      <c r="A73" s="4159"/>
      <c r="B73" s="555" t="s">
        <v>24</v>
      </c>
      <c r="C73" s="4131" t="s">
        <v>178</v>
      </c>
      <c r="D73" s="842">
        <f>+D74</f>
        <v>1381303</v>
      </c>
      <c r="E73" s="842">
        <f t="shared" ref="E73:I73" si="54">+E74</f>
        <v>388354</v>
      </c>
      <c r="F73" s="842">
        <f t="shared" si="54"/>
        <v>227949</v>
      </c>
      <c r="G73" s="842">
        <f t="shared" si="54"/>
        <v>330000</v>
      </c>
      <c r="H73" s="842">
        <f t="shared" si="54"/>
        <v>225000</v>
      </c>
      <c r="I73" s="842">
        <f t="shared" si="54"/>
        <v>210000</v>
      </c>
      <c r="J73" s="842"/>
      <c r="K73" s="842"/>
      <c r="L73" s="842"/>
      <c r="M73" s="603">
        <f>+M74</f>
        <v>992949</v>
      </c>
      <c r="N73" s="603">
        <f>+N74</f>
        <v>765000</v>
      </c>
      <c r="O73" s="4136"/>
    </row>
    <row r="74" spans="1:16" s="1508" customFormat="1">
      <c r="A74" s="4159"/>
      <c r="B74" s="168" t="s">
        <v>13</v>
      </c>
      <c r="C74" s="4016"/>
      <c r="D74" s="1458">
        <f>E74+F74+G74+H74+I74+J74+K74+L74</f>
        <v>1381303</v>
      </c>
      <c r="E74" s="1430">
        <v>388354</v>
      </c>
      <c r="F74" s="169">
        <f>330000-21328-80723</f>
        <v>227949</v>
      </c>
      <c r="G74" s="169">
        <v>330000</v>
      </c>
      <c r="H74" s="169">
        <v>225000</v>
      </c>
      <c r="I74" s="169">
        <v>210000</v>
      </c>
      <c r="J74" s="169"/>
      <c r="K74" s="169"/>
      <c r="L74" s="169"/>
      <c r="M74" s="614">
        <f>SUM(F74:K74)</f>
        <v>992949</v>
      </c>
      <c r="N74" s="614">
        <f>SUM(G74:L74)</f>
        <v>765000</v>
      </c>
      <c r="O74" s="4136"/>
    </row>
    <row r="75" spans="1:16" s="1508" customFormat="1" ht="12" customHeight="1">
      <c r="A75" s="4159"/>
      <c r="B75" s="604" t="s">
        <v>18</v>
      </c>
      <c r="C75" s="4016"/>
      <c r="D75" s="843">
        <f>+D76</f>
        <v>7827387</v>
      </c>
      <c r="E75" s="843">
        <f t="shared" ref="E75:I75" si="55">E76</f>
        <v>2200675</v>
      </c>
      <c r="F75" s="843">
        <f t="shared" si="55"/>
        <v>1291712</v>
      </c>
      <c r="G75" s="843">
        <f t="shared" si="55"/>
        <v>1870000</v>
      </c>
      <c r="H75" s="843">
        <f t="shared" si="55"/>
        <v>1275000</v>
      </c>
      <c r="I75" s="843">
        <f t="shared" si="55"/>
        <v>1190000</v>
      </c>
      <c r="J75" s="843"/>
      <c r="K75" s="843"/>
      <c r="L75" s="843"/>
      <c r="M75" s="603">
        <f>+M76</f>
        <v>5626712</v>
      </c>
      <c r="N75" s="603">
        <f>+N76</f>
        <v>4335000</v>
      </c>
      <c r="O75" s="4136"/>
    </row>
    <row r="76" spans="1:16" s="1508" customFormat="1" ht="12" customHeight="1">
      <c r="A76" s="4159"/>
      <c r="B76" s="605" t="s">
        <v>21</v>
      </c>
      <c r="C76" s="4017"/>
      <c r="D76" s="239">
        <f>E76+F76+G76+H76+I76+J76+K76+L76</f>
        <v>7827387</v>
      </c>
      <c r="E76" s="1247">
        <v>2200675</v>
      </c>
      <c r="F76" s="131">
        <f>1870000-120859-457429</f>
        <v>1291712</v>
      </c>
      <c r="G76" s="131">
        <v>1870000</v>
      </c>
      <c r="H76" s="131">
        <v>1275000</v>
      </c>
      <c r="I76" s="131">
        <v>1190000</v>
      </c>
      <c r="J76" s="131"/>
      <c r="K76" s="131"/>
      <c r="L76" s="131"/>
      <c r="M76" s="614">
        <f>SUM(F76:K76)</f>
        <v>5626712</v>
      </c>
      <c r="N76" s="614">
        <f>SUM(G76:L76)</f>
        <v>4335000</v>
      </c>
      <c r="O76" s="4136"/>
    </row>
    <row r="77" spans="1:16" s="1508" customFormat="1" ht="14.25" customHeight="1">
      <c r="A77" s="3706"/>
      <c r="B77" s="581" t="s">
        <v>22</v>
      </c>
      <c r="C77" s="606"/>
      <c r="D77" s="840">
        <f>+D78+D80</f>
        <v>9208690</v>
      </c>
      <c r="E77" s="840">
        <f t="shared" ref="E77" si="56">E78+E80</f>
        <v>2589029</v>
      </c>
      <c r="F77" s="840">
        <f>F78+F80</f>
        <v>1519661</v>
      </c>
      <c r="G77" s="840">
        <f>G78+G80</f>
        <v>2200000</v>
      </c>
      <c r="H77" s="582">
        <f>H78+H80</f>
        <v>1500000</v>
      </c>
      <c r="I77" s="840">
        <f>I78+I80</f>
        <v>1400000</v>
      </c>
      <c r="J77" s="840"/>
      <c r="K77" s="840"/>
      <c r="L77" s="840"/>
      <c r="M77" s="4221" t="s">
        <v>61</v>
      </c>
      <c r="N77" s="4221" t="s">
        <v>61</v>
      </c>
      <c r="O77" s="4136"/>
      <c r="P77" s="313">
        <f>G77-'[1]Tab. 6E - Administracja'!$G$77</f>
        <v>0</v>
      </c>
    </row>
    <row r="78" spans="1:16" s="1508" customFormat="1" ht="13.5" customHeight="1">
      <c r="A78" s="3706"/>
      <c r="B78" s="607" t="s">
        <v>24</v>
      </c>
      <c r="C78" s="4131" t="s">
        <v>178</v>
      </c>
      <c r="D78" s="842">
        <f>+D79</f>
        <v>1381303</v>
      </c>
      <c r="E78" s="842">
        <f t="shared" ref="E78:I78" si="57">E79</f>
        <v>388354</v>
      </c>
      <c r="F78" s="842">
        <f t="shared" si="57"/>
        <v>227949</v>
      </c>
      <c r="G78" s="842">
        <f t="shared" si="57"/>
        <v>330000</v>
      </c>
      <c r="H78" s="608">
        <f t="shared" si="57"/>
        <v>225000</v>
      </c>
      <c r="I78" s="842">
        <f t="shared" si="57"/>
        <v>210000</v>
      </c>
      <c r="J78" s="842"/>
      <c r="K78" s="842"/>
      <c r="L78" s="842"/>
      <c r="M78" s="4042"/>
      <c r="N78" s="4042"/>
      <c r="O78" s="4136"/>
    </row>
    <row r="79" spans="1:16" s="1508" customFormat="1" ht="13.5" customHeight="1">
      <c r="A79" s="3706"/>
      <c r="B79" s="172" t="s">
        <v>13</v>
      </c>
      <c r="C79" s="4016"/>
      <c r="D79" s="239">
        <f>E79+F79+G79+H79+I79+J79+K79+L79</f>
        <v>1381303</v>
      </c>
      <c r="E79" s="1247">
        <v>388354</v>
      </c>
      <c r="F79" s="588">
        <f>330000-21328-80723</f>
        <v>227949</v>
      </c>
      <c r="G79" s="588">
        <v>330000</v>
      </c>
      <c r="H79" s="588">
        <v>225000</v>
      </c>
      <c r="I79" s="588">
        <v>210000</v>
      </c>
      <c r="J79" s="588"/>
      <c r="K79" s="588"/>
      <c r="L79" s="588"/>
      <c r="M79" s="4042"/>
      <c r="N79" s="4042"/>
      <c r="O79" s="4136"/>
    </row>
    <row r="80" spans="1:16" s="1508" customFormat="1">
      <c r="A80" s="3706"/>
      <c r="B80" s="609" t="s">
        <v>18</v>
      </c>
      <c r="C80" s="4016"/>
      <c r="D80" s="843">
        <f>+D81</f>
        <v>7827387</v>
      </c>
      <c r="E80" s="843">
        <f t="shared" ref="E80:I80" si="58">E81</f>
        <v>2200675</v>
      </c>
      <c r="F80" s="843">
        <f t="shared" si="58"/>
        <v>1291712</v>
      </c>
      <c r="G80" s="843">
        <f t="shared" si="58"/>
        <v>1870000</v>
      </c>
      <c r="H80" s="590">
        <f t="shared" si="58"/>
        <v>1275000</v>
      </c>
      <c r="I80" s="843">
        <f t="shared" si="58"/>
        <v>1190000</v>
      </c>
      <c r="J80" s="843"/>
      <c r="K80" s="843"/>
      <c r="L80" s="843"/>
      <c r="M80" s="4042"/>
      <c r="N80" s="4042"/>
      <c r="O80" s="4136"/>
    </row>
    <row r="81" spans="1:18" s="1508" customFormat="1" ht="12" customHeight="1" thickBot="1">
      <c r="A81" s="3707"/>
      <c r="B81" s="344" t="s">
        <v>21</v>
      </c>
      <c r="C81" s="4141"/>
      <c r="D81" s="239">
        <f>E81+F81+G81+H81+I81+J81+K81+L81</f>
        <v>7827387</v>
      </c>
      <c r="E81" s="1247">
        <v>2200675</v>
      </c>
      <c r="F81" s="576">
        <f>1870000-120859-457429</f>
        <v>1291712</v>
      </c>
      <c r="G81" s="576">
        <v>1870000</v>
      </c>
      <c r="H81" s="576">
        <v>1275000</v>
      </c>
      <c r="I81" s="576">
        <v>1190000</v>
      </c>
      <c r="J81" s="576"/>
      <c r="K81" s="576"/>
      <c r="L81" s="576"/>
      <c r="M81" s="4043"/>
      <c r="N81" s="4043"/>
      <c r="O81" s="4137"/>
    </row>
    <row r="82" spans="1:18" s="1508" customFormat="1" ht="43.5" customHeight="1">
      <c r="A82" s="4158" t="s">
        <v>67</v>
      </c>
      <c r="B82" s="165" t="s">
        <v>273</v>
      </c>
      <c r="C82" s="166" t="s">
        <v>81</v>
      </c>
      <c r="D82" s="182"/>
      <c r="E82" s="382"/>
      <c r="F82" s="181"/>
      <c r="G82" s="181"/>
      <c r="H82" s="181"/>
      <c r="I82" s="181"/>
      <c r="J82" s="181"/>
      <c r="K82" s="181"/>
      <c r="L82" s="251"/>
      <c r="M82" s="338"/>
      <c r="N82" s="338"/>
      <c r="O82" s="4176" t="s">
        <v>340</v>
      </c>
    </row>
    <row r="83" spans="1:18" s="1508" customFormat="1" ht="12" customHeight="1">
      <c r="A83" s="4159"/>
      <c r="B83" s="21" t="s">
        <v>10</v>
      </c>
      <c r="C83" s="1297"/>
      <c r="D83" s="397">
        <f>+D84+D86</f>
        <v>41857</v>
      </c>
      <c r="E83" s="397">
        <f t="shared" ref="E83" si="59">+E84+E86</f>
        <v>38038</v>
      </c>
      <c r="F83" s="397">
        <f>+F84+F86</f>
        <v>3819</v>
      </c>
      <c r="G83" s="397">
        <f>+G84+G86</f>
        <v>0</v>
      </c>
      <c r="H83" s="397">
        <f>+H84+H86</f>
        <v>0</v>
      </c>
      <c r="I83" s="397">
        <f>+I84+I86</f>
        <v>0</v>
      </c>
      <c r="J83" s="397"/>
      <c r="K83" s="397"/>
      <c r="L83" s="397"/>
      <c r="M83" s="1249">
        <f>M84+M86</f>
        <v>3819</v>
      </c>
      <c r="N83" s="3011">
        <f>N84+N86</f>
        <v>0</v>
      </c>
      <c r="O83" s="4177"/>
    </row>
    <row r="84" spans="1:18" s="1508" customFormat="1" ht="12" customHeight="1">
      <c r="A84" s="4159"/>
      <c r="B84" s="167" t="s">
        <v>24</v>
      </c>
      <c r="C84" s="4182" t="s">
        <v>178</v>
      </c>
      <c r="D84" s="398">
        <f>+D85</f>
        <v>6279</v>
      </c>
      <c r="E84" s="398">
        <f t="shared" ref="E84:I84" si="60">+E85</f>
        <v>5706</v>
      </c>
      <c r="F84" s="398">
        <f t="shared" si="60"/>
        <v>573</v>
      </c>
      <c r="G84" s="398">
        <f t="shared" si="60"/>
        <v>0</v>
      </c>
      <c r="H84" s="398">
        <f t="shared" si="60"/>
        <v>0</v>
      </c>
      <c r="I84" s="398">
        <f t="shared" si="60"/>
        <v>0</v>
      </c>
      <c r="J84" s="398"/>
      <c r="K84" s="398"/>
      <c r="L84" s="398"/>
      <c r="M84" s="1250">
        <f>+M85</f>
        <v>573</v>
      </c>
      <c r="N84" s="3010">
        <f>+N85</f>
        <v>0</v>
      </c>
      <c r="O84" s="4178"/>
    </row>
    <row r="85" spans="1:18" s="1508" customFormat="1" ht="12" customHeight="1">
      <c r="A85" s="4159"/>
      <c r="B85" s="168" t="s">
        <v>13</v>
      </c>
      <c r="C85" s="4016"/>
      <c r="D85" s="239">
        <f>E85+F85+G85+H85+I85+J85+K85+L85</f>
        <v>6279</v>
      </c>
      <c r="E85" s="1247">
        <v>5706</v>
      </c>
      <c r="F85" s="169">
        <f>960-387</f>
        <v>573</v>
      </c>
      <c r="G85" s="169">
        <v>0</v>
      </c>
      <c r="H85" s="169">
        <v>0</v>
      </c>
      <c r="I85" s="169">
        <v>0</v>
      </c>
      <c r="J85" s="169"/>
      <c r="K85" s="169"/>
      <c r="L85" s="169"/>
      <c r="M85" s="614">
        <f>SUM(F85:K85)</f>
        <v>573</v>
      </c>
      <c r="N85" s="3012">
        <f>SUM(G85:L85)</f>
        <v>0</v>
      </c>
      <c r="O85" s="4178"/>
    </row>
    <row r="86" spans="1:18" s="1508" customFormat="1" ht="12" customHeight="1">
      <c r="A86" s="4159"/>
      <c r="B86" s="81" t="s">
        <v>18</v>
      </c>
      <c r="C86" s="4016"/>
      <c r="D86" s="399">
        <f>D87</f>
        <v>35578</v>
      </c>
      <c r="E86" s="399">
        <f t="shared" ref="E86:I86" si="61">E87</f>
        <v>32332</v>
      </c>
      <c r="F86" s="399">
        <f t="shared" si="61"/>
        <v>3246</v>
      </c>
      <c r="G86" s="399">
        <f t="shared" si="61"/>
        <v>0</v>
      </c>
      <c r="H86" s="399">
        <f t="shared" si="61"/>
        <v>0</v>
      </c>
      <c r="I86" s="399">
        <f t="shared" si="61"/>
        <v>0</v>
      </c>
      <c r="J86" s="399"/>
      <c r="K86" s="399"/>
      <c r="L86" s="399"/>
      <c r="M86" s="1250">
        <f>+M87</f>
        <v>3246</v>
      </c>
      <c r="N86" s="3010">
        <f>+N87</f>
        <v>0</v>
      </c>
      <c r="O86" s="4178"/>
    </row>
    <row r="87" spans="1:18" s="1508" customFormat="1" ht="12" customHeight="1">
      <c r="A87" s="4159"/>
      <c r="B87" s="1298" t="s">
        <v>21</v>
      </c>
      <c r="C87" s="4017"/>
      <c r="D87" s="239">
        <f>E87+F87+G87+H87+I87+J87+K87+L87</f>
        <v>35578</v>
      </c>
      <c r="E87" s="1247">
        <v>32332</v>
      </c>
      <c r="F87" s="131">
        <f>5440-2194</f>
        <v>3246</v>
      </c>
      <c r="G87" s="131">
        <v>0</v>
      </c>
      <c r="H87" s="131">
        <v>0</v>
      </c>
      <c r="I87" s="131">
        <v>0</v>
      </c>
      <c r="J87" s="131"/>
      <c r="K87" s="131"/>
      <c r="L87" s="131"/>
      <c r="M87" s="614">
        <f>SUM(F87:K87)</f>
        <v>3246</v>
      </c>
      <c r="N87" s="3012">
        <f>SUM(G87:L87)</f>
        <v>0</v>
      </c>
      <c r="O87" s="4178"/>
    </row>
    <row r="88" spans="1:18" s="1508" customFormat="1" ht="12" customHeight="1">
      <c r="A88" s="3706"/>
      <c r="B88" s="21" t="s">
        <v>22</v>
      </c>
      <c r="C88" s="1299"/>
      <c r="D88" s="397">
        <f>D89+D91</f>
        <v>41857</v>
      </c>
      <c r="E88" s="397">
        <f t="shared" ref="E88" si="62">E89+E91</f>
        <v>38038</v>
      </c>
      <c r="F88" s="397">
        <f>F89+F91</f>
        <v>3819</v>
      </c>
      <c r="G88" s="397">
        <f>G89+G91</f>
        <v>0</v>
      </c>
      <c r="H88" s="397">
        <f>H89+H91</f>
        <v>0</v>
      </c>
      <c r="I88" s="397">
        <f>I89+I91</f>
        <v>0</v>
      </c>
      <c r="J88" s="397"/>
      <c r="K88" s="397"/>
      <c r="L88" s="397"/>
      <c r="M88" s="4147" t="s">
        <v>61</v>
      </c>
      <c r="N88" s="4222" t="s">
        <v>61</v>
      </c>
      <c r="O88" s="4178"/>
      <c r="P88" s="313">
        <f>G88-'[1]Tab. 6E - Administracja'!$G$88</f>
        <v>0</v>
      </c>
    </row>
    <row r="89" spans="1:18" s="1508" customFormat="1" ht="12" customHeight="1" thickBot="1">
      <c r="A89" s="3706"/>
      <c r="B89" s="1300" t="s">
        <v>24</v>
      </c>
      <c r="C89" s="4182" t="s">
        <v>178</v>
      </c>
      <c r="D89" s="398">
        <f>D90</f>
        <v>6279</v>
      </c>
      <c r="E89" s="398">
        <f t="shared" ref="E89:I89" si="63">E90</f>
        <v>5706</v>
      </c>
      <c r="F89" s="398">
        <f t="shared" si="63"/>
        <v>573</v>
      </c>
      <c r="G89" s="398">
        <f t="shared" si="63"/>
        <v>0</v>
      </c>
      <c r="H89" s="398">
        <f t="shared" si="63"/>
        <v>0</v>
      </c>
      <c r="I89" s="398">
        <f t="shared" si="63"/>
        <v>0</v>
      </c>
      <c r="J89" s="398"/>
      <c r="K89" s="398"/>
      <c r="L89" s="398"/>
      <c r="M89" s="4042"/>
      <c r="N89" s="4044"/>
      <c r="O89" s="4179"/>
    </row>
    <row r="90" spans="1:18" s="1508" customFormat="1" ht="12" customHeight="1" thickBot="1">
      <c r="A90" s="3706"/>
      <c r="B90" s="172" t="s">
        <v>13</v>
      </c>
      <c r="C90" s="4016"/>
      <c r="D90" s="239">
        <f>E90+F90+G90+H90+I90+J90+K90+L90</f>
        <v>6279</v>
      </c>
      <c r="E90" s="1247">
        <v>5706</v>
      </c>
      <c r="F90" s="392">
        <f>960-387</f>
        <v>573</v>
      </c>
      <c r="G90" s="392">
        <v>0</v>
      </c>
      <c r="H90" s="223">
        <v>0</v>
      </c>
      <c r="I90" s="223">
        <v>0</v>
      </c>
      <c r="J90" s="223"/>
      <c r="K90" s="223"/>
      <c r="L90" s="223"/>
      <c r="M90" s="4042"/>
      <c r="N90" s="4044"/>
      <c r="O90" s="4180"/>
    </row>
    <row r="91" spans="1:18" s="1508" customFormat="1" ht="12" customHeight="1" thickBot="1">
      <c r="A91" s="3706"/>
      <c r="B91" s="1301" t="s">
        <v>18</v>
      </c>
      <c r="C91" s="4016"/>
      <c r="D91" s="399">
        <f>D92</f>
        <v>35578</v>
      </c>
      <c r="E91" s="399">
        <f t="shared" ref="E91:I91" si="64">E92</f>
        <v>32332</v>
      </c>
      <c r="F91" s="399">
        <f t="shared" si="64"/>
        <v>3246</v>
      </c>
      <c r="G91" s="399">
        <f t="shared" si="64"/>
        <v>0</v>
      </c>
      <c r="H91" s="399">
        <f t="shared" si="64"/>
        <v>0</v>
      </c>
      <c r="I91" s="399">
        <f t="shared" si="64"/>
        <v>0</v>
      </c>
      <c r="J91" s="399"/>
      <c r="K91" s="399"/>
      <c r="L91" s="399"/>
      <c r="M91" s="4042"/>
      <c r="N91" s="4044"/>
      <c r="O91" s="4180"/>
    </row>
    <row r="92" spans="1:18" s="1508" customFormat="1" ht="12" customHeight="1" thickBot="1">
      <c r="A92" s="3706"/>
      <c r="B92" s="344" t="s">
        <v>21</v>
      </c>
      <c r="C92" s="4141"/>
      <c r="D92" s="239">
        <f>E92+F92+G92+H92+I92+J92+K92+L92</f>
        <v>35578</v>
      </c>
      <c r="E92" s="1247">
        <v>32332</v>
      </c>
      <c r="F92" s="173">
        <f>5440-2194</f>
        <v>3246</v>
      </c>
      <c r="G92" s="173">
        <v>0</v>
      </c>
      <c r="H92" s="110">
        <v>0</v>
      </c>
      <c r="I92" s="110">
        <v>0</v>
      </c>
      <c r="J92" s="110"/>
      <c r="K92" s="110"/>
      <c r="L92" s="110"/>
      <c r="M92" s="4043"/>
      <c r="N92" s="4045"/>
      <c r="O92" s="4181"/>
    </row>
    <row r="93" spans="1:18" s="332" customFormat="1" ht="17.25" customHeight="1" thickBot="1">
      <c r="A93" s="4160" t="s">
        <v>115</v>
      </c>
      <c r="B93" s="165" t="s">
        <v>225</v>
      </c>
      <c r="C93" s="166" t="s">
        <v>109</v>
      </c>
      <c r="D93" s="182"/>
      <c r="E93" s="382"/>
      <c r="F93" s="382"/>
      <c r="G93" s="382"/>
      <c r="H93" s="382"/>
      <c r="I93" s="382"/>
      <c r="J93" s="382"/>
      <c r="K93" s="382"/>
      <c r="L93" s="2692"/>
      <c r="M93" s="382"/>
      <c r="N93" s="382"/>
      <c r="O93" s="4210" t="s">
        <v>329</v>
      </c>
      <c r="P93" s="1221" t="s">
        <v>332</v>
      </c>
      <c r="Q93" s="1221" t="s">
        <v>333</v>
      </c>
      <c r="R93" s="337"/>
    </row>
    <row r="94" spans="1:18" s="332" customFormat="1" ht="15.75" customHeight="1" thickBot="1">
      <c r="A94" s="4120"/>
      <c r="B94" s="581" t="s">
        <v>10</v>
      </c>
      <c r="C94" s="1443"/>
      <c r="D94" s="1444">
        <f>+D105+D95</f>
        <v>219058353</v>
      </c>
      <c r="E94" s="1444">
        <f t="shared" ref="E94" si="65">+E105+E95</f>
        <v>24245221</v>
      </c>
      <c r="F94" s="1444">
        <f t="shared" ref="F94:I94" si="66">+F105+F95</f>
        <v>25970608</v>
      </c>
      <c r="G94" s="1444">
        <f t="shared" si="66"/>
        <v>31483917</v>
      </c>
      <c r="H94" s="1444">
        <f t="shared" si="66"/>
        <v>31436000</v>
      </c>
      <c r="I94" s="1444">
        <f t="shared" si="66"/>
        <v>28330205</v>
      </c>
      <c r="J94" s="1444">
        <f>+J105+J95</f>
        <v>26657062</v>
      </c>
      <c r="K94" s="1444">
        <f>+K105+K95</f>
        <v>25562887</v>
      </c>
      <c r="L94" s="1444">
        <f>+L105+L95</f>
        <v>25372453</v>
      </c>
      <c r="M94" s="1445">
        <f>+M105+M95</f>
        <v>194053568</v>
      </c>
      <c r="N94" s="1445">
        <f>+N105+N95</f>
        <v>168385912</v>
      </c>
      <c r="O94" s="4211"/>
      <c r="P94" s="1224">
        <f>+P95+P105</f>
        <v>24456849</v>
      </c>
      <c r="Q94" s="1223"/>
    </row>
    <row r="95" spans="1:18" s="320" customFormat="1" ht="15.75" customHeight="1" thickBot="1">
      <c r="A95" s="4120"/>
      <c r="B95" s="555" t="s">
        <v>24</v>
      </c>
      <c r="C95" s="4200" t="s">
        <v>327</v>
      </c>
      <c r="D95" s="1446">
        <f>D96+D102</f>
        <v>35857630</v>
      </c>
      <c r="E95" s="1446">
        <f t="shared" ref="E95" si="67">E96+E102</f>
        <v>4438802</v>
      </c>
      <c r="F95" s="1446">
        <f t="shared" ref="F95:I95" si="68">F96+F102</f>
        <v>5127532</v>
      </c>
      <c r="G95" s="1446">
        <f t="shared" si="68"/>
        <v>5252020</v>
      </c>
      <c r="H95" s="1446">
        <f t="shared" si="68"/>
        <v>5236646</v>
      </c>
      <c r="I95" s="1446">
        <f t="shared" si="68"/>
        <v>5148744</v>
      </c>
      <c r="J95" s="1446">
        <f>J96+J102</f>
        <v>4487384</v>
      </c>
      <c r="K95" s="1446">
        <f>K96+K102</f>
        <v>3052528</v>
      </c>
      <c r="L95" s="1446">
        <f>L96+L102</f>
        <v>3113974</v>
      </c>
      <c r="M95" s="1447">
        <f>M96+M102</f>
        <v>30659264</v>
      </c>
      <c r="N95" s="1447">
        <f>N96+N102</f>
        <v>25834684</v>
      </c>
      <c r="O95" s="4211"/>
      <c r="P95" s="1226">
        <f>+P96+P102</f>
        <v>2983757</v>
      </c>
      <c r="Q95" s="1225"/>
    </row>
    <row r="96" spans="1:18" s="332" customFormat="1" ht="12.75" customHeight="1" thickBot="1">
      <c r="A96" s="4120"/>
      <c r="B96" s="3112" t="s">
        <v>12</v>
      </c>
      <c r="C96" s="4016"/>
      <c r="D96" s="3107">
        <f t="shared" ref="D96:D104" si="69">E96+F96+G96+H96+I96+J96+K96+L96</f>
        <v>34742063</v>
      </c>
      <c r="E96" s="2276">
        <f t="shared" ref="E96:L96" si="70">+E98+E99+E100+E101</f>
        <v>4082799</v>
      </c>
      <c r="F96" s="1448">
        <f t="shared" si="70"/>
        <v>4824580</v>
      </c>
      <c r="G96" s="1448">
        <f t="shared" si="70"/>
        <v>5159196</v>
      </c>
      <c r="H96" s="1448">
        <f t="shared" si="70"/>
        <v>5142378</v>
      </c>
      <c r="I96" s="1448">
        <f t="shared" si="70"/>
        <v>5071279</v>
      </c>
      <c r="J96" s="1448">
        <f t="shared" si="70"/>
        <v>4423365</v>
      </c>
      <c r="K96" s="1448">
        <f t="shared" si="70"/>
        <v>2988510</v>
      </c>
      <c r="L96" s="1448">
        <f t="shared" si="70"/>
        <v>3049956</v>
      </c>
      <c r="M96" s="614">
        <f>SUM(F96:L96)</f>
        <v>30659264</v>
      </c>
      <c r="N96" s="1432">
        <f>SUM(G96:L96)</f>
        <v>25834684</v>
      </c>
      <c r="O96" s="4212"/>
      <c r="P96" s="1220">
        <v>2627754</v>
      </c>
      <c r="Q96" s="1222"/>
    </row>
    <row r="97" spans="1:20" s="332" customFormat="1" ht="12.75" hidden="1" customHeight="1">
      <c r="A97" s="4120"/>
      <c r="B97" s="3113" t="s">
        <v>149</v>
      </c>
      <c r="C97" s="4016"/>
      <c r="D97" s="3107">
        <f t="shared" si="69"/>
        <v>0</v>
      </c>
      <c r="E97" s="3122"/>
      <c r="F97" s="1449"/>
      <c r="G97" s="1449"/>
      <c r="H97" s="1449"/>
      <c r="I97" s="1449"/>
      <c r="J97" s="1449"/>
      <c r="K97" s="1449"/>
      <c r="L97" s="1449"/>
      <c r="M97" s="1450"/>
      <c r="N97" s="1450"/>
      <c r="O97" s="4213"/>
      <c r="P97" s="1220"/>
      <c r="Q97" s="1222"/>
    </row>
    <row r="98" spans="1:20" s="332" customFormat="1" ht="12.75" hidden="1" customHeight="1">
      <c r="A98" s="4158"/>
      <c r="B98" s="3114" t="s">
        <v>150</v>
      </c>
      <c r="C98" s="4016"/>
      <c r="D98" s="3107">
        <f t="shared" si="69"/>
        <v>9277238</v>
      </c>
      <c r="E98" s="3123">
        <v>2627754</v>
      </c>
      <c r="F98" s="1451">
        <f>9433+186725+10304+744248+897699+783429+5728+241266+25883+352396+742812-2</f>
        <v>3999921</v>
      </c>
      <c r="G98" s="1451">
        <v>2649563</v>
      </c>
      <c r="H98" s="1451"/>
      <c r="I98" s="1451">
        <f>152659-152659</f>
        <v>0</v>
      </c>
      <c r="J98" s="1451"/>
      <c r="K98" s="1451"/>
      <c r="L98" s="1451"/>
      <c r="M98" s="2851">
        <f t="shared" ref="M98:N101" si="71">+F98+G98+H98+I98+J98+K98</f>
        <v>6649484</v>
      </c>
      <c r="N98" s="3117">
        <f t="shared" si="71"/>
        <v>2649563</v>
      </c>
      <c r="O98" s="4214"/>
      <c r="P98" s="1220"/>
      <c r="Q98" s="1222"/>
    </row>
    <row r="99" spans="1:20" s="332" customFormat="1" ht="12.75" hidden="1" customHeight="1">
      <c r="A99" s="4160"/>
      <c r="B99" s="2947" t="s">
        <v>151</v>
      </c>
      <c r="C99" s="4016"/>
      <c r="D99" s="3107">
        <f t="shared" si="69"/>
        <v>0</v>
      </c>
      <c r="E99" s="3124"/>
      <c r="F99" s="1452"/>
      <c r="G99" s="1452"/>
      <c r="H99" s="1452"/>
      <c r="I99" s="1452"/>
      <c r="J99" s="1452"/>
      <c r="K99" s="1452"/>
      <c r="L99" s="1452"/>
      <c r="M99" s="1184">
        <f t="shared" si="71"/>
        <v>0</v>
      </c>
      <c r="N99" s="3118">
        <f t="shared" si="71"/>
        <v>0</v>
      </c>
      <c r="O99" s="4215"/>
      <c r="P99" s="1220"/>
      <c r="Q99" s="1222"/>
    </row>
    <row r="100" spans="1:20" s="332" customFormat="1" ht="12.75" hidden="1" customHeight="1">
      <c r="A100" s="4120"/>
      <c r="B100" s="2958" t="s">
        <v>152</v>
      </c>
      <c r="C100" s="4141"/>
      <c r="D100" s="1458">
        <f t="shared" si="69"/>
        <v>25464825</v>
      </c>
      <c r="E100" s="1458">
        <f>12575+1455753-13283</f>
        <v>1455045</v>
      </c>
      <c r="F100" s="3376">
        <f>868747+1301922+95728+2022114+18844+588448-9433-186725-10304-744248-897699-783429-5728-241266-25883-352396-742812+77979-149200</f>
        <v>824659</v>
      </c>
      <c r="G100" s="2968">
        <f>2845477-121293-214551</f>
        <v>2509633</v>
      </c>
      <c r="H100" s="2968">
        <f>903845+1354520+99595+2103807+347372+333239</f>
        <v>5142378</v>
      </c>
      <c r="I100" s="2968">
        <f>921922+1381610+101587+2145884+357793+162483</f>
        <v>5071279</v>
      </c>
      <c r="J100" s="2968">
        <f>4642023+192558-411216</f>
        <v>4423365</v>
      </c>
      <c r="K100" s="2968">
        <f>2551196+450141-14983+2156</f>
        <v>2988510</v>
      </c>
      <c r="L100" s="2968">
        <f>2645893+416877-14984+2157+13</f>
        <v>3049956</v>
      </c>
      <c r="M100" s="1184">
        <f t="shared" si="71"/>
        <v>20959824</v>
      </c>
      <c r="N100" s="3118">
        <f t="shared" si="71"/>
        <v>23185121</v>
      </c>
      <c r="O100" s="4212"/>
      <c r="P100" s="1220"/>
      <c r="Q100" s="1222"/>
    </row>
    <row r="101" spans="1:20" s="332" customFormat="1" ht="12.75" hidden="1" customHeight="1">
      <c r="A101" s="4120"/>
      <c r="B101" s="3115" t="s">
        <v>153</v>
      </c>
      <c r="C101" s="4201"/>
      <c r="D101" s="3108">
        <f t="shared" si="69"/>
        <v>0</v>
      </c>
      <c r="E101" s="3125"/>
      <c r="F101" s="2963"/>
      <c r="G101" s="2963"/>
      <c r="H101" s="2963"/>
      <c r="I101" s="2963"/>
      <c r="J101" s="2963"/>
      <c r="K101" s="2963"/>
      <c r="L101" s="2963"/>
      <c r="M101" s="2948">
        <f t="shared" si="71"/>
        <v>0</v>
      </c>
      <c r="N101" s="3118">
        <f t="shared" si="71"/>
        <v>0</v>
      </c>
      <c r="O101" s="4216"/>
      <c r="P101" s="1222"/>
      <c r="Q101" s="1222"/>
    </row>
    <row r="102" spans="1:20" s="332" customFormat="1">
      <c r="A102" s="4159"/>
      <c r="B102" s="3116" t="s">
        <v>32</v>
      </c>
      <c r="C102" s="4016"/>
      <c r="D102" s="3120">
        <f t="shared" si="69"/>
        <v>1115567</v>
      </c>
      <c r="E102" s="2276">
        <f t="shared" ref="E102:L102" si="72">SUM(E103:E104)</f>
        <v>356003</v>
      </c>
      <c r="F102" s="2141">
        <f t="shared" si="72"/>
        <v>302952</v>
      </c>
      <c r="G102" s="2141">
        <f t="shared" si="72"/>
        <v>92824</v>
      </c>
      <c r="H102" s="2141">
        <f t="shared" si="72"/>
        <v>94268</v>
      </c>
      <c r="I102" s="2141">
        <f t="shared" si="72"/>
        <v>77465</v>
      </c>
      <c r="J102" s="2141">
        <f t="shared" si="72"/>
        <v>64019</v>
      </c>
      <c r="K102" s="2141">
        <f t="shared" si="72"/>
        <v>64018</v>
      </c>
      <c r="L102" s="2141">
        <f t="shared" si="72"/>
        <v>64018</v>
      </c>
      <c r="M102" s="2891">
        <f>M103+M104</f>
        <v>0</v>
      </c>
      <c r="N102" s="3119">
        <f>N103+N104</f>
        <v>0</v>
      </c>
      <c r="O102" s="4217"/>
      <c r="P102" s="1222">
        <v>356003</v>
      </c>
      <c r="Q102" s="1222"/>
    </row>
    <row r="103" spans="1:20" s="332" customFormat="1" ht="12.75" hidden="1" customHeight="1">
      <c r="A103" s="4199"/>
      <c r="B103" s="2917" t="s">
        <v>212</v>
      </c>
      <c r="C103" s="3955"/>
      <c r="D103" s="2910">
        <f t="shared" si="69"/>
        <v>576913</v>
      </c>
      <c r="E103" s="3121">
        <v>51728</v>
      </c>
      <c r="F103" s="2918">
        <f>70632+15201+19134+6435-3544-34119-5166</f>
        <v>68573</v>
      </c>
      <c r="G103" s="2918">
        <f>70167+14504+8153</f>
        <v>92824</v>
      </c>
      <c r="H103" s="2918">
        <f>64019+3544+20673+6032</f>
        <v>94268</v>
      </c>
      <c r="I103" s="2918">
        <f>64019+13446</f>
        <v>77465</v>
      </c>
      <c r="J103" s="2918">
        <v>64019</v>
      </c>
      <c r="K103" s="2918">
        <v>64018</v>
      </c>
      <c r="L103" s="2918">
        <v>64018</v>
      </c>
      <c r="M103" s="2919">
        <v>0</v>
      </c>
      <c r="N103" s="3111">
        <v>0</v>
      </c>
      <c r="O103" s="4218"/>
      <c r="P103" s="1222"/>
      <c r="Q103" s="1222"/>
    </row>
    <row r="104" spans="1:20" s="332" customFormat="1" ht="12.75" hidden="1" customHeight="1">
      <c r="A104" s="4199"/>
      <c r="B104" s="2917" t="s">
        <v>213</v>
      </c>
      <c r="C104" s="3955"/>
      <c r="D104" s="2910">
        <f t="shared" si="69"/>
        <v>538654</v>
      </c>
      <c r="E104" s="3121">
        <v>304275</v>
      </c>
      <c r="F104" s="2918">
        <f>390656-525+1+195845-377239+29967-4313-13</f>
        <v>234379</v>
      </c>
      <c r="G104" s="2918">
        <f>441506+300-2-441804</f>
        <v>0</v>
      </c>
      <c r="H104" s="2918">
        <f>406479-406479</f>
        <v>0</v>
      </c>
      <c r="I104" s="2918">
        <f>406478-406478</f>
        <v>0</v>
      </c>
      <c r="J104" s="2918">
        <f>406478-406478</f>
        <v>0</v>
      </c>
      <c r="K104" s="2918">
        <f>406479-406479</f>
        <v>0</v>
      </c>
      <c r="L104" s="2918">
        <f>406479-406479</f>
        <v>0</v>
      </c>
      <c r="M104" s="2919">
        <v>0</v>
      </c>
      <c r="N104" s="3111">
        <v>0</v>
      </c>
      <c r="O104" s="4218"/>
      <c r="P104" s="1222"/>
      <c r="Q104" s="1222"/>
    </row>
    <row r="105" spans="1:20" s="332" customFormat="1" ht="12.75" customHeight="1">
      <c r="A105" s="4199"/>
      <c r="B105" s="3158" t="s">
        <v>18</v>
      </c>
      <c r="C105" s="3955"/>
      <c r="D105" s="3109">
        <f>+D106</f>
        <v>183200723</v>
      </c>
      <c r="E105" s="497">
        <f>+E106</f>
        <v>19806419</v>
      </c>
      <c r="F105" s="497">
        <f>+F106</f>
        <v>20843076</v>
      </c>
      <c r="G105" s="497">
        <f t="shared" ref="G105:N105" si="73">+G106</f>
        <v>26231897</v>
      </c>
      <c r="H105" s="497">
        <f t="shared" si="73"/>
        <v>26199354</v>
      </c>
      <c r="I105" s="497">
        <f t="shared" si="73"/>
        <v>23181461</v>
      </c>
      <c r="J105" s="497">
        <f t="shared" si="73"/>
        <v>22169678</v>
      </c>
      <c r="K105" s="497">
        <f t="shared" si="73"/>
        <v>22510359</v>
      </c>
      <c r="L105" s="3109">
        <f t="shared" si="73"/>
        <v>22258479</v>
      </c>
      <c r="M105" s="2988">
        <f t="shared" si="73"/>
        <v>163394304</v>
      </c>
      <c r="N105" s="3110">
        <f t="shared" si="73"/>
        <v>142551228</v>
      </c>
      <c r="O105" s="4218"/>
      <c r="P105" s="1225">
        <f>+P106</f>
        <v>21473092</v>
      </c>
      <c r="Q105" s="1225"/>
    </row>
    <row r="106" spans="1:20" s="1508" customFormat="1" ht="13.5" thickBot="1">
      <c r="A106" s="4160"/>
      <c r="B106" s="2153" t="s">
        <v>21</v>
      </c>
      <c r="C106" s="4017"/>
      <c r="D106" s="2975">
        <f>E106+F106+G106+H106+I106+J106+K106+L106</f>
        <v>183200723</v>
      </c>
      <c r="E106" s="2141">
        <f>+E108+E109+E110+E111+E112+E113+E114</f>
        <v>19806419</v>
      </c>
      <c r="F106" s="2141">
        <f t="shared" ref="F106:L106" si="74">+F108+F109+F110+F111+F112+F113+F114</f>
        <v>20843076</v>
      </c>
      <c r="G106" s="2141">
        <f t="shared" si="74"/>
        <v>26231897</v>
      </c>
      <c r="H106" s="2141">
        <f t="shared" si="74"/>
        <v>26199354</v>
      </c>
      <c r="I106" s="2141">
        <f t="shared" si="74"/>
        <v>23181461</v>
      </c>
      <c r="J106" s="2141">
        <f t="shared" si="74"/>
        <v>22169678</v>
      </c>
      <c r="K106" s="2141">
        <f t="shared" si="74"/>
        <v>22510359</v>
      </c>
      <c r="L106" s="2141">
        <f t="shared" si="74"/>
        <v>22258479</v>
      </c>
      <c r="M106" s="1722">
        <f>SUM(F106:L106)</f>
        <v>163394304</v>
      </c>
      <c r="N106" s="1722">
        <f>SUM(G106:L106)</f>
        <v>142551228</v>
      </c>
      <c r="O106" s="4216"/>
      <c r="P106" s="1222">
        <v>21473092</v>
      </c>
      <c r="Q106" s="1222">
        <f>G115-'[1]Tab. 6E - Administracja'!$G$115</f>
        <v>-230078</v>
      </c>
      <c r="T106" s="349"/>
    </row>
    <row r="107" spans="1:20" s="1508" customFormat="1" ht="15.75" hidden="1" customHeight="1">
      <c r="A107" s="4120"/>
      <c r="B107" s="1248" t="s">
        <v>149</v>
      </c>
      <c r="C107" s="2717"/>
      <c r="D107" s="2718"/>
      <c r="E107" s="2719"/>
      <c r="F107" s="2719"/>
      <c r="G107" s="2719"/>
      <c r="H107" s="2719"/>
      <c r="I107" s="2719"/>
      <c r="J107" s="2719"/>
      <c r="K107" s="2719"/>
      <c r="L107" s="2719"/>
      <c r="M107" s="1459"/>
      <c r="N107" s="1459"/>
      <c r="O107" s="4219"/>
      <c r="P107" s="1222"/>
      <c r="Q107" s="1224"/>
      <c r="T107" s="176"/>
    </row>
    <row r="108" spans="1:20" s="1508" customFormat="1" ht="12.75" hidden="1" customHeight="1">
      <c r="A108" s="4120"/>
      <c r="B108" s="407" t="s">
        <v>150</v>
      </c>
      <c r="C108" s="354"/>
      <c r="D108" s="839">
        <f t="shared" ref="D108:D114" si="75">E108+F108+G108+H108+I108+J108+K108+L108</f>
        <v>43867365</v>
      </c>
      <c r="E108" s="1183">
        <f>6418+10696707-5063</f>
        <v>10698062</v>
      </c>
      <c r="F108" s="1174">
        <f>2407721+10000000-9866168-241553+53444+1058102+58380+2400014-50000+1938307+1976201-349079+32463+337289+146679+936304+2150284-222394</f>
        <v>12765994</v>
      </c>
      <c r="G108" s="1174">
        <f>11149912-250000</f>
        <v>10899912</v>
      </c>
      <c r="H108" s="1174">
        <f>1820395+620000-140395+15000+227456</f>
        <v>2542456</v>
      </c>
      <c r="I108" s="1174">
        <f>1820395+865067-985462+326000</f>
        <v>2026000</v>
      </c>
      <c r="J108" s="1174">
        <f>1820395-120395</f>
        <v>1700000</v>
      </c>
      <c r="K108" s="1174">
        <f>1820395-120395</f>
        <v>1700000</v>
      </c>
      <c r="L108" s="1174">
        <f>1820391-285524+74</f>
        <v>1534941</v>
      </c>
      <c r="M108" s="1184">
        <f t="shared" ref="M108:N114" si="76">+F108+G108+H108+I108+J108+K108</f>
        <v>31634362</v>
      </c>
      <c r="N108" s="1184">
        <f t="shared" si="76"/>
        <v>20403309</v>
      </c>
      <c r="O108" s="4219"/>
      <c r="P108" s="1222"/>
      <c r="Q108" s="1226"/>
      <c r="T108" s="176"/>
    </row>
    <row r="109" spans="1:20" s="1508" customFormat="1" ht="12.75" hidden="1" customHeight="1">
      <c r="A109" s="4120"/>
      <c r="B109" s="1281" t="s">
        <v>151</v>
      </c>
      <c r="C109" s="1460"/>
      <c r="D109" s="839">
        <f t="shared" si="75"/>
        <v>17817945</v>
      </c>
      <c r="E109" s="1452">
        <f>5406+2022679</f>
        <v>2028085</v>
      </c>
      <c r="F109" s="1452">
        <f>2618000+177406-295406+300000-133900-241869</f>
        <v>2424231</v>
      </c>
      <c r="G109" s="1452">
        <f>2618000-118000+599987+19922</f>
        <v>3119909</v>
      </c>
      <c r="H109" s="1452">
        <f>1813339+841315-154654+596852</f>
        <v>3096852</v>
      </c>
      <c r="I109" s="1452">
        <f>1813339-113339+446000+17000</f>
        <v>2163000</v>
      </c>
      <c r="J109" s="1452">
        <f>1813339-113339+17000</f>
        <v>1717000</v>
      </c>
      <c r="K109" s="1452">
        <f>1813339-113339+17000</f>
        <v>1717000</v>
      </c>
      <c r="L109" s="1452">
        <f>1813335-278467+17000</f>
        <v>1551868</v>
      </c>
      <c r="M109" s="1184">
        <f t="shared" si="76"/>
        <v>14237992</v>
      </c>
      <c r="N109" s="1184">
        <f t="shared" si="76"/>
        <v>13365629</v>
      </c>
      <c r="O109" s="4219"/>
      <c r="P109" s="1222"/>
      <c r="Q109" s="1220"/>
      <c r="T109" s="176"/>
    </row>
    <row r="110" spans="1:20" s="350" customFormat="1" ht="12.75" hidden="1" customHeight="1">
      <c r="A110" s="4120"/>
      <c r="B110" s="1284" t="s">
        <v>152</v>
      </c>
      <c r="C110" s="1461"/>
      <c r="D110" s="839">
        <f t="shared" si="75"/>
        <v>97301231</v>
      </c>
      <c r="E110" s="1462">
        <f>71254+3533980-75275</f>
        <v>3529959</v>
      </c>
      <c r="F110" s="1185">
        <f>4922901+7377557+542459+106789+2990770-53444-1058102-58380-2500014-1938307-1976201-32463-337289-146679-936304-2150284-2006238-416721</f>
        <v>2330050</v>
      </c>
      <c r="G110" s="1185">
        <f>10062170-687329-417765</f>
        <v>8957076</v>
      </c>
      <c r="H110" s="1185">
        <f>5121786+7675610+564375+1968441+2006240</f>
        <v>17336452</v>
      </c>
      <c r="I110" s="1185">
        <f>5224221+7829122+575662+2027494+491996</f>
        <v>16148495</v>
      </c>
      <c r="J110" s="1185">
        <f>13901587+2088319</f>
        <v>15989906</v>
      </c>
      <c r="K110" s="1185">
        <f>14179618+2150968</f>
        <v>16330586</v>
      </c>
      <c r="L110" s="1185">
        <f>14463209+2215498</f>
        <v>16678707</v>
      </c>
      <c r="M110" s="1184">
        <f t="shared" si="76"/>
        <v>77092565</v>
      </c>
      <c r="N110" s="1184">
        <f t="shared" si="76"/>
        <v>91441222</v>
      </c>
      <c r="O110" s="4219"/>
      <c r="P110" s="1222"/>
      <c r="Q110" s="1220"/>
      <c r="T110" s="351"/>
    </row>
    <row r="111" spans="1:20" s="350" customFormat="1" ht="12.75" hidden="1" customHeight="1">
      <c r="A111" s="4120"/>
      <c r="B111" s="1553" t="s">
        <v>153</v>
      </c>
      <c r="C111" s="1463"/>
      <c r="D111" s="839">
        <f t="shared" si="75"/>
        <v>14708647</v>
      </c>
      <c r="E111" s="1454">
        <v>1532968</v>
      </c>
      <c r="F111" s="1454">
        <f>2190000-99000-10000-304021-331490</f>
        <v>1445489</v>
      </c>
      <c r="G111" s="1454">
        <f>2190000-190000</f>
        <v>2000000</v>
      </c>
      <c r="H111" s="1454">
        <f>2048339-48339</f>
        <v>2000000</v>
      </c>
      <c r="I111" s="1454">
        <f>2048339-48339</f>
        <v>2000000</v>
      </c>
      <c r="J111" s="1454">
        <f>2048339-48339</f>
        <v>2000000</v>
      </c>
      <c r="K111" s="1454">
        <f>2048339-48339</f>
        <v>2000000</v>
      </c>
      <c r="L111" s="1454">
        <f>2048336-148336-169810</f>
        <v>1730190</v>
      </c>
      <c r="M111" s="1184">
        <f t="shared" si="76"/>
        <v>11445489</v>
      </c>
      <c r="N111" s="1184">
        <f t="shared" si="76"/>
        <v>11730190</v>
      </c>
      <c r="O111" s="4219"/>
      <c r="P111" s="1222"/>
      <c r="Q111" s="1220"/>
      <c r="T111" s="351"/>
    </row>
    <row r="112" spans="1:20" s="350" customFormat="1" ht="12.75" hidden="1" customHeight="1">
      <c r="A112" s="4120"/>
      <c r="B112" s="1553" t="s">
        <v>320</v>
      </c>
      <c r="C112" s="1464"/>
      <c r="D112" s="839">
        <f t="shared" si="75"/>
        <v>3184000</v>
      </c>
      <c r="E112" s="1454"/>
      <c r="F112" s="1186">
        <f>330000+100000-88900-180510</f>
        <v>160590</v>
      </c>
      <c r="G112" s="1186">
        <f>420000+309000</f>
        <v>729000</v>
      </c>
      <c r="H112" s="1186">
        <f>420000+88900+180510</f>
        <v>689410</v>
      </c>
      <c r="I112" s="1186">
        <v>405000</v>
      </c>
      <c r="J112" s="1186">
        <v>400000</v>
      </c>
      <c r="K112" s="1186">
        <v>400000</v>
      </c>
      <c r="L112" s="1186">
        <v>400000</v>
      </c>
      <c r="M112" s="1184">
        <f t="shared" si="76"/>
        <v>2784000</v>
      </c>
      <c r="N112" s="1184">
        <f t="shared" si="76"/>
        <v>3023410</v>
      </c>
      <c r="O112" s="4219"/>
      <c r="P112" s="1222"/>
      <c r="Q112" s="1220"/>
      <c r="T112" s="351"/>
    </row>
    <row r="113" spans="1:20" s="350" customFormat="1" ht="12.75" hidden="1" customHeight="1">
      <c r="A113" s="4120"/>
      <c r="B113" s="1283" t="s">
        <v>231</v>
      </c>
      <c r="C113" s="1465"/>
      <c r="D113" s="839">
        <f t="shared" si="75"/>
        <v>3269172</v>
      </c>
      <c r="E113" s="1455">
        <v>293127</v>
      </c>
      <c r="F113" s="2161">
        <f>400248+86140-1+108427+36462-20083-193339-29277</f>
        <v>388577</v>
      </c>
      <c r="G113" s="1187">
        <f>397613+82194+46193</f>
        <v>526000</v>
      </c>
      <c r="H113" s="1187">
        <f>362772+20083+117145+34184</f>
        <v>534184</v>
      </c>
      <c r="I113" s="1187">
        <f>362772+76194</f>
        <v>438966</v>
      </c>
      <c r="J113" s="1187">
        <v>362772</v>
      </c>
      <c r="K113" s="1187">
        <v>362773</v>
      </c>
      <c r="L113" s="1187">
        <v>362773</v>
      </c>
      <c r="M113" s="1184">
        <f t="shared" si="76"/>
        <v>2613272</v>
      </c>
      <c r="N113" s="1184">
        <f t="shared" si="76"/>
        <v>2587468</v>
      </c>
      <c r="O113" s="4219"/>
      <c r="P113" s="1222"/>
      <c r="Q113" s="1220"/>
      <c r="T113" s="351"/>
    </row>
    <row r="114" spans="1:20" s="350" customFormat="1" ht="12.75" hidden="1" customHeight="1">
      <c r="A114" s="4158"/>
      <c r="B114" s="1283" t="s">
        <v>232</v>
      </c>
      <c r="C114" s="1466"/>
      <c r="D114" s="839">
        <f t="shared" si="75"/>
        <v>3052363</v>
      </c>
      <c r="E114" s="1455">
        <v>1724218</v>
      </c>
      <c r="F114" s="2161">
        <f>2213719-2975+1109794-2137692+169810-24436-74-1</f>
        <v>1328145</v>
      </c>
      <c r="G114" s="1187">
        <f>2501869+1700-1-2503568</f>
        <v>0</v>
      </c>
      <c r="H114" s="1187">
        <f>2303378-2303378</f>
        <v>0</v>
      </c>
      <c r="I114" s="1187">
        <f>2303378-2303378</f>
        <v>0</v>
      </c>
      <c r="J114" s="1187">
        <f>2303378-2303378</f>
        <v>0</v>
      </c>
      <c r="K114" s="1187">
        <f>2303377-2303377</f>
        <v>0</v>
      </c>
      <c r="L114" s="1187">
        <f>2303377-2303377</f>
        <v>0</v>
      </c>
      <c r="M114" s="1184">
        <f t="shared" si="76"/>
        <v>1328145</v>
      </c>
      <c r="N114" s="1184">
        <f t="shared" si="76"/>
        <v>0</v>
      </c>
      <c r="O114" s="4220"/>
      <c r="P114" s="1222"/>
      <c r="Q114" s="1220"/>
      <c r="T114" s="351"/>
    </row>
    <row r="115" spans="1:20" s="1508" customFormat="1" ht="16.5" customHeight="1">
      <c r="A115" s="3706"/>
      <c r="B115" s="80" t="s">
        <v>22</v>
      </c>
      <c r="C115" s="174"/>
      <c r="D115" s="355">
        <f>+D116</f>
        <v>183200723</v>
      </c>
      <c r="E115" s="355">
        <f t="shared" ref="E115:L115" si="77">+E116</f>
        <v>14500997</v>
      </c>
      <c r="F115" s="355">
        <f t="shared" si="77"/>
        <v>22881140</v>
      </c>
      <c r="G115" s="355">
        <f t="shared" si="77"/>
        <v>26231897</v>
      </c>
      <c r="H115" s="1467">
        <f t="shared" si="77"/>
        <v>26199354</v>
      </c>
      <c r="I115" s="1467">
        <f t="shared" si="77"/>
        <v>15552362</v>
      </c>
      <c r="J115" s="1467">
        <f t="shared" si="77"/>
        <v>22169678</v>
      </c>
      <c r="K115" s="1467">
        <f t="shared" si="77"/>
        <v>22510359</v>
      </c>
      <c r="L115" s="1467">
        <f t="shared" si="77"/>
        <v>22258479</v>
      </c>
      <c r="M115" s="4052" t="s">
        <v>61</v>
      </c>
      <c r="N115" s="4052" t="s">
        <v>61</v>
      </c>
      <c r="O115" s="4217"/>
      <c r="P115" s="4208" t="s">
        <v>563</v>
      </c>
      <c r="Q115" s="4209"/>
      <c r="R115" s="4209"/>
      <c r="S115" s="4209"/>
    </row>
    <row r="116" spans="1:20" s="1508" customFormat="1">
      <c r="A116" s="3706"/>
      <c r="B116" s="1468" t="s">
        <v>18</v>
      </c>
      <c r="C116" s="4200" t="s">
        <v>211</v>
      </c>
      <c r="D116" s="1433">
        <f t="shared" ref="D116:L116" si="78">+D117</f>
        <v>183200723</v>
      </c>
      <c r="E116" s="1433">
        <f t="shared" si="78"/>
        <v>14500997</v>
      </c>
      <c r="F116" s="1457">
        <f t="shared" si="78"/>
        <v>22881140</v>
      </c>
      <c r="G116" s="1457">
        <f t="shared" si="78"/>
        <v>26231897</v>
      </c>
      <c r="H116" s="1457">
        <f t="shared" si="78"/>
        <v>26199354</v>
      </c>
      <c r="I116" s="1457">
        <f t="shared" si="78"/>
        <v>15552362</v>
      </c>
      <c r="J116" s="1457">
        <f t="shared" si="78"/>
        <v>22169678</v>
      </c>
      <c r="K116" s="1457">
        <f t="shared" si="78"/>
        <v>22510359</v>
      </c>
      <c r="L116" s="1457">
        <f t="shared" si="78"/>
        <v>22258479</v>
      </c>
      <c r="M116" s="4042"/>
      <c r="N116" s="4042"/>
      <c r="O116" s="4217"/>
      <c r="P116" s="4208"/>
      <c r="Q116" s="4209"/>
      <c r="R116" s="4209"/>
      <c r="S116" s="4209"/>
    </row>
    <row r="117" spans="1:20" s="1508" customFormat="1" ht="13.5" thickBot="1">
      <c r="A117" s="3707"/>
      <c r="B117" s="344" t="s">
        <v>378</v>
      </c>
      <c r="C117" s="4141"/>
      <c r="D117" s="2283">
        <f>E117+F117+G117+H117+I117+J117+K117+L117+2029435+2998719+2055406+3812897</f>
        <v>183200723</v>
      </c>
      <c r="E117" s="3377">
        <f>14581335-5063-75275</f>
        <v>14500997</v>
      </c>
      <c r="F117" s="1728">
        <f>51433208-8318334-17866393+1853416+1574979-50000-10000-74-4067958-1667704</f>
        <v>22881140</v>
      </c>
      <c r="G117" s="1728">
        <f>30885930-8318334+1316270-584995-2464989+5628093+19922-250000</f>
        <v>26231897</v>
      </c>
      <c r="H117" s="1728">
        <f>29939078-8229084+354097+1107218+5454925-5693167+221045-354239+3399481</f>
        <v>26199354</v>
      </c>
      <c r="I117" s="1728">
        <f>30223312-8246084-386089+82192+1168964-1018024+848194+17000-7137103</f>
        <v>15552362</v>
      </c>
      <c r="J117" s="1728">
        <f>30407494-8157684-97132+17000</f>
        <v>22169678</v>
      </c>
      <c r="K117" s="1728">
        <f>30073524-7545683-34482+17000</f>
        <v>22510359</v>
      </c>
      <c r="L117" s="1728">
        <f>30175721-7364300-400206-169810+74+17000</f>
        <v>22258479</v>
      </c>
      <c r="M117" s="4043"/>
      <c r="N117" s="4043"/>
      <c r="O117" s="4216"/>
      <c r="P117" s="4208"/>
      <c r="Q117" s="4209"/>
      <c r="R117" s="4209"/>
      <c r="S117" s="4209"/>
    </row>
    <row r="118" spans="1:20" s="1508" customFormat="1" ht="23.25" customHeight="1">
      <c r="A118" s="4158" t="s">
        <v>87</v>
      </c>
      <c r="B118" s="165" t="s">
        <v>226</v>
      </c>
      <c r="C118" s="166" t="s">
        <v>81</v>
      </c>
      <c r="D118" s="381"/>
      <c r="E118" s="380"/>
      <c r="F118" s="380"/>
      <c r="G118" s="380"/>
      <c r="H118" s="380"/>
      <c r="I118" s="380"/>
      <c r="J118" s="380"/>
      <c r="K118" s="380"/>
      <c r="L118" s="1388"/>
      <c r="M118" s="381">
        <f t="shared" ref="M118" si="79">M119-M121</f>
        <v>1837065</v>
      </c>
      <c r="N118" s="381"/>
      <c r="O118" s="4202" t="s">
        <v>335</v>
      </c>
      <c r="P118" s="4208"/>
      <c r="Q118" s="4209"/>
      <c r="R118" s="4209"/>
      <c r="S118" s="4209"/>
    </row>
    <row r="119" spans="1:20" s="1508" customFormat="1" ht="14.25" customHeight="1">
      <c r="A119" s="4159"/>
      <c r="B119" s="581" t="s">
        <v>10</v>
      </c>
      <c r="C119" s="1443"/>
      <c r="D119" s="1444">
        <f t="shared" ref="D119:I119" si="80">+D124+D120</f>
        <v>2230226</v>
      </c>
      <c r="E119" s="1444">
        <f t="shared" ref="E119" si="81">+E124+E120</f>
        <v>392617</v>
      </c>
      <c r="F119" s="1444">
        <f t="shared" si="80"/>
        <v>422482</v>
      </c>
      <c r="G119" s="1444">
        <f t="shared" si="80"/>
        <v>600000</v>
      </c>
      <c r="H119" s="1444">
        <f t="shared" si="80"/>
        <v>237127</v>
      </c>
      <c r="I119" s="1444">
        <f t="shared" si="80"/>
        <v>144500</v>
      </c>
      <c r="J119" s="1444">
        <f>+J124+J120</f>
        <v>144500</v>
      </c>
      <c r="K119" s="1444">
        <f>+K124+K120</f>
        <v>144500</v>
      </c>
      <c r="L119" s="1444">
        <f>+L124+L120</f>
        <v>144500</v>
      </c>
      <c r="M119" s="1445">
        <f>+M124</f>
        <v>1837065</v>
      </c>
      <c r="N119" s="1445">
        <f>+N124</f>
        <v>1415127</v>
      </c>
      <c r="O119" s="4203"/>
      <c r="P119" s="4208"/>
      <c r="Q119" s="4209"/>
      <c r="R119" s="4209"/>
      <c r="S119" s="4209"/>
    </row>
    <row r="120" spans="1:20" s="1508" customFormat="1" ht="13.5" customHeight="1">
      <c r="A120" s="4159"/>
      <c r="B120" s="555" t="s">
        <v>24</v>
      </c>
      <c r="C120" s="4200" t="s">
        <v>327</v>
      </c>
      <c r="D120" s="1446">
        <f>+D121</f>
        <v>35657</v>
      </c>
      <c r="E120" s="1446">
        <f t="shared" ref="E120:L120" si="82">+E121</f>
        <v>35113</v>
      </c>
      <c r="F120" s="1446">
        <f t="shared" si="82"/>
        <v>544</v>
      </c>
      <c r="G120" s="1446">
        <f t="shared" si="82"/>
        <v>0</v>
      </c>
      <c r="H120" s="1446">
        <f t="shared" si="82"/>
        <v>0</v>
      </c>
      <c r="I120" s="1446">
        <f t="shared" si="82"/>
        <v>0</v>
      </c>
      <c r="J120" s="1446">
        <f t="shared" si="82"/>
        <v>0</v>
      </c>
      <c r="K120" s="1446">
        <f t="shared" si="82"/>
        <v>0</v>
      </c>
      <c r="L120" s="1446">
        <f t="shared" si="82"/>
        <v>0</v>
      </c>
      <c r="M120" s="1548">
        <f>+M121</f>
        <v>0</v>
      </c>
      <c r="N120" s="1548">
        <f>+N121</f>
        <v>0</v>
      </c>
      <c r="O120" s="4203"/>
      <c r="P120" s="4208"/>
      <c r="Q120" s="4209"/>
      <c r="R120" s="4209"/>
      <c r="S120" s="4209"/>
    </row>
    <row r="121" spans="1:20" s="1508" customFormat="1" ht="13.5" customHeight="1">
      <c r="A121" s="4159"/>
      <c r="B121" s="2405" t="s">
        <v>32</v>
      </c>
      <c r="C121" s="4016"/>
      <c r="D121" s="1448">
        <f>E121+F121+G121+H121+I121+J121+K121+L121</f>
        <v>35657</v>
      </c>
      <c r="E121" s="1448">
        <f t="shared" ref="E121:L121" si="83">SUM(E122:E123)</f>
        <v>35113</v>
      </c>
      <c r="F121" s="1448">
        <f t="shared" si="83"/>
        <v>544</v>
      </c>
      <c r="G121" s="1448">
        <f t="shared" si="83"/>
        <v>0</v>
      </c>
      <c r="H121" s="1448">
        <f t="shared" si="83"/>
        <v>0</v>
      </c>
      <c r="I121" s="1448">
        <f t="shared" si="83"/>
        <v>0</v>
      </c>
      <c r="J121" s="1448">
        <f t="shared" si="83"/>
        <v>0</v>
      </c>
      <c r="K121" s="1448">
        <f t="shared" si="83"/>
        <v>0</v>
      </c>
      <c r="L121" s="1448">
        <f t="shared" si="83"/>
        <v>0</v>
      </c>
      <c r="M121" s="1549">
        <v>0</v>
      </c>
      <c r="N121" s="1549">
        <v>0</v>
      </c>
      <c r="O121" s="4203"/>
      <c r="P121" s="4208"/>
      <c r="Q121" s="4209"/>
      <c r="R121" s="4209"/>
      <c r="S121" s="4209"/>
    </row>
    <row r="122" spans="1:20" s="1508" customFormat="1" ht="13.5" hidden="1" customHeight="1">
      <c r="A122" s="4159"/>
      <c r="B122" s="2406" t="s">
        <v>212</v>
      </c>
      <c r="C122" s="4016"/>
      <c r="D122" s="1455">
        <f>E122+F122+G122+H122+I122+J122+K122+L122</f>
        <v>7180</v>
      </c>
      <c r="E122" s="1455">
        <v>6636</v>
      </c>
      <c r="F122" s="1181">
        <f>1410-865-1</f>
        <v>544</v>
      </c>
      <c r="G122" s="1182">
        <f>865-865</f>
        <v>0</v>
      </c>
      <c r="H122" s="1182">
        <f>865-865</f>
        <v>0</v>
      </c>
      <c r="I122" s="1182"/>
      <c r="J122" s="1182"/>
      <c r="K122" s="1182"/>
      <c r="L122" s="1182"/>
      <c r="M122" s="1456">
        <v>0</v>
      </c>
      <c r="N122" s="1456">
        <v>0</v>
      </c>
      <c r="O122" s="4203"/>
      <c r="P122" s="4208"/>
      <c r="Q122" s="4209"/>
      <c r="R122" s="4209"/>
      <c r="S122" s="4209"/>
    </row>
    <row r="123" spans="1:20" s="1508" customFormat="1" ht="13.5" hidden="1" customHeight="1">
      <c r="A123" s="4159"/>
      <c r="B123" s="2406" t="s">
        <v>213</v>
      </c>
      <c r="C123" s="4016"/>
      <c r="D123" s="1455">
        <f>E123+F123+G123+H123+I123+J123+K123+L123</f>
        <v>28477</v>
      </c>
      <c r="E123" s="1455">
        <v>28477</v>
      </c>
      <c r="F123" s="1181">
        <f>975+525+5215-6715</f>
        <v>0</v>
      </c>
      <c r="G123" s="1182">
        <f>1800-300-1500</f>
        <v>0</v>
      </c>
      <c r="H123" s="1182">
        <f>975-975</f>
        <v>0</v>
      </c>
      <c r="I123" s="1182">
        <f>975-975</f>
        <v>0</v>
      </c>
      <c r="J123" s="1182">
        <f>975-975</f>
        <v>0</v>
      </c>
      <c r="K123" s="1182">
        <f>975-975</f>
        <v>0</v>
      </c>
      <c r="L123" s="1182">
        <f>975-975</f>
        <v>0</v>
      </c>
      <c r="M123" s="1456">
        <v>0</v>
      </c>
      <c r="N123" s="1456">
        <v>0</v>
      </c>
      <c r="O123" s="4203"/>
      <c r="P123" s="4208"/>
      <c r="Q123" s="4209"/>
      <c r="R123" s="4209"/>
      <c r="S123" s="4209"/>
    </row>
    <row r="124" spans="1:20" s="1508" customFormat="1" ht="13.5" customHeight="1" thickBot="1">
      <c r="A124" s="4160"/>
      <c r="B124" s="2407" t="s">
        <v>18</v>
      </c>
      <c r="C124" s="4141"/>
      <c r="D124" s="2250">
        <f>+D125</f>
        <v>2194569</v>
      </c>
      <c r="E124" s="2408">
        <f>+E125</f>
        <v>357504</v>
      </c>
      <c r="F124" s="2408">
        <f>+F125</f>
        <v>421938</v>
      </c>
      <c r="G124" s="2250">
        <f t="shared" ref="G124:N124" si="84">+G125</f>
        <v>600000</v>
      </c>
      <c r="H124" s="2250">
        <f t="shared" si="84"/>
        <v>237127</v>
      </c>
      <c r="I124" s="2250">
        <f t="shared" si="84"/>
        <v>144500</v>
      </c>
      <c r="J124" s="2250">
        <f t="shared" si="84"/>
        <v>144500</v>
      </c>
      <c r="K124" s="2250">
        <f t="shared" si="84"/>
        <v>144500</v>
      </c>
      <c r="L124" s="2250">
        <f t="shared" si="84"/>
        <v>144500</v>
      </c>
      <c r="M124" s="2409">
        <f t="shared" si="84"/>
        <v>1837065</v>
      </c>
      <c r="N124" s="2409">
        <f t="shared" si="84"/>
        <v>1415127</v>
      </c>
      <c r="O124" s="4204"/>
      <c r="P124" s="4208"/>
      <c r="Q124" s="4209"/>
      <c r="R124" s="4209"/>
      <c r="S124" s="4209"/>
    </row>
    <row r="125" spans="1:20" s="1508" customFormat="1">
      <c r="A125" s="4159"/>
      <c r="B125" s="2153" t="s">
        <v>21</v>
      </c>
      <c r="C125" s="4017"/>
      <c r="D125" s="2141">
        <f>E125+F125+G125+H125+I125+J125+K125+L125</f>
        <v>2194569</v>
      </c>
      <c r="E125" s="2141">
        <f>+E127+E128+E129+E130+E131+E132+E133</f>
        <v>357504</v>
      </c>
      <c r="F125" s="2141">
        <f t="shared" ref="F125:L125" si="85">+F127+F128+F129+F130+F131+F132+F133</f>
        <v>421938</v>
      </c>
      <c r="G125" s="2141">
        <f t="shared" si="85"/>
        <v>600000</v>
      </c>
      <c r="H125" s="2141">
        <f t="shared" si="85"/>
        <v>237127</v>
      </c>
      <c r="I125" s="2141">
        <f t="shared" si="85"/>
        <v>144500</v>
      </c>
      <c r="J125" s="2141">
        <f t="shared" si="85"/>
        <v>144500</v>
      </c>
      <c r="K125" s="2141">
        <f t="shared" si="85"/>
        <v>144500</v>
      </c>
      <c r="L125" s="2141">
        <f t="shared" si="85"/>
        <v>144500</v>
      </c>
      <c r="M125" s="1722">
        <f>SUM(F125:L125)</f>
        <v>1837065</v>
      </c>
      <c r="N125" s="1722">
        <f>SUM(G125:L125)</f>
        <v>1415127</v>
      </c>
      <c r="O125" s="4203"/>
      <c r="P125" s="4208"/>
      <c r="Q125" s="4209"/>
      <c r="R125" s="4209"/>
      <c r="S125" s="4209"/>
    </row>
    <row r="126" spans="1:20" s="1508" customFormat="1" ht="12.75" hidden="1" customHeight="1">
      <c r="A126" s="4159"/>
      <c r="B126" s="1248" t="s">
        <v>149</v>
      </c>
      <c r="C126" s="1550"/>
      <c r="D126" s="1431"/>
      <c r="E126" s="1431"/>
      <c r="F126" s="1435"/>
      <c r="G126" s="1435"/>
      <c r="H126" s="1435"/>
      <c r="I126" s="1435"/>
      <c r="J126" s="1435"/>
      <c r="K126" s="1435"/>
      <c r="L126" s="1435"/>
      <c r="M126" s="1459"/>
      <c r="N126" s="1459"/>
      <c r="O126" s="4203"/>
      <c r="P126" s="4208"/>
      <c r="Q126" s="4209"/>
      <c r="R126" s="4209"/>
      <c r="S126" s="4209"/>
    </row>
    <row r="127" spans="1:20" s="1508" customFormat="1" ht="12.75" hidden="1" customHeight="1">
      <c r="A127" s="4159"/>
      <c r="B127" s="407" t="s">
        <v>150</v>
      </c>
      <c r="C127" s="354"/>
      <c r="D127" s="1183">
        <f t="shared" ref="D127:D133" si="86">E127+F127+G127+H127+I127+J127+K127+L127</f>
        <v>1910924</v>
      </c>
      <c r="E127" s="1183">
        <v>144449</v>
      </c>
      <c r="F127" s="1174">
        <f>144500+224475+25000+50000-50000-42627</f>
        <v>351348</v>
      </c>
      <c r="G127" s="1174">
        <f>144500+51+205449+250000</f>
        <v>600000</v>
      </c>
      <c r="H127" s="1174">
        <f>144500+50000+42627</f>
        <v>237127</v>
      </c>
      <c r="I127" s="1174">
        <v>144500</v>
      </c>
      <c r="J127" s="1174">
        <v>144500</v>
      </c>
      <c r="K127" s="1174">
        <v>144500</v>
      </c>
      <c r="L127" s="1174">
        <v>144500</v>
      </c>
      <c r="M127" s="1432">
        <f>SUM(F127:L127)</f>
        <v>1766475</v>
      </c>
      <c r="N127" s="1432">
        <f t="shared" ref="M127:N133" si="87">SUM(G127:L127)</f>
        <v>1415127</v>
      </c>
      <c r="O127" s="4203"/>
      <c r="P127" s="4208"/>
      <c r="Q127" s="4209"/>
      <c r="R127" s="4209"/>
      <c r="S127" s="4209"/>
    </row>
    <row r="128" spans="1:20" s="1508" customFormat="1" ht="12.75" hidden="1" customHeight="1">
      <c r="A128" s="4159"/>
      <c r="B128" s="1281" t="s">
        <v>151</v>
      </c>
      <c r="C128" s="1551"/>
      <c r="D128" s="1452">
        <f t="shared" si="86"/>
        <v>59673</v>
      </c>
      <c r="E128" s="1452">
        <v>14078</v>
      </c>
      <c r="F128" s="1452">
        <f>17000+32000-3405</f>
        <v>45595</v>
      </c>
      <c r="G128" s="1452">
        <f>17000+2922-19922</f>
        <v>0</v>
      </c>
      <c r="H128" s="1452">
        <f>17000-17000</f>
        <v>0</v>
      </c>
      <c r="I128" s="1452">
        <f>17000-17000</f>
        <v>0</v>
      </c>
      <c r="J128" s="1452">
        <f>17000-17000</f>
        <v>0</v>
      </c>
      <c r="K128" s="1452">
        <f>17000-17000</f>
        <v>0</v>
      </c>
      <c r="L128" s="1452">
        <f>17000-17000</f>
        <v>0</v>
      </c>
      <c r="M128" s="1432">
        <f>SUM(F128:L128)</f>
        <v>45595</v>
      </c>
      <c r="N128" s="1432">
        <f t="shared" si="87"/>
        <v>0</v>
      </c>
      <c r="O128" s="4203"/>
      <c r="P128" s="4208"/>
      <c r="Q128" s="4209"/>
      <c r="R128" s="4209"/>
      <c r="S128" s="4209"/>
    </row>
    <row r="129" spans="1:19" s="1508" customFormat="1" ht="12.75" hidden="1" customHeight="1">
      <c r="A129" s="4159"/>
      <c r="B129" s="1284" t="s">
        <v>152</v>
      </c>
      <c r="C129" s="1552"/>
      <c r="D129" s="1462">
        <f t="shared" si="86"/>
        <v>0</v>
      </c>
      <c r="E129" s="1462"/>
      <c r="F129" s="1185"/>
      <c r="G129" s="1185"/>
      <c r="H129" s="1185"/>
      <c r="I129" s="1185"/>
      <c r="J129" s="1185"/>
      <c r="K129" s="1185"/>
      <c r="L129" s="1185"/>
      <c r="M129" s="1432">
        <f t="shared" si="87"/>
        <v>0</v>
      </c>
      <c r="N129" s="1432">
        <f t="shared" si="87"/>
        <v>0</v>
      </c>
      <c r="O129" s="4203"/>
      <c r="P129" s="4208"/>
      <c r="Q129" s="4209"/>
      <c r="R129" s="4209"/>
      <c r="S129" s="4209"/>
    </row>
    <row r="130" spans="1:19" s="1508" customFormat="1" ht="12.75" hidden="1" customHeight="1">
      <c r="A130" s="4159"/>
      <c r="B130" s="1553" t="s">
        <v>153</v>
      </c>
      <c r="C130" s="1554"/>
      <c r="D130" s="1454">
        <f t="shared" si="86"/>
        <v>21912</v>
      </c>
      <c r="E130" s="1454">
        <v>0</v>
      </c>
      <c r="F130" s="1454">
        <f>6000+9000+10000-3088</f>
        <v>21912</v>
      </c>
      <c r="G130" s="1454"/>
      <c r="H130" s="1454"/>
      <c r="I130" s="1454"/>
      <c r="J130" s="1454"/>
      <c r="K130" s="1454"/>
      <c r="L130" s="1454"/>
      <c r="M130" s="1432">
        <f>SUM(F130:L130)</f>
        <v>21912</v>
      </c>
      <c r="N130" s="1432">
        <f t="shared" si="87"/>
        <v>0</v>
      </c>
      <c r="O130" s="4203"/>
      <c r="P130" s="4208"/>
      <c r="Q130" s="4209"/>
      <c r="R130" s="4209"/>
      <c r="S130" s="4209"/>
    </row>
    <row r="131" spans="1:19" s="1508" customFormat="1" ht="12.75" hidden="1" customHeight="1">
      <c r="A131" s="4159"/>
      <c r="B131" s="1553" t="s">
        <v>321</v>
      </c>
      <c r="C131" s="1173"/>
      <c r="D131" s="1454">
        <f t="shared" si="86"/>
        <v>0</v>
      </c>
      <c r="E131" s="1454"/>
      <c r="F131" s="1454">
        <f>25000-25000</f>
        <v>0</v>
      </c>
      <c r="G131" s="1454"/>
      <c r="H131" s="1454"/>
      <c r="I131" s="1454"/>
      <c r="J131" s="1454"/>
      <c r="K131" s="1454"/>
      <c r="L131" s="1454"/>
      <c r="M131" s="1432">
        <f t="shared" si="87"/>
        <v>0</v>
      </c>
      <c r="N131" s="1432">
        <f t="shared" si="87"/>
        <v>0</v>
      </c>
      <c r="O131" s="4203"/>
      <c r="P131" s="4208"/>
      <c r="Q131" s="4209"/>
      <c r="R131" s="4209"/>
      <c r="S131" s="4209"/>
    </row>
    <row r="132" spans="1:19" s="1508" customFormat="1" ht="12.75" hidden="1" customHeight="1">
      <c r="A132" s="4159"/>
      <c r="B132" s="1283" t="s">
        <v>308</v>
      </c>
      <c r="C132" s="1555"/>
      <c r="D132" s="1455">
        <f t="shared" si="86"/>
        <v>40690</v>
      </c>
      <c r="E132" s="1455">
        <v>37607</v>
      </c>
      <c r="F132" s="1455">
        <f>7990-4907</f>
        <v>3083</v>
      </c>
      <c r="G132" s="1455">
        <f>4907-4907</f>
        <v>0</v>
      </c>
      <c r="H132" s="1455">
        <f>4907-4907</f>
        <v>0</v>
      </c>
      <c r="I132" s="1455"/>
      <c r="J132" s="1455"/>
      <c r="K132" s="1455"/>
      <c r="L132" s="1455"/>
      <c r="M132" s="1432">
        <f>SUM(F132:L132)</f>
        <v>3083</v>
      </c>
      <c r="N132" s="1432">
        <f t="shared" si="87"/>
        <v>0</v>
      </c>
      <c r="O132" s="4203"/>
      <c r="P132" s="4208"/>
      <c r="Q132" s="4209"/>
      <c r="R132" s="4209"/>
      <c r="S132" s="4209"/>
    </row>
    <row r="133" spans="1:19" s="1508" customFormat="1" ht="12.75" hidden="1" customHeight="1">
      <c r="A133" s="4159"/>
      <c r="B133" s="1283" t="s">
        <v>232</v>
      </c>
      <c r="C133" s="1556"/>
      <c r="D133" s="1455">
        <f t="shared" si="86"/>
        <v>161370</v>
      </c>
      <c r="E133" s="1455">
        <v>161370</v>
      </c>
      <c r="F133" s="1455">
        <f>5525+2975+29556-38056</f>
        <v>0</v>
      </c>
      <c r="G133" s="1455">
        <f>10200-1700-8500</f>
        <v>0</v>
      </c>
      <c r="H133" s="1455">
        <f>5525-5525</f>
        <v>0</v>
      </c>
      <c r="I133" s="1455">
        <f>5525-5525</f>
        <v>0</v>
      </c>
      <c r="J133" s="1455">
        <f>5525-5525</f>
        <v>0</v>
      </c>
      <c r="K133" s="1455">
        <f>5525-5525</f>
        <v>0</v>
      </c>
      <c r="L133" s="1455">
        <f>5525-5525</f>
        <v>0</v>
      </c>
      <c r="M133" s="1432">
        <f t="shared" si="87"/>
        <v>0</v>
      </c>
      <c r="N133" s="1432">
        <f t="shared" si="87"/>
        <v>0</v>
      </c>
      <c r="O133" s="4203"/>
      <c r="P133" s="4208"/>
      <c r="Q133" s="4209"/>
      <c r="R133" s="4209"/>
      <c r="S133" s="4209"/>
    </row>
    <row r="134" spans="1:19" s="1508" customFormat="1" ht="14.25" customHeight="1">
      <c r="A134" s="4159"/>
      <c r="B134" s="80" t="s">
        <v>22</v>
      </c>
      <c r="C134" s="174"/>
      <c r="D134" s="355">
        <f>+D135</f>
        <v>2194569</v>
      </c>
      <c r="E134" s="355">
        <f t="shared" ref="E134:L134" si="88">+E135</f>
        <v>236568</v>
      </c>
      <c r="F134" s="355">
        <f t="shared" si="88"/>
        <v>231803</v>
      </c>
      <c r="G134" s="355">
        <f t="shared" si="88"/>
        <v>661071</v>
      </c>
      <c r="H134" s="355">
        <f t="shared" si="88"/>
        <v>237127</v>
      </c>
      <c r="I134" s="355">
        <f t="shared" si="88"/>
        <v>144500</v>
      </c>
      <c r="J134" s="355">
        <f t="shared" si="88"/>
        <v>144500</v>
      </c>
      <c r="K134" s="355">
        <f t="shared" si="88"/>
        <v>144500</v>
      </c>
      <c r="L134" s="355">
        <f t="shared" si="88"/>
        <v>144500</v>
      </c>
      <c r="M134" s="4041" t="s">
        <v>61</v>
      </c>
      <c r="N134" s="4041" t="s">
        <v>61</v>
      </c>
      <c r="O134" s="4203"/>
      <c r="P134" s="4208"/>
      <c r="Q134" s="4209"/>
      <c r="R134" s="4209"/>
      <c r="S134" s="4209"/>
    </row>
    <row r="135" spans="1:19" s="1508" customFormat="1" ht="15.75" customHeight="1">
      <c r="A135" s="4159"/>
      <c r="B135" s="1514" t="s">
        <v>18</v>
      </c>
      <c r="C135" s="3827" t="s">
        <v>211</v>
      </c>
      <c r="D135" s="1557">
        <f t="shared" ref="D135:L135" si="89">+D136</f>
        <v>2194569</v>
      </c>
      <c r="E135" s="1557">
        <f t="shared" si="89"/>
        <v>236568</v>
      </c>
      <c r="F135" s="1557">
        <f t="shared" si="89"/>
        <v>231803</v>
      </c>
      <c r="G135" s="1557">
        <f t="shared" si="89"/>
        <v>661071</v>
      </c>
      <c r="H135" s="1557">
        <f t="shared" si="89"/>
        <v>237127</v>
      </c>
      <c r="I135" s="1557">
        <f t="shared" si="89"/>
        <v>144500</v>
      </c>
      <c r="J135" s="1557">
        <f t="shared" si="89"/>
        <v>144500</v>
      </c>
      <c r="K135" s="1557">
        <f t="shared" si="89"/>
        <v>144500</v>
      </c>
      <c r="L135" s="1557">
        <f t="shared" si="89"/>
        <v>144500</v>
      </c>
      <c r="M135" s="4042"/>
      <c r="N135" s="4042"/>
      <c r="O135" s="4203"/>
      <c r="P135" s="4208"/>
      <c r="Q135" s="4209"/>
      <c r="R135" s="4209"/>
      <c r="S135" s="4209"/>
    </row>
    <row r="136" spans="1:19" s="1508" customFormat="1" ht="13.5" customHeight="1" thickBot="1">
      <c r="A136" s="4160"/>
      <c r="B136" s="344" t="s">
        <v>420</v>
      </c>
      <c r="C136" s="4141"/>
      <c r="D136" s="833">
        <f>E136+F136+G136+H136+I136+J136+K136+L136+11590+299481-61071</f>
        <v>2194569</v>
      </c>
      <c r="E136" s="1442">
        <v>236568</v>
      </c>
      <c r="F136" s="1188">
        <f>192515-22515+300021+111973+50000+10000-61590-348601</f>
        <v>231803</v>
      </c>
      <c r="G136" s="1188">
        <f>171700-1700-620+200542-19922+311071</f>
        <v>661071</v>
      </c>
      <c r="H136" s="1188">
        <f>167025-5525+4907+50000+20720</f>
        <v>237127</v>
      </c>
      <c r="I136" s="1188">
        <f>167025-5525-17000</f>
        <v>144500</v>
      </c>
      <c r="J136" s="1188">
        <f>167025-5525-17000</f>
        <v>144500</v>
      </c>
      <c r="K136" s="1188">
        <f>167025-5525-17000</f>
        <v>144500</v>
      </c>
      <c r="L136" s="1188">
        <f>167025-5525-17000</f>
        <v>144500</v>
      </c>
      <c r="M136" s="4043"/>
      <c r="N136" s="4043"/>
      <c r="O136" s="4204"/>
      <c r="P136" s="4208"/>
      <c r="Q136" s="4209"/>
      <c r="R136" s="4209"/>
      <c r="S136" s="4209"/>
    </row>
    <row r="137" spans="1:19" s="1508" customFormat="1" ht="24.75" customHeight="1">
      <c r="A137" s="4158" t="s">
        <v>88</v>
      </c>
      <c r="B137" s="1302" t="s">
        <v>267</v>
      </c>
      <c r="C137" s="3180" t="s">
        <v>81</v>
      </c>
      <c r="D137" s="182"/>
      <c r="E137" s="382"/>
      <c r="F137" s="181"/>
      <c r="G137" s="181"/>
      <c r="H137" s="181"/>
      <c r="I137" s="181"/>
      <c r="J137" s="181"/>
      <c r="K137" s="181"/>
      <c r="L137" s="251"/>
      <c r="M137" s="2162"/>
      <c r="N137" s="2162"/>
      <c r="O137" s="4202" t="s">
        <v>283</v>
      </c>
      <c r="P137" s="313">
        <f>G134-'[1]Tab. 6E - Administracja'!$G$134</f>
        <v>291149</v>
      </c>
    </row>
    <row r="138" spans="1:19" s="1508" customFormat="1" ht="13.5" customHeight="1">
      <c r="A138" s="4159"/>
      <c r="B138" s="451" t="s">
        <v>10</v>
      </c>
      <c r="C138" s="3378"/>
      <c r="D138" s="3379">
        <f>+D139+D142</f>
        <v>98152110</v>
      </c>
      <c r="E138" s="3380">
        <f>+E139+E142</f>
        <v>360377</v>
      </c>
      <c r="F138" s="3380">
        <f t="shared" ref="F138:L138" si="90">+F139+F142</f>
        <v>1019503</v>
      </c>
      <c r="G138" s="3380">
        <f t="shared" si="90"/>
        <v>3374084</v>
      </c>
      <c r="H138" s="3380">
        <f t="shared" si="90"/>
        <v>47547053</v>
      </c>
      <c r="I138" s="3380">
        <f t="shared" si="90"/>
        <v>45851093</v>
      </c>
      <c r="J138" s="3380">
        <f t="shared" si="90"/>
        <v>0</v>
      </c>
      <c r="K138" s="3380">
        <f t="shared" si="90"/>
        <v>0</v>
      </c>
      <c r="L138" s="3380">
        <f t="shared" si="90"/>
        <v>0</v>
      </c>
      <c r="M138" s="3381">
        <f>+M139+M142</f>
        <v>97791733</v>
      </c>
      <c r="N138" s="3381">
        <f>+N139+N142</f>
        <v>96772230</v>
      </c>
      <c r="O138" s="4203"/>
      <c r="P138" s="313"/>
    </row>
    <row r="139" spans="1:19" s="1508" customFormat="1" ht="13.5" customHeight="1">
      <c r="A139" s="4159"/>
      <c r="B139" s="587" t="s">
        <v>24</v>
      </c>
      <c r="C139" s="4191" t="s">
        <v>238</v>
      </c>
      <c r="D139" s="3382">
        <f>+D140+D141</f>
        <v>28902110</v>
      </c>
      <c r="E139" s="3383">
        <f t="shared" ref="E139" si="91">+E140+E141</f>
        <v>6785</v>
      </c>
      <c r="F139" s="3383">
        <f t="shared" ref="F139:L139" si="92">+F140+F141</f>
        <v>32934</v>
      </c>
      <c r="G139" s="3383">
        <f t="shared" si="92"/>
        <v>209311</v>
      </c>
      <c r="H139" s="3383">
        <f t="shared" si="92"/>
        <v>16235207</v>
      </c>
      <c r="I139" s="3383">
        <f t="shared" si="92"/>
        <v>12417873</v>
      </c>
      <c r="J139" s="3383">
        <f t="shared" si="92"/>
        <v>0</v>
      </c>
      <c r="K139" s="3383">
        <f t="shared" si="92"/>
        <v>0</v>
      </c>
      <c r="L139" s="3383">
        <f t="shared" si="92"/>
        <v>0</v>
      </c>
      <c r="M139" s="3384">
        <f>+M140</f>
        <v>28895325</v>
      </c>
      <c r="N139" s="3384">
        <f>+N140</f>
        <v>28862391</v>
      </c>
      <c r="O139" s="4203"/>
      <c r="P139" s="313"/>
    </row>
    <row r="140" spans="1:19" s="1508" customFormat="1" ht="13.5" customHeight="1">
      <c r="A140" s="4159"/>
      <c r="B140" s="3385" t="s">
        <v>12</v>
      </c>
      <c r="C140" s="4191"/>
      <c r="D140" s="3386">
        <f>E140+F140+G140+H140+I140+J140+K140+L140</f>
        <v>28902110</v>
      </c>
      <c r="E140" s="3387">
        <f t="shared" ref="E140:L140" si="93">+E158+E172+E188+E199</f>
        <v>6785</v>
      </c>
      <c r="F140" s="2163">
        <f t="shared" si="93"/>
        <v>32934</v>
      </c>
      <c r="G140" s="2163">
        <f t="shared" si="93"/>
        <v>209311</v>
      </c>
      <c r="H140" s="2163">
        <f t="shared" si="93"/>
        <v>16235207</v>
      </c>
      <c r="I140" s="2163">
        <f t="shared" si="93"/>
        <v>12417873</v>
      </c>
      <c r="J140" s="2163">
        <f t="shared" si="93"/>
        <v>0</v>
      </c>
      <c r="K140" s="2163">
        <f t="shared" si="93"/>
        <v>0</v>
      </c>
      <c r="L140" s="2163">
        <f t="shared" si="93"/>
        <v>0</v>
      </c>
      <c r="M140" s="3388">
        <f>SUM(F140:L140)</f>
        <v>28895325</v>
      </c>
      <c r="N140" s="3388">
        <f>SUM(G140:L140)</f>
        <v>28862391</v>
      </c>
      <c r="O140" s="4203"/>
      <c r="P140" s="313"/>
    </row>
    <row r="141" spans="1:19" s="1508" customFormat="1" ht="13.5" hidden="1" customHeight="1">
      <c r="A141" s="4159"/>
      <c r="B141" s="3385" t="s">
        <v>16</v>
      </c>
      <c r="C141" s="4191"/>
      <c r="D141" s="3386">
        <f>E141+F141+G141+H141+I141+J141+K141+L141</f>
        <v>0</v>
      </c>
      <c r="E141" s="3389">
        <v>0</v>
      </c>
      <c r="F141" s="2163">
        <f t="shared" ref="F141:L141" si="94">+F159+F173+F200</f>
        <v>0</v>
      </c>
      <c r="G141" s="2163">
        <f t="shared" si="94"/>
        <v>0</v>
      </c>
      <c r="H141" s="2163">
        <f t="shared" si="94"/>
        <v>0</v>
      </c>
      <c r="I141" s="2163">
        <f t="shared" si="94"/>
        <v>0</v>
      </c>
      <c r="J141" s="2163">
        <f t="shared" si="94"/>
        <v>0</v>
      </c>
      <c r="K141" s="2163">
        <f t="shared" si="94"/>
        <v>0</v>
      </c>
      <c r="L141" s="2163">
        <f t="shared" si="94"/>
        <v>0</v>
      </c>
      <c r="M141" s="3388">
        <f>SUM(F141:K141)</f>
        <v>0</v>
      </c>
      <c r="N141" s="3388">
        <f>SUM(G141:L141)</f>
        <v>0</v>
      </c>
      <c r="O141" s="4203"/>
      <c r="P141" s="313"/>
    </row>
    <row r="142" spans="1:19" s="1508" customFormat="1" ht="13.5" customHeight="1">
      <c r="A142" s="4159"/>
      <c r="B142" s="3390" t="s">
        <v>18</v>
      </c>
      <c r="C142" s="4191"/>
      <c r="D142" s="3391">
        <f>+D143</f>
        <v>69250000</v>
      </c>
      <c r="E142" s="3391">
        <f t="shared" ref="E142" si="95">+E143</f>
        <v>353592</v>
      </c>
      <c r="F142" s="3392">
        <f t="shared" ref="F142:L142" si="96">+F143</f>
        <v>986569</v>
      </c>
      <c r="G142" s="3392">
        <f t="shared" si="96"/>
        <v>3164773</v>
      </c>
      <c r="H142" s="3392">
        <f t="shared" si="96"/>
        <v>31311846</v>
      </c>
      <c r="I142" s="3392">
        <f t="shared" si="96"/>
        <v>33433220</v>
      </c>
      <c r="J142" s="3392">
        <f t="shared" si="96"/>
        <v>0</v>
      </c>
      <c r="K142" s="3392">
        <f t="shared" si="96"/>
        <v>0</v>
      </c>
      <c r="L142" s="3392">
        <f t="shared" si="96"/>
        <v>0</v>
      </c>
      <c r="M142" s="3384">
        <f>+M143</f>
        <v>68896408</v>
      </c>
      <c r="N142" s="3384">
        <f>+N143</f>
        <v>67909839</v>
      </c>
      <c r="O142" s="4203"/>
      <c r="P142" s="313"/>
    </row>
    <row r="143" spans="1:19" s="1508" customFormat="1" ht="12.75" customHeight="1">
      <c r="A143" s="4159"/>
      <c r="B143" s="630" t="s">
        <v>21</v>
      </c>
      <c r="C143" s="4191"/>
      <c r="D143" s="3386">
        <f>E143+F143+G143+H143+I143+J143+K143+L143</f>
        <v>69250000</v>
      </c>
      <c r="E143" s="3393">
        <f>+E144+E145+E146</f>
        <v>353592</v>
      </c>
      <c r="F143" s="2163">
        <f>+F144+F145+F146</f>
        <v>986569</v>
      </c>
      <c r="G143" s="2163">
        <f t="shared" ref="G143:L143" si="97">+G144+G145+G146</f>
        <v>3164773</v>
      </c>
      <c r="H143" s="2163">
        <f t="shared" si="97"/>
        <v>31311846</v>
      </c>
      <c r="I143" s="2163">
        <f t="shared" si="97"/>
        <v>33433220</v>
      </c>
      <c r="J143" s="2163">
        <f t="shared" si="97"/>
        <v>0</v>
      </c>
      <c r="K143" s="2163">
        <f t="shared" si="97"/>
        <v>0</v>
      </c>
      <c r="L143" s="2163">
        <f t="shared" si="97"/>
        <v>0</v>
      </c>
      <c r="M143" s="3388">
        <f>SUM(F143:L143)</f>
        <v>68896408</v>
      </c>
      <c r="N143" s="3388">
        <f t="shared" ref="M143:N146" si="98">SUM(G143:L143)</f>
        <v>67909839</v>
      </c>
      <c r="O143" s="4203"/>
      <c r="P143" s="313"/>
    </row>
    <row r="144" spans="1:19" s="1508" customFormat="1" ht="23.25" hidden="1" customHeight="1">
      <c r="A144" s="4159"/>
      <c r="B144" s="3385" t="s">
        <v>239</v>
      </c>
      <c r="C144" s="4191"/>
      <c r="D144" s="3393">
        <f>+D176</f>
        <v>18000000</v>
      </c>
      <c r="E144" s="3393">
        <f t="shared" ref="E144:L144" si="99">+E162+E176+E191+E203</f>
        <v>353592</v>
      </c>
      <c r="F144" s="2163">
        <f t="shared" si="99"/>
        <v>986569</v>
      </c>
      <c r="G144" s="2163">
        <f t="shared" si="99"/>
        <v>3126060</v>
      </c>
      <c r="H144" s="2163">
        <f t="shared" si="99"/>
        <v>5574771</v>
      </c>
      <c r="I144" s="2163">
        <f t="shared" si="99"/>
        <v>7959008</v>
      </c>
      <c r="J144" s="2163">
        <f t="shared" si="99"/>
        <v>0</v>
      </c>
      <c r="K144" s="2163">
        <f t="shared" si="99"/>
        <v>0</v>
      </c>
      <c r="L144" s="2163">
        <f t="shared" si="99"/>
        <v>0</v>
      </c>
      <c r="M144" s="3394">
        <f t="shared" si="98"/>
        <v>17646408</v>
      </c>
      <c r="N144" s="3394">
        <f t="shared" si="98"/>
        <v>16659839</v>
      </c>
      <c r="O144" s="4203"/>
      <c r="P144" s="313"/>
    </row>
    <row r="145" spans="1:16" s="1508" customFormat="1" ht="20.25" hidden="1" customHeight="1">
      <c r="A145" s="4159"/>
      <c r="B145" s="3385" t="s">
        <v>240</v>
      </c>
      <c r="C145" s="4191"/>
      <c r="D145" s="3393">
        <f>+D177</f>
        <v>10250000</v>
      </c>
      <c r="E145" s="2163">
        <v>0</v>
      </c>
      <c r="F145" s="2163">
        <f t="shared" ref="F145:L145" si="100">+F177</f>
        <v>0</v>
      </c>
      <c r="G145" s="2163">
        <f t="shared" si="100"/>
        <v>38713</v>
      </c>
      <c r="H145" s="2163">
        <f t="shared" si="100"/>
        <v>5522822</v>
      </c>
      <c r="I145" s="2163">
        <f t="shared" si="100"/>
        <v>4688465</v>
      </c>
      <c r="J145" s="2163">
        <f t="shared" si="100"/>
        <v>0</v>
      </c>
      <c r="K145" s="2163">
        <f t="shared" si="100"/>
        <v>0</v>
      </c>
      <c r="L145" s="2163">
        <f t="shared" si="100"/>
        <v>0</v>
      </c>
      <c r="M145" s="3394">
        <f t="shared" si="98"/>
        <v>10250000</v>
      </c>
      <c r="N145" s="3394">
        <f t="shared" si="98"/>
        <v>10250000</v>
      </c>
      <c r="O145" s="4203"/>
      <c r="P145" s="313"/>
    </row>
    <row r="146" spans="1:16" s="1508" customFormat="1" ht="27" hidden="1" customHeight="1">
      <c r="A146" s="4159"/>
      <c r="B146" s="3385" t="s">
        <v>241</v>
      </c>
      <c r="C146" s="4191"/>
      <c r="D146" s="3393">
        <f>+D178</f>
        <v>28250000</v>
      </c>
      <c r="E146" s="3395">
        <v>0</v>
      </c>
      <c r="F146" s="3395">
        <f t="shared" ref="F146:L146" si="101">+F204</f>
        <v>0</v>
      </c>
      <c r="G146" s="3395">
        <f t="shared" si="101"/>
        <v>0</v>
      </c>
      <c r="H146" s="3395">
        <f t="shared" si="101"/>
        <v>20214253</v>
      </c>
      <c r="I146" s="3395">
        <f t="shared" si="101"/>
        <v>20785747</v>
      </c>
      <c r="J146" s="3395">
        <f t="shared" si="101"/>
        <v>0</v>
      </c>
      <c r="K146" s="3395">
        <f t="shared" si="101"/>
        <v>0</v>
      </c>
      <c r="L146" s="3395">
        <f t="shared" si="101"/>
        <v>0</v>
      </c>
      <c r="M146" s="3394">
        <f t="shared" si="98"/>
        <v>41000000</v>
      </c>
      <c r="N146" s="3394">
        <f t="shared" si="98"/>
        <v>41000000</v>
      </c>
      <c r="O146" s="4203"/>
      <c r="P146" s="313"/>
    </row>
    <row r="147" spans="1:16" s="1508" customFormat="1" ht="15">
      <c r="A147" s="4159"/>
      <c r="B147" s="183" t="s">
        <v>242</v>
      </c>
      <c r="C147" s="3378"/>
      <c r="D147" s="3379">
        <f t="shared" ref="D147:L147" si="102">+D148+D150</f>
        <v>69250000</v>
      </c>
      <c r="E147" s="3380">
        <f t="shared" si="102"/>
        <v>219395</v>
      </c>
      <c r="F147" s="3380">
        <f t="shared" si="102"/>
        <v>1022720</v>
      </c>
      <c r="G147" s="3380">
        <f t="shared" si="102"/>
        <v>2683185</v>
      </c>
      <c r="H147" s="3380">
        <f t="shared" si="102"/>
        <v>31793434</v>
      </c>
      <c r="I147" s="3380">
        <f t="shared" si="102"/>
        <v>33531266</v>
      </c>
      <c r="J147" s="3380">
        <f t="shared" si="102"/>
        <v>0</v>
      </c>
      <c r="K147" s="3380">
        <f t="shared" si="102"/>
        <v>0</v>
      </c>
      <c r="L147" s="3380">
        <f t="shared" si="102"/>
        <v>0</v>
      </c>
      <c r="M147" s="4207" t="s">
        <v>61</v>
      </c>
      <c r="N147" s="4207" t="s">
        <v>61</v>
      </c>
      <c r="O147" s="4203"/>
      <c r="P147" s="313">
        <f>G147-'[1]Tab. 6E - Administracja'!$G$147</f>
        <v>-6828964</v>
      </c>
    </row>
    <row r="148" spans="1:16" s="1508" customFormat="1" ht="13.5" hidden="1" customHeight="1">
      <c r="A148" s="4159"/>
      <c r="B148" s="587" t="s">
        <v>24</v>
      </c>
      <c r="C148" s="4205" t="s">
        <v>243</v>
      </c>
      <c r="D148" s="3382">
        <f>+D149</f>
        <v>0</v>
      </c>
      <c r="E148" s="3383">
        <f t="shared" ref="E148:L148" si="103">+E149</f>
        <v>0</v>
      </c>
      <c r="F148" s="3383">
        <f t="shared" si="103"/>
        <v>0</v>
      </c>
      <c r="G148" s="3383">
        <f t="shared" si="103"/>
        <v>0</v>
      </c>
      <c r="H148" s="3383">
        <f t="shared" si="103"/>
        <v>0</v>
      </c>
      <c r="I148" s="3383">
        <f t="shared" si="103"/>
        <v>0</v>
      </c>
      <c r="J148" s="3383">
        <f t="shared" si="103"/>
        <v>0</v>
      </c>
      <c r="K148" s="3383">
        <f t="shared" si="103"/>
        <v>0</v>
      </c>
      <c r="L148" s="3383">
        <f t="shared" si="103"/>
        <v>0</v>
      </c>
      <c r="M148" s="4050"/>
      <c r="N148" s="4050"/>
      <c r="O148" s="4203"/>
      <c r="P148" s="313"/>
    </row>
    <row r="149" spans="1:16" s="1508" customFormat="1" ht="13.5" hidden="1" customHeight="1">
      <c r="A149" s="4159"/>
      <c r="B149" s="3385" t="s">
        <v>16</v>
      </c>
      <c r="C149" s="4191"/>
      <c r="D149" s="3386">
        <f>E149+F149+G149+H149+I149+J149+K149+L149</f>
        <v>0</v>
      </c>
      <c r="E149" s="3387">
        <v>0</v>
      </c>
      <c r="F149" s="3396">
        <f t="shared" ref="F149:L149" si="104">+F180+F207</f>
        <v>0</v>
      </c>
      <c r="G149" s="3396">
        <f t="shared" si="104"/>
        <v>0</v>
      </c>
      <c r="H149" s="3396">
        <f t="shared" si="104"/>
        <v>0</v>
      </c>
      <c r="I149" s="3396">
        <f t="shared" si="104"/>
        <v>0</v>
      </c>
      <c r="J149" s="3396">
        <f t="shared" si="104"/>
        <v>0</v>
      </c>
      <c r="K149" s="3396">
        <f t="shared" si="104"/>
        <v>0</v>
      </c>
      <c r="L149" s="3396">
        <f t="shared" si="104"/>
        <v>0</v>
      </c>
      <c r="M149" s="4050"/>
      <c r="N149" s="4050"/>
      <c r="O149" s="4203"/>
      <c r="P149" s="313"/>
    </row>
    <row r="150" spans="1:16" s="1508" customFormat="1" ht="13.5" customHeight="1">
      <c r="A150" s="4159"/>
      <c r="B150" s="3390" t="s">
        <v>18</v>
      </c>
      <c r="C150" s="4191"/>
      <c r="D150" s="3382">
        <f>+D151</f>
        <v>69250000</v>
      </c>
      <c r="E150" s="3383">
        <f>+E151</f>
        <v>219395</v>
      </c>
      <c r="F150" s="3383">
        <f>+F151</f>
        <v>1022720</v>
      </c>
      <c r="G150" s="3383">
        <f t="shared" ref="G150:L150" si="105">+G151</f>
        <v>2683185</v>
      </c>
      <c r="H150" s="3383">
        <f t="shared" si="105"/>
        <v>31793434</v>
      </c>
      <c r="I150" s="3383">
        <f t="shared" si="105"/>
        <v>33531266</v>
      </c>
      <c r="J150" s="3383">
        <f t="shared" si="105"/>
        <v>0</v>
      </c>
      <c r="K150" s="3383">
        <f t="shared" si="105"/>
        <v>0</v>
      </c>
      <c r="L150" s="3383">
        <f t="shared" si="105"/>
        <v>0</v>
      </c>
      <c r="M150" s="4050"/>
      <c r="N150" s="4050"/>
      <c r="O150" s="4203"/>
      <c r="P150" s="313"/>
    </row>
    <row r="151" spans="1:16" s="1508" customFormat="1" ht="14.25" customHeight="1" thickBot="1">
      <c r="A151" s="4160"/>
      <c r="B151" s="79" t="s">
        <v>21</v>
      </c>
      <c r="C151" s="4206"/>
      <c r="D151" s="3397">
        <f>E151+F151+G151+H151+I151+J151+K151+L151</f>
        <v>69250000</v>
      </c>
      <c r="E151" s="2164">
        <f t="shared" ref="E151:L151" si="106">+E167+E182+E209+E194</f>
        <v>219395</v>
      </c>
      <c r="F151" s="2164">
        <f t="shared" si="106"/>
        <v>1022720</v>
      </c>
      <c r="G151" s="2164">
        <f t="shared" si="106"/>
        <v>2683185</v>
      </c>
      <c r="H151" s="2164">
        <f t="shared" si="106"/>
        <v>31793434</v>
      </c>
      <c r="I151" s="2164">
        <f t="shared" si="106"/>
        <v>33531266</v>
      </c>
      <c r="J151" s="2164">
        <f t="shared" si="106"/>
        <v>0</v>
      </c>
      <c r="K151" s="2164">
        <f t="shared" si="106"/>
        <v>0</v>
      </c>
      <c r="L151" s="2164">
        <f t="shared" si="106"/>
        <v>0</v>
      </c>
      <c r="M151" s="4051"/>
      <c r="N151" s="4051"/>
      <c r="O151" s="4204"/>
      <c r="P151" s="313"/>
    </row>
    <row r="152" spans="1:16" s="1508" customFormat="1" ht="24" hidden="1" customHeight="1">
      <c r="A152" s="3081"/>
      <c r="B152" s="2165" t="s">
        <v>239</v>
      </c>
      <c r="C152" s="2166"/>
      <c r="D152" s="2167">
        <f t="shared" ref="D152:L152" si="107">+D168+D183+D195+D210</f>
        <v>18000000</v>
      </c>
      <c r="E152" s="2167">
        <f>+E168+E183+E195+E210</f>
        <v>219395</v>
      </c>
      <c r="F152" s="2167">
        <f t="shared" si="107"/>
        <v>1022720</v>
      </c>
      <c r="G152" s="2167">
        <f t="shared" si="107"/>
        <v>2683185</v>
      </c>
      <c r="H152" s="2167">
        <f t="shared" si="107"/>
        <v>6017646</v>
      </c>
      <c r="I152" s="2167">
        <f t="shared" si="107"/>
        <v>8057054</v>
      </c>
      <c r="J152" s="2167">
        <f t="shared" si="107"/>
        <v>0</v>
      </c>
      <c r="K152" s="2167">
        <f t="shared" si="107"/>
        <v>0</v>
      </c>
      <c r="L152" s="2167">
        <f t="shared" si="107"/>
        <v>0</v>
      </c>
      <c r="M152" s="2168"/>
      <c r="N152" s="2168"/>
      <c r="O152" s="2169"/>
      <c r="P152" s="313"/>
    </row>
    <row r="153" spans="1:16" s="1508" customFormat="1" ht="24" hidden="1" customHeight="1">
      <c r="A153" s="3081"/>
      <c r="B153" s="2170" t="s">
        <v>240</v>
      </c>
      <c r="C153" s="2166"/>
      <c r="D153" s="2163">
        <f>+D184</f>
        <v>10250000</v>
      </c>
      <c r="E153" s="2163">
        <v>0</v>
      </c>
      <c r="F153" s="2163">
        <f t="shared" ref="F153:L153" si="108">+F184</f>
        <v>0</v>
      </c>
      <c r="G153" s="2163">
        <f t="shared" si="108"/>
        <v>0</v>
      </c>
      <c r="H153" s="2163">
        <f t="shared" si="108"/>
        <v>5561535</v>
      </c>
      <c r="I153" s="2163">
        <f t="shared" si="108"/>
        <v>4688465</v>
      </c>
      <c r="J153" s="2163">
        <f t="shared" si="108"/>
        <v>0</v>
      </c>
      <c r="K153" s="2163">
        <f t="shared" si="108"/>
        <v>0</v>
      </c>
      <c r="L153" s="2163">
        <f t="shared" si="108"/>
        <v>0</v>
      </c>
      <c r="M153" s="2168"/>
      <c r="N153" s="2168"/>
      <c r="O153" s="2169"/>
      <c r="P153" s="313"/>
    </row>
    <row r="154" spans="1:16" s="1508" customFormat="1" ht="24" hidden="1" customHeight="1" thickBot="1">
      <c r="A154" s="3080"/>
      <c r="B154" s="2171" t="s">
        <v>241</v>
      </c>
      <c r="C154" s="2172"/>
      <c r="D154" s="2164">
        <f>+D211</f>
        <v>41000000</v>
      </c>
      <c r="E154" s="2164">
        <v>0</v>
      </c>
      <c r="F154" s="2164">
        <f t="shared" ref="F154:L154" si="109">+F211</f>
        <v>0</v>
      </c>
      <c r="G154" s="2164">
        <f t="shared" si="109"/>
        <v>0</v>
      </c>
      <c r="H154" s="2164">
        <f t="shared" si="109"/>
        <v>20214253</v>
      </c>
      <c r="I154" s="2164">
        <f t="shared" si="109"/>
        <v>20785747</v>
      </c>
      <c r="J154" s="2164">
        <f t="shared" si="109"/>
        <v>0</v>
      </c>
      <c r="K154" s="2164">
        <f t="shared" si="109"/>
        <v>0</v>
      </c>
      <c r="L154" s="2164">
        <f t="shared" si="109"/>
        <v>0</v>
      </c>
      <c r="M154" s="2173"/>
      <c r="N154" s="2173"/>
      <c r="O154" s="2174"/>
      <c r="P154" s="313"/>
    </row>
    <row r="155" spans="1:16" s="1508" customFormat="1" ht="18.75" hidden="1" customHeight="1">
      <c r="A155" s="4158" t="s">
        <v>383</v>
      </c>
      <c r="B155" s="2175" t="s">
        <v>244</v>
      </c>
      <c r="C155" s="2176" t="s">
        <v>109</v>
      </c>
      <c r="D155" s="2177"/>
      <c r="E155" s="2178"/>
      <c r="F155" s="2179"/>
      <c r="G155" s="2179"/>
      <c r="H155" s="2179"/>
      <c r="I155" s="2179"/>
      <c r="J155" s="2179"/>
      <c r="K155" s="2179"/>
      <c r="L155" s="2180"/>
      <c r="M155" s="2181"/>
      <c r="N155" s="2181"/>
      <c r="O155" s="2169"/>
      <c r="P155" s="313"/>
    </row>
    <row r="156" spans="1:16" s="1508" customFormat="1" ht="13.5" hidden="1" customHeight="1">
      <c r="A156" s="4159"/>
      <c r="B156" s="80" t="s">
        <v>10</v>
      </c>
      <c r="C156" s="2182"/>
      <c r="D156" s="1303">
        <f t="shared" ref="D156:D168" si="110">SUM(E156:L156)</f>
        <v>0</v>
      </c>
      <c r="E156" s="355">
        <v>0</v>
      </c>
      <c r="F156" s="355">
        <f t="shared" ref="F156:L156" si="111">+F157+F160</f>
        <v>0</v>
      </c>
      <c r="G156" s="355">
        <f t="shared" si="111"/>
        <v>0</v>
      </c>
      <c r="H156" s="355">
        <f t="shared" si="111"/>
        <v>0</v>
      </c>
      <c r="I156" s="355">
        <f t="shared" si="111"/>
        <v>0</v>
      </c>
      <c r="J156" s="355">
        <f t="shared" si="111"/>
        <v>0</v>
      </c>
      <c r="K156" s="355">
        <f t="shared" si="111"/>
        <v>0</v>
      </c>
      <c r="L156" s="355">
        <f t="shared" si="111"/>
        <v>0</v>
      </c>
      <c r="M156" s="358">
        <f t="shared" ref="M156:N162" si="112">SUM(D156:K156)</f>
        <v>0</v>
      </c>
      <c r="N156" s="358">
        <f t="shared" si="112"/>
        <v>0</v>
      </c>
      <c r="O156" s="2169"/>
      <c r="P156" s="313"/>
    </row>
    <row r="157" spans="1:16" s="1508" customFormat="1" ht="13.5" hidden="1" customHeight="1">
      <c r="A157" s="4159"/>
      <c r="B157" s="167" t="s">
        <v>24</v>
      </c>
      <c r="C157" s="4186" t="s">
        <v>251</v>
      </c>
      <c r="D157" s="2183">
        <f t="shared" si="110"/>
        <v>0</v>
      </c>
      <c r="E157" s="342">
        <v>0</v>
      </c>
      <c r="F157" s="342">
        <f t="shared" ref="F157:L157" si="113">+F158+F159</f>
        <v>0</v>
      </c>
      <c r="G157" s="342">
        <f t="shared" si="113"/>
        <v>0</v>
      </c>
      <c r="H157" s="342">
        <f t="shared" si="113"/>
        <v>0</v>
      </c>
      <c r="I157" s="342">
        <f t="shared" si="113"/>
        <v>0</v>
      </c>
      <c r="J157" s="342">
        <f t="shared" si="113"/>
        <v>0</v>
      </c>
      <c r="K157" s="342">
        <f t="shared" si="113"/>
        <v>0</v>
      </c>
      <c r="L157" s="342">
        <f t="shared" si="113"/>
        <v>0</v>
      </c>
      <c r="M157" s="358">
        <f t="shared" si="112"/>
        <v>0</v>
      </c>
      <c r="N157" s="358">
        <f t="shared" si="112"/>
        <v>0</v>
      </c>
      <c r="O157" s="2169"/>
      <c r="P157" s="313"/>
    </row>
    <row r="158" spans="1:16" s="1508" customFormat="1" ht="13.5" hidden="1" customHeight="1">
      <c r="A158" s="4159"/>
      <c r="B158" s="2184" t="s">
        <v>12</v>
      </c>
      <c r="C158" s="4149"/>
      <c r="D158" s="2185">
        <f t="shared" si="110"/>
        <v>0</v>
      </c>
      <c r="E158" s="2186"/>
      <c r="F158" s="2185">
        <f>1524390-1524390</f>
        <v>0</v>
      </c>
      <c r="G158" s="2185">
        <f>1840690-1840690</f>
        <v>0</v>
      </c>
      <c r="H158" s="2185"/>
      <c r="I158" s="2185"/>
      <c r="J158" s="2187"/>
      <c r="K158" s="2187"/>
      <c r="L158" s="2187"/>
      <c r="M158" s="2188">
        <f t="shared" si="112"/>
        <v>0</v>
      </c>
      <c r="N158" s="2188">
        <f t="shared" si="112"/>
        <v>0</v>
      </c>
      <c r="O158" s="2169"/>
      <c r="P158" s="313"/>
    </row>
    <row r="159" spans="1:16" s="1508" customFormat="1" ht="13.5" hidden="1" customHeight="1">
      <c r="A159" s="4159"/>
      <c r="B159" s="2184" t="s">
        <v>62</v>
      </c>
      <c r="C159" s="4149"/>
      <c r="D159" s="2189">
        <f t="shared" si="110"/>
        <v>0</v>
      </c>
      <c r="E159" s="2190"/>
      <c r="F159" s="2189"/>
      <c r="G159" s="2189"/>
      <c r="H159" s="2189"/>
      <c r="I159" s="2189"/>
      <c r="J159" s="2191"/>
      <c r="K159" s="2191"/>
      <c r="L159" s="2191"/>
      <c r="M159" s="2192">
        <f t="shared" si="112"/>
        <v>0</v>
      </c>
      <c r="N159" s="2192">
        <f t="shared" si="112"/>
        <v>0</v>
      </c>
      <c r="O159" s="2169"/>
      <c r="P159" s="313"/>
    </row>
    <row r="160" spans="1:16" s="1508" customFormat="1" ht="13.5" hidden="1" customHeight="1">
      <c r="A160" s="4159"/>
      <c r="B160" s="81" t="s">
        <v>18</v>
      </c>
      <c r="C160" s="4149"/>
      <c r="D160" s="2183">
        <f t="shared" si="110"/>
        <v>0</v>
      </c>
      <c r="E160" s="342">
        <v>0</v>
      </c>
      <c r="F160" s="342">
        <f t="shared" ref="F160:L160" si="114">+F161</f>
        <v>0</v>
      </c>
      <c r="G160" s="342">
        <f t="shared" si="114"/>
        <v>0</v>
      </c>
      <c r="H160" s="342">
        <f t="shared" si="114"/>
        <v>0</v>
      </c>
      <c r="I160" s="342">
        <f t="shared" si="114"/>
        <v>0</v>
      </c>
      <c r="J160" s="342">
        <f t="shared" si="114"/>
        <v>0</v>
      </c>
      <c r="K160" s="342">
        <f t="shared" si="114"/>
        <v>0</v>
      </c>
      <c r="L160" s="342">
        <f t="shared" si="114"/>
        <v>0</v>
      </c>
      <c r="M160" s="2193">
        <f t="shared" si="112"/>
        <v>0</v>
      </c>
      <c r="N160" s="2193">
        <f t="shared" si="112"/>
        <v>0</v>
      </c>
      <c r="O160" s="2169"/>
      <c r="P160" s="313"/>
    </row>
    <row r="161" spans="1:16" s="1508" customFormat="1" ht="13.5" hidden="1" customHeight="1">
      <c r="A161" s="4159"/>
      <c r="B161" s="2194" t="s">
        <v>21</v>
      </c>
      <c r="C161" s="4149"/>
      <c r="D161" s="2185">
        <f t="shared" si="110"/>
        <v>0</v>
      </c>
      <c r="E161" s="2186">
        <v>0</v>
      </c>
      <c r="F161" s="2186">
        <f t="shared" ref="F161:L161" si="115">+F162</f>
        <v>0</v>
      </c>
      <c r="G161" s="2186">
        <f t="shared" si="115"/>
        <v>0</v>
      </c>
      <c r="H161" s="2186">
        <f t="shared" si="115"/>
        <v>0</v>
      </c>
      <c r="I161" s="2186">
        <f t="shared" si="115"/>
        <v>0</v>
      </c>
      <c r="J161" s="2186">
        <f t="shared" si="115"/>
        <v>0</v>
      </c>
      <c r="K161" s="2186">
        <f t="shared" si="115"/>
        <v>0</v>
      </c>
      <c r="L161" s="2186">
        <f t="shared" si="115"/>
        <v>0</v>
      </c>
      <c r="M161" s="2188">
        <f t="shared" si="112"/>
        <v>0</v>
      </c>
      <c r="N161" s="2188">
        <f t="shared" si="112"/>
        <v>0</v>
      </c>
      <c r="O161" s="2169"/>
      <c r="P161" s="313"/>
    </row>
    <row r="162" spans="1:16" s="1508" customFormat="1" ht="24.75" hidden="1" customHeight="1">
      <c r="A162" s="4159"/>
      <c r="B162" s="2195" t="s">
        <v>245</v>
      </c>
      <c r="C162" s="4150"/>
      <c r="D162" s="2189">
        <f t="shared" si="110"/>
        <v>0</v>
      </c>
      <c r="E162" s="2190"/>
      <c r="F162" s="2189">
        <f>624800-624800</f>
        <v>0</v>
      </c>
      <c r="G162" s="2189">
        <f>312400-312400</f>
        <v>0</v>
      </c>
      <c r="H162" s="2189"/>
      <c r="I162" s="2189"/>
      <c r="J162" s="2191"/>
      <c r="K162" s="2191"/>
      <c r="L162" s="2189"/>
      <c r="M162" s="2192">
        <f t="shared" si="112"/>
        <v>0</v>
      </c>
      <c r="N162" s="2192">
        <f t="shared" si="112"/>
        <v>0</v>
      </c>
      <c r="O162" s="2169"/>
      <c r="P162" s="313"/>
    </row>
    <row r="163" spans="1:16" s="1508" customFormat="1" ht="13.5" hidden="1" customHeight="1">
      <c r="A163" s="4159"/>
      <c r="B163" s="21" t="s">
        <v>242</v>
      </c>
      <c r="C163" s="170"/>
      <c r="D163" s="2196">
        <f t="shared" si="110"/>
        <v>0</v>
      </c>
      <c r="E163" s="2196">
        <v>0</v>
      </c>
      <c r="F163" s="2196">
        <f t="shared" ref="F163:L163" si="116">+F164+F166</f>
        <v>0</v>
      </c>
      <c r="G163" s="2196">
        <f t="shared" si="116"/>
        <v>0</v>
      </c>
      <c r="H163" s="2196">
        <f t="shared" si="116"/>
        <v>0</v>
      </c>
      <c r="I163" s="2196">
        <f t="shared" si="116"/>
        <v>0</v>
      </c>
      <c r="J163" s="2196">
        <f t="shared" si="116"/>
        <v>0</v>
      </c>
      <c r="K163" s="2196">
        <f t="shared" si="116"/>
        <v>0</v>
      </c>
      <c r="L163" s="2196">
        <f t="shared" si="116"/>
        <v>0</v>
      </c>
      <c r="M163" s="4052" t="s">
        <v>61</v>
      </c>
      <c r="N163" s="4052" t="s">
        <v>61</v>
      </c>
      <c r="O163" s="2169"/>
      <c r="P163" s="313"/>
    </row>
    <row r="164" spans="1:16" s="1508" customFormat="1" ht="13.5" hidden="1" customHeight="1">
      <c r="A164" s="4159"/>
      <c r="B164" s="167" t="s">
        <v>24</v>
      </c>
      <c r="C164" s="4186" t="s">
        <v>251</v>
      </c>
      <c r="D164" s="2197">
        <f t="shared" si="110"/>
        <v>0</v>
      </c>
      <c r="E164" s="2198">
        <v>0</v>
      </c>
      <c r="F164" s="2198">
        <f t="shared" ref="F164:L164" si="117">+F165</f>
        <v>0</v>
      </c>
      <c r="G164" s="2198">
        <f t="shared" si="117"/>
        <v>0</v>
      </c>
      <c r="H164" s="2198">
        <f t="shared" si="117"/>
        <v>0</v>
      </c>
      <c r="I164" s="2198">
        <f t="shared" si="117"/>
        <v>0</v>
      </c>
      <c r="J164" s="2198">
        <f t="shared" si="117"/>
        <v>0</v>
      </c>
      <c r="K164" s="2198">
        <f t="shared" si="117"/>
        <v>0</v>
      </c>
      <c r="L164" s="2198">
        <f t="shared" si="117"/>
        <v>0</v>
      </c>
      <c r="M164" s="4042"/>
      <c r="N164" s="4042"/>
      <c r="O164" s="2169"/>
      <c r="P164" s="313"/>
    </row>
    <row r="165" spans="1:16" s="1508" customFormat="1" ht="13.5" hidden="1" customHeight="1">
      <c r="A165" s="4159"/>
      <c r="B165" s="2184" t="s">
        <v>62</v>
      </c>
      <c r="C165" s="4150"/>
      <c r="D165" s="2199">
        <f t="shared" si="110"/>
        <v>0</v>
      </c>
      <c r="E165" s="392"/>
      <c r="F165" s="2200"/>
      <c r="G165" s="2200"/>
      <c r="H165" s="2200"/>
      <c r="I165" s="2200"/>
      <c r="J165" s="2200"/>
      <c r="K165" s="2200"/>
      <c r="L165" s="2200"/>
      <c r="M165" s="4042"/>
      <c r="N165" s="4042"/>
      <c r="O165" s="2169"/>
      <c r="P165" s="313"/>
    </row>
    <row r="166" spans="1:16" s="1508" customFormat="1" ht="12" hidden="1" customHeight="1">
      <c r="A166" s="4159"/>
      <c r="B166" s="81" t="s">
        <v>18</v>
      </c>
      <c r="C166" s="4183" t="s">
        <v>211</v>
      </c>
      <c r="D166" s="2201">
        <f t="shared" si="110"/>
        <v>0</v>
      </c>
      <c r="E166" s="2202">
        <v>0</v>
      </c>
      <c r="F166" s="2202">
        <f t="shared" ref="F166:L166" si="118">+F167</f>
        <v>0</v>
      </c>
      <c r="G166" s="2202">
        <f t="shared" si="118"/>
        <v>0</v>
      </c>
      <c r="H166" s="2202">
        <f t="shared" si="118"/>
        <v>0</v>
      </c>
      <c r="I166" s="2202">
        <f t="shared" si="118"/>
        <v>0</v>
      </c>
      <c r="J166" s="2202">
        <f t="shared" si="118"/>
        <v>0</v>
      </c>
      <c r="K166" s="2202">
        <f t="shared" si="118"/>
        <v>0</v>
      </c>
      <c r="L166" s="2202">
        <f t="shared" si="118"/>
        <v>0</v>
      </c>
      <c r="M166" s="4042"/>
      <c r="N166" s="4042"/>
      <c r="O166" s="2169"/>
      <c r="P166" s="313"/>
    </row>
    <row r="167" spans="1:16" s="1508" customFormat="1" ht="15" hidden="1" customHeight="1">
      <c r="A167" s="4159"/>
      <c r="B167" s="2194" t="s">
        <v>21</v>
      </c>
      <c r="C167" s="4184"/>
      <c r="D167" s="2199">
        <f t="shared" si="110"/>
        <v>0</v>
      </c>
      <c r="E167" s="392">
        <v>0</v>
      </c>
      <c r="F167" s="392">
        <f t="shared" ref="F167:L167" si="119">+F168</f>
        <v>0</v>
      </c>
      <c r="G167" s="392">
        <f t="shared" si="119"/>
        <v>0</v>
      </c>
      <c r="H167" s="392">
        <f t="shared" si="119"/>
        <v>0</v>
      </c>
      <c r="I167" s="392">
        <f t="shared" si="119"/>
        <v>0</v>
      </c>
      <c r="J167" s="392">
        <f t="shared" si="119"/>
        <v>0</v>
      </c>
      <c r="K167" s="392">
        <f t="shared" si="119"/>
        <v>0</v>
      </c>
      <c r="L167" s="392">
        <f t="shared" si="119"/>
        <v>0</v>
      </c>
      <c r="M167" s="4042"/>
      <c r="N167" s="4042"/>
      <c r="O167" s="2169"/>
      <c r="P167" s="313"/>
    </row>
    <row r="168" spans="1:16" s="1508" customFormat="1" ht="24" hidden="1" customHeight="1">
      <c r="A168" s="2613"/>
      <c r="B168" s="2203" t="s">
        <v>239</v>
      </c>
      <c r="C168" s="4185"/>
      <c r="D168" s="2204">
        <f t="shared" si="110"/>
        <v>0</v>
      </c>
      <c r="E168" s="2205"/>
      <c r="F168" s="2204">
        <f>624800-624800</f>
        <v>0</v>
      </c>
      <c r="G168" s="2204">
        <f>312400-312400</f>
        <v>0</v>
      </c>
      <c r="H168" s="2204"/>
      <c r="I168" s="2204"/>
      <c r="J168" s="2204"/>
      <c r="K168" s="2204"/>
      <c r="L168" s="2204"/>
      <c r="M168" s="4194"/>
      <c r="N168" s="4194"/>
      <c r="O168" s="2169"/>
      <c r="P168" s="313"/>
    </row>
    <row r="169" spans="1:16" s="1508" customFormat="1" ht="15.75" hidden="1" customHeight="1">
      <c r="A169" s="4195" t="s">
        <v>384</v>
      </c>
      <c r="B169" s="3398" t="s">
        <v>244</v>
      </c>
      <c r="C169" s="3399" t="s">
        <v>81</v>
      </c>
      <c r="D169" s="3400"/>
      <c r="E169" s="3401"/>
      <c r="F169" s="3402"/>
      <c r="G169" s="3402"/>
      <c r="H169" s="3402"/>
      <c r="I169" s="3402"/>
      <c r="J169" s="3402"/>
      <c r="K169" s="3402"/>
      <c r="L169" s="3403"/>
      <c r="M169" s="3404"/>
      <c r="N169" s="3404"/>
      <c r="O169" s="2169"/>
      <c r="P169" s="313"/>
    </row>
    <row r="170" spans="1:16" s="1508" customFormat="1" ht="13.5" hidden="1" customHeight="1">
      <c r="A170" s="4159"/>
      <c r="B170" s="183" t="s">
        <v>10</v>
      </c>
      <c r="C170" s="3405"/>
      <c r="D170" s="395">
        <f t="shared" ref="D170:D177" si="120">SUM(E170:L170)</f>
        <v>33768539</v>
      </c>
      <c r="E170" s="3406">
        <f t="shared" ref="E170" si="121">+E171+E174</f>
        <v>360377</v>
      </c>
      <c r="F170" s="3406">
        <f t="shared" ref="F170:L170" si="122">+F171+F174</f>
        <v>1019503</v>
      </c>
      <c r="G170" s="3406">
        <f t="shared" si="122"/>
        <v>3203290</v>
      </c>
      <c r="H170" s="3406">
        <f t="shared" si="122"/>
        <v>15258318</v>
      </c>
      <c r="I170" s="3406">
        <f t="shared" si="122"/>
        <v>13927051</v>
      </c>
      <c r="J170" s="3406">
        <f t="shared" si="122"/>
        <v>0</v>
      </c>
      <c r="K170" s="3406">
        <f t="shared" si="122"/>
        <v>0</v>
      </c>
      <c r="L170" s="3406">
        <f t="shared" si="122"/>
        <v>0</v>
      </c>
      <c r="M170" s="3381">
        <f>+M171+M174</f>
        <v>33408162</v>
      </c>
      <c r="N170" s="3381">
        <f>+N171+N174</f>
        <v>32388659</v>
      </c>
      <c r="O170" s="2169"/>
      <c r="P170" s="313"/>
    </row>
    <row r="171" spans="1:16" s="1508" customFormat="1" ht="14.25" hidden="1" customHeight="1">
      <c r="A171" s="4159"/>
      <c r="B171" s="222" t="s">
        <v>24</v>
      </c>
      <c r="C171" s="4148" t="s">
        <v>251</v>
      </c>
      <c r="D171" s="3407">
        <f t="shared" si="120"/>
        <v>5518539</v>
      </c>
      <c r="E171" s="3408">
        <f t="shared" ref="E171" si="123">+E172+E173</f>
        <v>6785</v>
      </c>
      <c r="F171" s="3408">
        <f t="shared" ref="F171:L171" si="124">+F172+F173</f>
        <v>32934</v>
      </c>
      <c r="G171" s="3408">
        <f t="shared" si="124"/>
        <v>38517</v>
      </c>
      <c r="H171" s="3408">
        <f t="shared" si="124"/>
        <v>4160725</v>
      </c>
      <c r="I171" s="3408">
        <f t="shared" si="124"/>
        <v>1279578</v>
      </c>
      <c r="J171" s="3408">
        <f t="shared" si="124"/>
        <v>0</v>
      </c>
      <c r="K171" s="3408">
        <f t="shared" si="124"/>
        <v>0</v>
      </c>
      <c r="L171" s="3408">
        <f t="shared" si="124"/>
        <v>0</v>
      </c>
      <c r="M171" s="3409">
        <f>+M172+M173</f>
        <v>5511754</v>
      </c>
      <c r="N171" s="3409">
        <f>+N172+N173</f>
        <v>5478820</v>
      </c>
      <c r="O171" s="2169"/>
      <c r="P171" s="313"/>
    </row>
    <row r="172" spans="1:16" s="1508" customFormat="1" ht="15" hidden="1" customHeight="1">
      <c r="A172" s="4159"/>
      <c r="B172" s="2184" t="s">
        <v>12</v>
      </c>
      <c r="C172" s="4149"/>
      <c r="D172" s="3410">
        <f t="shared" si="120"/>
        <v>5518539</v>
      </c>
      <c r="E172" s="3411">
        <v>6785</v>
      </c>
      <c r="F172" s="3410">
        <f>2771900+1650960-4222860-196679+14324+15289</f>
        <v>32934</v>
      </c>
      <c r="G172" s="3410">
        <f>1331570+1528290+1746993-424083+157710-2889542-1412421</f>
        <v>38517</v>
      </c>
      <c r="H172" s="3410">
        <f>2870218+1290507</f>
        <v>4160725</v>
      </c>
      <c r="I172" s="3410">
        <f>5000+1274578</f>
        <v>1279578</v>
      </c>
      <c r="J172" s="3410"/>
      <c r="K172" s="3410"/>
      <c r="L172" s="3410"/>
      <c r="M172" s="3412">
        <f>SUM(F172:K172)</f>
        <v>5511754</v>
      </c>
      <c r="N172" s="3412">
        <f>SUM(G172:L172)</f>
        <v>5478820</v>
      </c>
      <c r="O172" s="2169"/>
      <c r="P172" s="313"/>
    </row>
    <row r="173" spans="1:16" s="1508" customFormat="1" ht="17.25" hidden="1" customHeight="1">
      <c r="A173" s="4159"/>
      <c r="B173" s="2184" t="s">
        <v>62</v>
      </c>
      <c r="C173" s="4149"/>
      <c r="D173" s="3413">
        <f t="shared" si="120"/>
        <v>0</v>
      </c>
      <c r="E173" s="3414"/>
      <c r="F173" s="3413"/>
      <c r="G173" s="3413"/>
      <c r="H173" s="3413"/>
      <c r="I173" s="3413"/>
      <c r="J173" s="3413"/>
      <c r="K173" s="3413"/>
      <c r="L173" s="3413"/>
      <c r="M173" s="3412">
        <f>SUM(F173:K173)</f>
        <v>0</v>
      </c>
      <c r="N173" s="3412">
        <f>SUM(G173:L173)</f>
        <v>0</v>
      </c>
      <c r="O173" s="2169"/>
      <c r="P173" s="313"/>
    </row>
    <row r="174" spans="1:16" s="272" customFormat="1" ht="15.75" hidden="1" customHeight="1">
      <c r="A174" s="4159"/>
      <c r="B174" s="759" t="s">
        <v>18</v>
      </c>
      <c r="C174" s="4149"/>
      <c r="D174" s="3407">
        <f t="shared" si="120"/>
        <v>28250000</v>
      </c>
      <c r="E174" s="3407">
        <f>+E175</f>
        <v>353592</v>
      </c>
      <c r="F174" s="3407">
        <f>+F175</f>
        <v>986569</v>
      </c>
      <c r="G174" s="3407">
        <f t="shared" ref="G174:L174" si="125">+G175</f>
        <v>3164773</v>
      </c>
      <c r="H174" s="3407">
        <f t="shared" si="125"/>
        <v>11097593</v>
      </c>
      <c r="I174" s="3407">
        <f t="shared" si="125"/>
        <v>12647473</v>
      </c>
      <c r="J174" s="3407">
        <f t="shared" si="125"/>
        <v>0</v>
      </c>
      <c r="K174" s="3407">
        <f t="shared" si="125"/>
        <v>0</v>
      </c>
      <c r="L174" s="3407">
        <f t="shared" si="125"/>
        <v>0</v>
      </c>
      <c r="M174" s="3409">
        <f>+M175</f>
        <v>27896408</v>
      </c>
      <c r="N174" s="3409">
        <f>+N175</f>
        <v>26909839</v>
      </c>
      <c r="O174" s="2169"/>
      <c r="P174" s="353"/>
    </row>
    <row r="175" spans="1:16" s="1508" customFormat="1" ht="13.5" hidden="1" customHeight="1" thickBot="1">
      <c r="A175" s="4160"/>
      <c r="B175" s="2194" t="s">
        <v>21</v>
      </c>
      <c r="C175" s="4149"/>
      <c r="D175" s="3410">
        <f t="shared" si="120"/>
        <v>28250000</v>
      </c>
      <c r="E175" s="3411">
        <f>+E176+E177</f>
        <v>353592</v>
      </c>
      <c r="F175" s="3411">
        <f>+F176+F177</f>
        <v>986569</v>
      </c>
      <c r="G175" s="3411">
        <f t="shared" ref="G175:L175" si="126">+G176+G177</f>
        <v>3164773</v>
      </c>
      <c r="H175" s="3411">
        <f t="shared" si="126"/>
        <v>11097593</v>
      </c>
      <c r="I175" s="3411">
        <f t="shared" si="126"/>
        <v>12647473</v>
      </c>
      <c r="J175" s="3411">
        <f t="shared" si="126"/>
        <v>0</v>
      </c>
      <c r="K175" s="3411">
        <f t="shared" si="126"/>
        <v>0</v>
      </c>
      <c r="L175" s="3411">
        <f t="shared" si="126"/>
        <v>0</v>
      </c>
      <c r="M175" s="3412">
        <f>+M176+M177</f>
        <v>27896408</v>
      </c>
      <c r="N175" s="3412">
        <f>+N176+N177</f>
        <v>26909839</v>
      </c>
      <c r="O175" s="2169"/>
      <c r="P175" s="313"/>
    </row>
    <row r="176" spans="1:16" s="1508" customFormat="1" ht="27" hidden="1" customHeight="1" thickBot="1">
      <c r="A176" s="4120"/>
      <c r="B176" s="2195" t="s">
        <v>239</v>
      </c>
      <c r="C176" s="4149"/>
      <c r="D176" s="3413">
        <f t="shared" si="120"/>
        <v>18000000</v>
      </c>
      <c r="E176" s="3413">
        <f>360377-6785</f>
        <v>353592</v>
      </c>
      <c r="F176" s="3413">
        <f>6627800+624800-3893137-346286-1929747-81572-15289</f>
        <v>986569</v>
      </c>
      <c r="G176" s="3413">
        <f>8003000+624800+1372200+2609637-7314788-2168789</f>
        <v>3126060</v>
      </c>
      <c r="H176" s="3413">
        <f>3584737+432072+5314788+1929747+81572-5768145</f>
        <v>5574771</v>
      </c>
      <c r="I176" s="3413">
        <v>7959008</v>
      </c>
      <c r="J176" s="3413">
        <v>0</v>
      </c>
      <c r="K176" s="3413">
        <v>0</v>
      </c>
      <c r="L176" s="3413">
        <v>0</v>
      </c>
      <c r="M176" s="3412">
        <f>SUM(F176:K176)</f>
        <v>17646408</v>
      </c>
      <c r="N176" s="3412">
        <f>SUM(G176:L176)</f>
        <v>16659839</v>
      </c>
      <c r="O176" s="2169"/>
      <c r="P176" s="313"/>
    </row>
    <row r="177" spans="1:16" s="1508" customFormat="1" ht="21.75" hidden="1" customHeight="1" thickBot="1">
      <c r="A177" s="4120"/>
      <c r="B177" s="2195" t="s">
        <v>240</v>
      </c>
      <c r="C177" s="4150"/>
      <c r="D177" s="3413">
        <f t="shared" si="120"/>
        <v>10250000</v>
      </c>
      <c r="E177" s="3414">
        <v>0</v>
      </c>
      <c r="F177" s="3413">
        <f>3000000-3000000</f>
        <v>0</v>
      </c>
      <c r="G177" s="3413">
        <f>7000000+143000-583000-2342700-2034502-2144085</f>
        <v>38713</v>
      </c>
      <c r="H177" s="3413">
        <f>2857000+833000+2295496+2081706-2544380</f>
        <v>5522822</v>
      </c>
      <c r="I177" s="3413">
        <v>4688465</v>
      </c>
      <c r="J177" s="3413">
        <v>0</v>
      </c>
      <c r="K177" s="3413">
        <v>0</v>
      </c>
      <c r="L177" s="3413">
        <v>0</v>
      </c>
      <c r="M177" s="3412">
        <f>SUM(F177:K177)</f>
        <v>10250000</v>
      </c>
      <c r="N177" s="3412">
        <f>SUM(G177:L177)</f>
        <v>10250000</v>
      </c>
      <c r="O177" s="2169"/>
      <c r="P177" s="313"/>
    </row>
    <row r="178" spans="1:16" s="1508" customFormat="1" ht="17.25" hidden="1" customHeight="1" thickBot="1">
      <c r="A178" s="4120"/>
      <c r="B178" s="183" t="s">
        <v>242</v>
      </c>
      <c r="C178" s="170"/>
      <c r="D178" s="3406">
        <f t="shared" ref="D178:L178" si="127">+D179+D181</f>
        <v>28250000</v>
      </c>
      <c r="E178" s="3406">
        <f t="shared" ref="E178" si="128">+E179+E181</f>
        <v>219395</v>
      </c>
      <c r="F178" s="3406">
        <f t="shared" si="127"/>
        <v>1022720</v>
      </c>
      <c r="G178" s="3406">
        <f t="shared" si="127"/>
        <v>2683185</v>
      </c>
      <c r="H178" s="3406">
        <f t="shared" si="127"/>
        <v>11579181</v>
      </c>
      <c r="I178" s="3406">
        <f t="shared" si="127"/>
        <v>12745519</v>
      </c>
      <c r="J178" s="3406">
        <f t="shared" si="127"/>
        <v>0</v>
      </c>
      <c r="K178" s="3406">
        <f t="shared" si="127"/>
        <v>0</v>
      </c>
      <c r="L178" s="3406">
        <f t="shared" si="127"/>
        <v>0</v>
      </c>
      <c r="M178" s="4192" t="s">
        <v>61</v>
      </c>
      <c r="N178" s="4192" t="s">
        <v>61</v>
      </c>
      <c r="O178" s="2169"/>
      <c r="P178" s="313"/>
    </row>
    <row r="179" spans="1:16" s="1508" customFormat="1" ht="13.5" hidden="1" customHeight="1" thickBot="1">
      <c r="A179" s="4120"/>
      <c r="B179" s="222" t="s">
        <v>24</v>
      </c>
      <c r="C179" s="4148" t="s">
        <v>251</v>
      </c>
      <c r="D179" s="3407">
        <f t="shared" ref="D179:D184" si="129">SUM(E179:L179)</f>
        <v>0</v>
      </c>
      <c r="E179" s="3408">
        <f t="shared" ref="E179:L179" si="130">+E180</f>
        <v>0</v>
      </c>
      <c r="F179" s="3408">
        <f t="shared" si="130"/>
        <v>0</v>
      </c>
      <c r="G179" s="3408">
        <f t="shared" si="130"/>
        <v>0</v>
      </c>
      <c r="H179" s="3408">
        <f t="shared" si="130"/>
        <v>0</v>
      </c>
      <c r="I179" s="3408">
        <f t="shared" si="130"/>
        <v>0</v>
      </c>
      <c r="J179" s="3408">
        <f t="shared" si="130"/>
        <v>0</v>
      </c>
      <c r="K179" s="3408">
        <f t="shared" si="130"/>
        <v>0</v>
      </c>
      <c r="L179" s="3408">
        <f t="shared" si="130"/>
        <v>0</v>
      </c>
      <c r="M179" s="4050"/>
      <c r="N179" s="4050"/>
      <c r="O179" s="2169"/>
      <c r="P179" s="313"/>
    </row>
    <row r="180" spans="1:16" s="1508" customFormat="1" ht="15" hidden="1" customHeight="1" thickBot="1">
      <c r="A180" s="4120"/>
      <c r="B180" s="2184" t="s">
        <v>62</v>
      </c>
      <c r="C180" s="4150"/>
      <c r="D180" s="3413">
        <f t="shared" si="129"/>
        <v>0</v>
      </c>
      <c r="E180" s="3413"/>
      <c r="F180" s="3413"/>
      <c r="G180" s="3413"/>
      <c r="H180" s="3413"/>
      <c r="I180" s="3413"/>
      <c r="J180" s="3413"/>
      <c r="K180" s="3413"/>
      <c r="L180" s="3413"/>
      <c r="M180" s="4050"/>
      <c r="N180" s="4050"/>
      <c r="O180" s="2169"/>
      <c r="P180" s="313"/>
    </row>
    <row r="181" spans="1:16" s="1508" customFormat="1" ht="18.75" hidden="1" customHeight="1" thickBot="1">
      <c r="A181" s="4120"/>
      <c r="B181" s="759" t="s">
        <v>18</v>
      </c>
      <c r="C181" s="4148" t="s">
        <v>257</v>
      </c>
      <c r="D181" s="3407">
        <f t="shared" si="129"/>
        <v>28250000</v>
      </c>
      <c r="E181" s="3408">
        <f t="shared" ref="E181:L181" si="131">+E182</f>
        <v>219395</v>
      </c>
      <c r="F181" s="3408">
        <f t="shared" si="131"/>
        <v>1022720</v>
      </c>
      <c r="G181" s="3408">
        <f t="shared" si="131"/>
        <v>2683185</v>
      </c>
      <c r="H181" s="3408">
        <f t="shared" si="131"/>
        <v>11579181</v>
      </c>
      <c r="I181" s="3408">
        <f t="shared" si="131"/>
        <v>12745519</v>
      </c>
      <c r="J181" s="3408">
        <f t="shared" si="131"/>
        <v>0</v>
      </c>
      <c r="K181" s="3408">
        <f t="shared" si="131"/>
        <v>0</v>
      </c>
      <c r="L181" s="3408">
        <f t="shared" si="131"/>
        <v>0</v>
      </c>
      <c r="M181" s="4050"/>
      <c r="N181" s="4050"/>
      <c r="O181" s="2169"/>
      <c r="P181" s="313"/>
    </row>
    <row r="182" spans="1:16" s="1508" customFormat="1" ht="18" hidden="1" customHeight="1" thickBot="1">
      <c r="A182" s="4120"/>
      <c r="B182" s="412" t="s">
        <v>21</v>
      </c>
      <c r="C182" s="4155"/>
      <c r="D182" s="3410">
        <f t="shared" si="129"/>
        <v>28250000</v>
      </c>
      <c r="E182" s="3410">
        <f t="shared" ref="E182:L182" si="132">+E183+E184</f>
        <v>219395</v>
      </c>
      <c r="F182" s="3410">
        <f t="shared" si="132"/>
        <v>1022720</v>
      </c>
      <c r="G182" s="3410">
        <f t="shared" si="132"/>
        <v>2683185</v>
      </c>
      <c r="H182" s="3410">
        <f t="shared" si="132"/>
        <v>11579181</v>
      </c>
      <c r="I182" s="3410">
        <f t="shared" si="132"/>
        <v>12745519</v>
      </c>
      <c r="J182" s="3410">
        <f t="shared" si="132"/>
        <v>0</v>
      </c>
      <c r="K182" s="3410">
        <f t="shared" si="132"/>
        <v>0</v>
      </c>
      <c r="L182" s="3410">
        <f t="shared" si="132"/>
        <v>0</v>
      </c>
      <c r="M182" s="4050"/>
      <c r="N182" s="4050"/>
      <c r="O182" s="2169"/>
      <c r="P182" s="313"/>
    </row>
    <row r="183" spans="1:16" s="1508" customFormat="1" ht="22.5" hidden="1" customHeight="1" thickBot="1">
      <c r="A183" s="2801"/>
      <c r="B183" s="2165" t="s">
        <v>246</v>
      </c>
      <c r="C183" s="3415" t="s">
        <v>211</v>
      </c>
      <c r="D183" s="3413">
        <f t="shared" si="129"/>
        <v>18000000</v>
      </c>
      <c r="E183" s="3413">
        <f>226180-6785</f>
        <v>219395</v>
      </c>
      <c r="F183" s="3413">
        <f>6627800+624800-3893137-212089-2062295-62359</f>
        <v>1022720</v>
      </c>
      <c r="G183" s="3413">
        <f>8003000+624800+1372200+2609637-7314788-2611664</f>
        <v>2683185</v>
      </c>
      <c r="H183" s="3413">
        <f>3584737+432072+5314788+2062295-50976-5325270</f>
        <v>6017646</v>
      </c>
      <c r="I183" s="3413">
        <f>113335+7943719</f>
        <v>8057054</v>
      </c>
      <c r="J183" s="3413"/>
      <c r="K183" s="3413"/>
      <c r="L183" s="3413"/>
      <c r="M183" s="4050"/>
      <c r="N183" s="4050"/>
      <c r="O183" s="2169"/>
      <c r="P183" s="313"/>
    </row>
    <row r="184" spans="1:16" s="1508" customFormat="1" ht="24" hidden="1" customHeight="1" thickBot="1">
      <c r="A184" s="2801"/>
      <c r="B184" s="2195" t="s">
        <v>247</v>
      </c>
      <c r="C184" s="3415" t="s">
        <v>191</v>
      </c>
      <c r="D184" s="3410">
        <f t="shared" si="129"/>
        <v>10250000</v>
      </c>
      <c r="E184" s="3411"/>
      <c r="F184" s="3410">
        <f>3000000-3000000</f>
        <v>0</v>
      </c>
      <c r="G184" s="3410">
        <f>7000000+143000-583000-2342700-2034502-2182798</f>
        <v>0</v>
      </c>
      <c r="H184" s="3410">
        <f>2857000+833000+2295496+2081706-2505667</f>
        <v>5561535</v>
      </c>
      <c r="I184" s="3410">
        <v>4688465</v>
      </c>
      <c r="J184" s="3410"/>
      <c r="K184" s="3410"/>
      <c r="L184" s="3410"/>
      <c r="M184" s="4193"/>
      <c r="N184" s="4193"/>
      <c r="O184" s="2169"/>
      <c r="P184" s="313"/>
    </row>
    <row r="185" spans="1:16" s="1508" customFormat="1" ht="15" hidden="1" customHeight="1" thickBot="1">
      <c r="A185" s="4120" t="s">
        <v>263</v>
      </c>
      <c r="B185" s="2175" t="s">
        <v>248</v>
      </c>
      <c r="C185" s="2176" t="s">
        <v>109</v>
      </c>
      <c r="D185" s="2206"/>
      <c r="E185" s="2207"/>
      <c r="F185" s="2208"/>
      <c r="G185" s="2208"/>
      <c r="H185" s="2208"/>
      <c r="I185" s="2208"/>
      <c r="J185" s="2208"/>
      <c r="K185" s="2208"/>
      <c r="L185" s="2209"/>
      <c r="M185" s="2210"/>
      <c r="N185" s="2210"/>
      <c r="O185" s="2169"/>
      <c r="P185" s="313"/>
    </row>
    <row r="186" spans="1:16" s="1508" customFormat="1" ht="13.5" hidden="1" customHeight="1" thickBot="1">
      <c r="A186" s="4120"/>
      <c r="B186" s="2810" t="s">
        <v>10</v>
      </c>
      <c r="C186" s="2211"/>
      <c r="D186" s="1303">
        <f>+D187+D189</f>
        <v>0</v>
      </c>
      <c r="E186" s="1303">
        <v>0</v>
      </c>
      <c r="F186" s="1303">
        <f t="shared" ref="F186:L186" si="133">+F187+F189</f>
        <v>0</v>
      </c>
      <c r="G186" s="1303">
        <f t="shared" si="133"/>
        <v>0</v>
      </c>
      <c r="H186" s="1303">
        <f t="shared" si="133"/>
        <v>0</v>
      </c>
      <c r="I186" s="1303">
        <f t="shared" si="133"/>
        <v>0</v>
      </c>
      <c r="J186" s="1303">
        <f t="shared" si="133"/>
        <v>0</v>
      </c>
      <c r="K186" s="1303">
        <f t="shared" si="133"/>
        <v>0</v>
      </c>
      <c r="L186" s="1303">
        <f t="shared" si="133"/>
        <v>0</v>
      </c>
      <c r="M186" s="2212">
        <f>+M187+M189</f>
        <v>0</v>
      </c>
      <c r="N186" s="2212">
        <f>+N187+N189</f>
        <v>0</v>
      </c>
      <c r="O186" s="2169"/>
      <c r="P186" s="313"/>
    </row>
    <row r="187" spans="1:16" s="1508" customFormat="1" ht="13.5" hidden="1" customHeight="1" thickBot="1">
      <c r="A187" s="4120"/>
      <c r="B187" s="2811" t="s">
        <v>24</v>
      </c>
      <c r="C187" s="4197" t="s">
        <v>251</v>
      </c>
      <c r="D187" s="2197">
        <f>SUM(E187:L187)</f>
        <v>0</v>
      </c>
      <c r="E187" s="2198">
        <v>0</v>
      </c>
      <c r="F187" s="2198">
        <f t="shared" ref="F187:L187" si="134">+F188</f>
        <v>0</v>
      </c>
      <c r="G187" s="2198">
        <f t="shared" si="134"/>
        <v>0</v>
      </c>
      <c r="H187" s="2198">
        <f t="shared" si="134"/>
        <v>0</v>
      </c>
      <c r="I187" s="2198">
        <f t="shared" si="134"/>
        <v>0</v>
      </c>
      <c r="J187" s="2198">
        <f t="shared" si="134"/>
        <v>0</v>
      </c>
      <c r="K187" s="2198">
        <f t="shared" si="134"/>
        <v>0</v>
      </c>
      <c r="L187" s="2198">
        <f t="shared" si="134"/>
        <v>0</v>
      </c>
      <c r="M187" s="2213">
        <f t="shared" ref="M187:N191" si="135">SUM(D187:K187)</f>
        <v>0</v>
      </c>
      <c r="N187" s="2213">
        <f t="shared" si="135"/>
        <v>0</v>
      </c>
      <c r="O187" s="2169"/>
      <c r="P187" s="313"/>
    </row>
    <row r="188" spans="1:16" s="1508" customFormat="1" ht="13.5" hidden="1" customHeight="1" thickBot="1">
      <c r="A188" s="4120"/>
      <c r="B188" s="2214" t="s">
        <v>12</v>
      </c>
      <c r="C188" s="4198"/>
      <c r="D188" s="2200">
        <f>SUM(E188:L188)</f>
        <v>0</v>
      </c>
      <c r="E188" s="2215">
        <v>0</v>
      </c>
      <c r="F188" s="2200">
        <v>0</v>
      </c>
      <c r="G188" s="2200">
        <v>0</v>
      </c>
      <c r="H188" s="2200">
        <v>0</v>
      </c>
      <c r="I188" s="2200">
        <v>0</v>
      </c>
      <c r="J188" s="2200">
        <v>0</v>
      </c>
      <c r="K188" s="2200">
        <v>0</v>
      </c>
      <c r="L188" s="2200"/>
      <c r="M188" s="2216">
        <f t="shared" si="135"/>
        <v>0</v>
      </c>
      <c r="N188" s="2216">
        <f t="shared" si="135"/>
        <v>0</v>
      </c>
      <c r="O188" s="2169"/>
      <c r="P188" s="313"/>
    </row>
    <row r="189" spans="1:16" s="1508" customFormat="1" ht="13.5" hidden="1" customHeight="1" thickBot="1">
      <c r="A189" s="4120"/>
      <c r="B189" s="81" t="s">
        <v>18</v>
      </c>
      <c r="C189" s="4145" t="s">
        <v>148</v>
      </c>
      <c r="D189" s="2197">
        <f>SUM(E189:L189)</f>
        <v>0</v>
      </c>
      <c r="E189" s="2198">
        <v>0</v>
      </c>
      <c r="F189" s="2198">
        <f t="shared" ref="F189:L189" si="136">+F190</f>
        <v>0</v>
      </c>
      <c r="G189" s="2198">
        <f t="shared" si="136"/>
        <v>0</v>
      </c>
      <c r="H189" s="2198">
        <f t="shared" si="136"/>
        <v>0</v>
      </c>
      <c r="I189" s="2198">
        <f t="shared" si="136"/>
        <v>0</v>
      </c>
      <c r="J189" s="2198">
        <f t="shared" si="136"/>
        <v>0</v>
      </c>
      <c r="K189" s="2198">
        <f t="shared" si="136"/>
        <v>0</v>
      </c>
      <c r="L189" s="2198">
        <f t="shared" si="136"/>
        <v>0</v>
      </c>
      <c r="M189" s="2213">
        <f t="shared" si="135"/>
        <v>0</v>
      </c>
      <c r="N189" s="2213">
        <f t="shared" si="135"/>
        <v>0</v>
      </c>
      <c r="O189" s="2169"/>
      <c r="P189" s="313"/>
    </row>
    <row r="190" spans="1:16" s="1508" customFormat="1" ht="13.5" hidden="1" customHeight="1" thickBot="1">
      <c r="A190" s="4120"/>
      <c r="B190" s="2194" t="s">
        <v>21</v>
      </c>
      <c r="C190" s="4151"/>
      <c r="D190" s="2199">
        <f>SUM(E190:L190)</f>
        <v>0</v>
      </c>
      <c r="E190" s="392">
        <v>0</v>
      </c>
      <c r="F190" s="392">
        <f t="shared" ref="F190:L190" si="137">+F191</f>
        <v>0</v>
      </c>
      <c r="G190" s="392">
        <f t="shared" si="137"/>
        <v>0</v>
      </c>
      <c r="H190" s="392">
        <f t="shared" si="137"/>
        <v>0</v>
      </c>
      <c r="I190" s="392">
        <f t="shared" si="137"/>
        <v>0</v>
      </c>
      <c r="J190" s="392">
        <f t="shared" si="137"/>
        <v>0</v>
      </c>
      <c r="K190" s="392">
        <f t="shared" si="137"/>
        <v>0</v>
      </c>
      <c r="L190" s="392">
        <f t="shared" si="137"/>
        <v>0</v>
      </c>
      <c r="M190" s="2217">
        <f t="shared" si="135"/>
        <v>0</v>
      </c>
      <c r="N190" s="2217">
        <f t="shared" si="135"/>
        <v>0</v>
      </c>
      <c r="O190" s="2169"/>
      <c r="P190" s="313"/>
    </row>
    <row r="191" spans="1:16" s="1508" customFormat="1" ht="22.5" hidden="1" customHeight="1" thickBot="1">
      <c r="A191" s="4120"/>
      <c r="B191" s="2218" t="s">
        <v>245</v>
      </c>
      <c r="C191" s="4152"/>
      <c r="D191" s="2200">
        <f>SUM(E191:L191)</f>
        <v>0</v>
      </c>
      <c r="E191" s="2215">
        <v>0</v>
      </c>
      <c r="F191" s="2200">
        <v>0</v>
      </c>
      <c r="G191" s="2200">
        <f>312400-312400</f>
        <v>0</v>
      </c>
      <c r="H191" s="2200">
        <f>624800-624800</f>
        <v>0</v>
      </c>
      <c r="I191" s="2200">
        <f>625000-625000</f>
        <v>0</v>
      </c>
      <c r="J191" s="2200">
        <v>0</v>
      </c>
      <c r="K191" s="2200">
        <v>0</v>
      </c>
      <c r="L191" s="2200">
        <v>0</v>
      </c>
      <c r="M191" s="2216">
        <f t="shared" si="135"/>
        <v>0</v>
      </c>
      <c r="N191" s="2216">
        <f t="shared" si="135"/>
        <v>0</v>
      </c>
      <c r="O191" s="2169"/>
      <c r="P191" s="313"/>
    </row>
    <row r="192" spans="1:16" s="1508" customFormat="1" ht="13.5" hidden="1" customHeight="1" thickBot="1">
      <c r="A192" s="4120"/>
      <c r="B192" s="80" t="s">
        <v>242</v>
      </c>
      <c r="C192" s="174"/>
      <c r="D192" s="355">
        <f>+D193</f>
        <v>0</v>
      </c>
      <c r="E192" s="355">
        <v>0</v>
      </c>
      <c r="F192" s="355">
        <f t="shared" ref="F192:L192" si="138">+F193</f>
        <v>0</v>
      </c>
      <c r="G192" s="355">
        <f t="shared" si="138"/>
        <v>0</v>
      </c>
      <c r="H192" s="355">
        <f t="shared" si="138"/>
        <v>0</v>
      </c>
      <c r="I192" s="355">
        <f t="shared" si="138"/>
        <v>0</v>
      </c>
      <c r="J192" s="355">
        <f t="shared" si="138"/>
        <v>0</v>
      </c>
      <c r="K192" s="355">
        <f t="shared" si="138"/>
        <v>0</v>
      </c>
      <c r="L192" s="355">
        <f t="shared" si="138"/>
        <v>0</v>
      </c>
      <c r="M192" s="4147" t="s">
        <v>61</v>
      </c>
      <c r="N192" s="4147" t="s">
        <v>61</v>
      </c>
      <c r="O192" s="2169"/>
      <c r="P192" s="313"/>
    </row>
    <row r="193" spans="1:16" s="1508" customFormat="1" ht="13.5" hidden="1" customHeight="1" thickBot="1">
      <c r="A193" s="4120"/>
      <c r="B193" s="81" t="s">
        <v>18</v>
      </c>
      <c r="C193" s="4145" t="s">
        <v>211</v>
      </c>
      <c r="D193" s="2197">
        <f>SUM(E193:L193)</f>
        <v>0</v>
      </c>
      <c r="E193" s="399">
        <v>0</v>
      </c>
      <c r="F193" s="399">
        <f t="shared" ref="F193:L194" si="139">+F194</f>
        <v>0</v>
      </c>
      <c r="G193" s="399">
        <f t="shared" si="139"/>
        <v>0</v>
      </c>
      <c r="H193" s="399">
        <f t="shared" si="139"/>
        <v>0</v>
      </c>
      <c r="I193" s="399">
        <f t="shared" si="139"/>
        <v>0</v>
      </c>
      <c r="J193" s="399">
        <f t="shared" si="139"/>
        <v>0</v>
      </c>
      <c r="K193" s="399">
        <f t="shared" si="139"/>
        <v>0</v>
      </c>
      <c r="L193" s="399">
        <f t="shared" si="139"/>
        <v>0</v>
      </c>
      <c r="M193" s="4042"/>
      <c r="N193" s="4042"/>
      <c r="O193" s="2169"/>
      <c r="P193" s="313"/>
    </row>
    <row r="194" spans="1:16" s="1508" customFormat="1" ht="13.5" hidden="1" customHeight="1" thickBot="1">
      <c r="A194" s="4120"/>
      <c r="B194" s="79" t="s">
        <v>21</v>
      </c>
      <c r="C194" s="4146"/>
      <c r="D194" s="2219">
        <f>SUM(E194:L194)</f>
        <v>0</v>
      </c>
      <c r="E194" s="2220">
        <v>0</v>
      </c>
      <c r="F194" s="2220">
        <f t="shared" si="139"/>
        <v>0</v>
      </c>
      <c r="G194" s="2220">
        <f t="shared" si="139"/>
        <v>0</v>
      </c>
      <c r="H194" s="2220">
        <f t="shared" si="139"/>
        <v>0</v>
      </c>
      <c r="I194" s="2220">
        <f t="shared" si="139"/>
        <v>0</v>
      </c>
      <c r="J194" s="2220">
        <f t="shared" si="139"/>
        <v>0</v>
      </c>
      <c r="K194" s="2220">
        <f t="shared" si="139"/>
        <v>0</v>
      </c>
      <c r="L194" s="2220">
        <f t="shared" si="139"/>
        <v>0</v>
      </c>
      <c r="M194" s="4043"/>
      <c r="N194" s="4043"/>
      <c r="O194" s="2174"/>
      <c r="P194" s="313">
        <f>+D190+D201</f>
        <v>41000000</v>
      </c>
    </row>
    <row r="195" spans="1:16" s="1508" customFormat="1" ht="12" hidden="1" customHeight="1" thickBot="1">
      <c r="A195" s="2801"/>
      <c r="B195" s="2221" t="s">
        <v>239</v>
      </c>
      <c r="C195" s="2222"/>
      <c r="D195" s="2223">
        <f>SUM(E195:L195)</f>
        <v>0</v>
      </c>
      <c r="E195" s="2224"/>
      <c r="F195" s="2223">
        <v>0</v>
      </c>
      <c r="G195" s="2223">
        <f>312400-312400</f>
        <v>0</v>
      </c>
      <c r="H195" s="2223">
        <f>624800-624800</f>
        <v>0</v>
      </c>
      <c r="I195" s="2223">
        <f>625000-625000</f>
        <v>0</v>
      </c>
      <c r="J195" s="2225"/>
      <c r="K195" s="2225"/>
      <c r="L195" s="2223"/>
      <c r="M195" s="2226"/>
      <c r="N195" s="2226"/>
      <c r="O195" s="2174"/>
      <c r="P195" s="313"/>
    </row>
    <row r="196" spans="1:16" s="1508" customFormat="1" ht="16.5" hidden="1" customHeight="1" thickBot="1">
      <c r="A196" s="4120" t="s">
        <v>262</v>
      </c>
      <c r="B196" s="2175" t="s">
        <v>248</v>
      </c>
      <c r="C196" s="3416" t="s">
        <v>81</v>
      </c>
      <c r="D196" s="2177"/>
      <c r="E196" s="2178"/>
      <c r="F196" s="2179"/>
      <c r="G196" s="2179"/>
      <c r="H196" s="2179"/>
      <c r="I196" s="2179"/>
      <c r="J196" s="2179"/>
      <c r="K196" s="2179"/>
      <c r="L196" s="2180"/>
      <c r="M196" s="3083"/>
      <c r="N196" s="3083"/>
      <c r="O196" s="2169"/>
      <c r="P196" s="313"/>
    </row>
    <row r="197" spans="1:16" s="1508" customFormat="1" ht="13.5" hidden="1" customHeight="1" thickBot="1">
      <c r="A197" s="4120"/>
      <c r="B197" s="80" t="s">
        <v>10</v>
      </c>
      <c r="C197" s="3417"/>
      <c r="D197" s="1303">
        <f t="shared" ref="D197:N197" si="140">+D198+D201</f>
        <v>64383571</v>
      </c>
      <c r="E197" s="1303">
        <v>0</v>
      </c>
      <c r="F197" s="1303">
        <f t="shared" si="140"/>
        <v>0</v>
      </c>
      <c r="G197" s="1303">
        <f t="shared" si="140"/>
        <v>170794</v>
      </c>
      <c r="H197" s="1303">
        <f t="shared" si="140"/>
        <v>32288735</v>
      </c>
      <c r="I197" s="1303">
        <f t="shared" si="140"/>
        <v>31924042</v>
      </c>
      <c r="J197" s="1303">
        <f t="shared" si="140"/>
        <v>0</v>
      </c>
      <c r="K197" s="1303">
        <f t="shared" si="140"/>
        <v>0</v>
      </c>
      <c r="L197" s="1303">
        <f t="shared" si="140"/>
        <v>0</v>
      </c>
      <c r="M197" s="358">
        <f t="shared" ref="M197" si="141">+M198+M201</f>
        <v>64383571</v>
      </c>
      <c r="N197" s="358">
        <f t="shared" si="140"/>
        <v>64383571</v>
      </c>
      <c r="O197" s="2169"/>
      <c r="P197" s="313"/>
    </row>
    <row r="198" spans="1:16" s="1508" customFormat="1" ht="13.5" hidden="1" customHeight="1" thickBot="1">
      <c r="A198" s="4120"/>
      <c r="B198" s="3139" t="s">
        <v>24</v>
      </c>
      <c r="C198" s="4148" t="s">
        <v>251</v>
      </c>
      <c r="D198" s="2183">
        <f>SUM(E198:L198)</f>
        <v>23383571</v>
      </c>
      <c r="E198" s="342">
        <v>0</v>
      </c>
      <c r="F198" s="342">
        <f>+F199+F200</f>
        <v>0</v>
      </c>
      <c r="G198" s="342">
        <f>+G199+G200</f>
        <v>170794</v>
      </c>
      <c r="H198" s="342">
        <f>+H199+H200</f>
        <v>12074482</v>
      </c>
      <c r="I198" s="342">
        <f>+I199+I200</f>
        <v>11138295</v>
      </c>
      <c r="J198" s="342">
        <f t="shared" ref="J198:L198" si="142">+J199+J200</f>
        <v>0</v>
      </c>
      <c r="K198" s="342">
        <f t="shared" si="142"/>
        <v>0</v>
      </c>
      <c r="L198" s="342">
        <f t="shared" si="142"/>
        <v>0</v>
      </c>
      <c r="M198" s="3418">
        <f>SUM(F198:L198)</f>
        <v>23383571</v>
      </c>
      <c r="N198" s="3418">
        <f>SUM(E198:L198)</f>
        <v>23383571</v>
      </c>
      <c r="O198" s="2169"/>
      <c r="P198" s="313"/>
    </row>
    <row r="199" spans="1:16" s="1508" customFormat="1" ht="13.5" hidden="1" customHeight="1" thickBot="1">
      <c r="A199" s="4120"/>
      <c r="B199" s="2184" t="s">
        <v>12</v>
      </c>
      <c r="C199" s="4149"/>
      <c r="D199" s="2185">
        <f>SUM(E199:L199)</f>
        <v>23383571</v>
      </c>
      <c r="E199" s="343"/>
      <c r="F199" s="2185">
        <v>0</v>
      </c>
      <c r="G199" s="2185">
        <f>298890-145175+17079</f>
        <v>170794</v>
      </c>
      <c r="H199" s="2185">
        <f>4006159-2149730+11478766-1254345+1284139-1290507</f>
        <v>12074482</v>
      </c>
      <c r="I199" s="2185">
        <f>825200-119869+1136000+9043924+1438489-1284139+98690</f>
        <v>11138295</v>
      </c>
      <c r="J199" s="2185"/>
      <c r="K199" s="2185"/>
      <c r="L199" s="2185"/>
      <c r="M199" s="3412">
        <f>SUM(F199:K199)</f>
        <v>23383571</v>
      </c>
      <c r="N199" s="3412">
        <f>SUM(G199:L199)</f>
        <v>23383571</v>
      </c>
      <c r="O199" s="2169"/>
      <c r="P199" s="313"/>
    </row>
    <row r="200" spans="1:16" s="1508" customFormat="1" ht="13.5" hidden="1" customHeight="1" thickBot="1">
      <c r="A200" s="4120"/>
      <c r="B200" s="2184" t="s">
        <v>16</v>
      </c>
      <c r="C200" s="4149"/>
      <c r="D200" s="2185">
        <f>SUM(E200:L200)</f>
        <v>0</v>
      </c>
      <c r="E200" s="343"/>
      <c r="F200" s="2185">
        <v>0</v>
      </c>
      <c r="G200" s="2185">
        <f>277300-277300</f>
        <v>0</v>
      </c>
      <c r="H200" s="2185">
        <f>3328200-3328200</f>
        <v>0</v>
      </c>
      <c r="I200" s="2185">
        <f>1394500+277300-1671800</f>
        <v>0</v>
      </c>
      <c r="J200" s="2185"/>
      <c r="K200" s="2185"/>
      <c r="L200" s="2185"/>
      <c r="M200" s="3412">
        <f>SUM(F200:K200)</f>
        <v>0</v>
      </c>
      <c r="N200" s="3419">
        <f>SUM(G200:L200)</f>
        <v>0</v>
      </c>
      <c r="O200" s="2174"/>
      <c r="P200" s="313"/>
    </row>
    <row r="201" spans="1:16" s="1508" customFormat="1" ht="15.75" hidden="1" customHeight="1" thickBot="1">
      <c r="A201" s="4120"/>
      <c r="B201" s="430" t="s">
        <v>18</v>
      </c>
      <c r="C201" s="4153"/>
      <c r="D201" s="2183">
        <f>SUM(E201:L201)</f>
        <v>41000000</v>
      </c>
      <c r="E201" s="2183">
        <v>0</v>
      </c>
      <c r="F201" s="2183">
        <f t="shared" ref="F201:L201" si="143">+F202</f>
        <v>0</v>
      </c>
      <c r="G201" s="2183">
        <f t="shared" si="143"/>
        <v>0</v>
      </c>
      <c r="H201" s="2183">
        <f t="shared" si="143"/>
        <v>20214253</v>
      </c>
      <c r="I201" s="2183">
        <f t="shared" si="143"/>
        <v>20785747</v>
      </c>
      <c r="J201" s="2183">
        <f t="shared" si="143"/>
        <v>0</v>
      </c>
      <c r="K201" s="2183">
        <f t="shared" si="143"/>
        <v>0</v>
      </c>
      <c r="L201" s="2183">
        <f t="shared" si="143"/>
        <v>0</v>
      </c>
      <c r="M201" s="3420">
        <f>SUM(F201:K201)</f>
        <v>41000000</v>
      </c>
      <c r="N201" s="3421">
        <f>SUM(E201:L201)</f>
        <v>41000000</v>
      </c>
      <c r="O201" s="3422"/>
      <c r="P201" s="313"/>
    </row>
    <row r="202" spans="1:16" s="1508" customFormat="1" ht="12" hidden="1" customHeight="1" thickBot="1">
      <c r="A202" s="4120"/>
      <c r="B202" s="412" t="s">
        <v>21</v>
      </c>
      <c r="C202" s="4154"/>
      <c r="D202" s="2185">
        <f>+D203+D204</f>
        <v>41000000</v>
      </c>
      <c r="E202" s="2185">
        <v>0</v>
      </c>
      <c r="F202" s="2185">
        <f t="shared" ref="F202:L202" si="144">+F203+F204</f>
        <v>0</v>
      </c>
      <c r="G202" s="2185">
        <f t="shared" si="144"/>
        <v>0</v>
      </c>
      <c r="H202" s="2185">
        <f t="shared" si="144"/>
        <v>20214253</v>
      </c>
      <c r="I202" s="2185">
        <f t="shared" si="144"/>
        <v>20785747</v>
      </c>
      <c r="J202" s="2185">
        <f t="shared" si="144"/>
        <v>0</v>
      </c>
      <c r="K202" s="2185">
        <f t="shared" si="144"/>
        <v>0</v>
      </c>
      <c r="L202" s="2185">
        <f t="shared" si="144"/>
        <v>0</v>
      </c>
      <c r="M202" s="3412">
        <f>SUM(F202:K202)</f>
        <v>41000000</v>
      </c>
      <c r="N202" s="3423">
        <f t="shared" ref="M202:N204" si="145">SUM(G202:L202)</f>
        <v>41000000</v>
      </c>
      <c r="O202" s="3422"/>
      <c r="P202" s="313"/>
    </row>
    <row r="203" spans="1:16" s="1508" customFormat="1" ht="22.5" hidden="1" customHeight="1" thickBot="1">
      <c r="A203" s="4120"/>
      <c r="B203" s="2165" t="s">
        <v>249</v>
      </c>
      <c r="C203" s="4154"/>
      <c r="D203" s="2189">
        <f>+E203+F203+G203+H203+I203+J203+K203+L203</f>
        <v>0</v>
      </c>
      <c r="E203" s="3424">
        <v>0</v>
      </c>
      <c r="F203" s="2189">
        <v>0</v>
      </c>
      <c r="G203" s="2189">
        <v>0</v>
      </c>
      <c r="H203" s="2189">
        <f>915000+624800-1539800</f>
        <v>0</v>
      </c>
      <c r="I203" s="2189">
        <f>511000+625000-1136000</f>
        <v>0</v>
      </c>
      <c r="J203" s="2189">
        <v>0</v>
      </c>
      <c r="K203" s="2189">
        <v>0</v>
      </c>
      <c r="L203" s="2189">
        <v>0</v>
      </c>
      <c r="M203" s="3412">
        <f t="shared" si="145"/>
        <v>0</v>
      </c>
      <c r="N203" s="3423">
        <f t="shared" si="145"/>
        <v>0</v>
      </c>
      <c r="O203" s="3422"/>
      <c r="P203" s="313"/>
    </row>
    <row r="204" spans="1:16" s="1508" customFormat="1" ht="23.25" hidden="1" customHeight="1" thickBot="1">
      <c r="A204" s="4158"/>
      <c r="B204" s="3425" t="s">
        <v>241</v>
      </c>
      <c r="C204" s="4154"/>
      <c r="D204" s="3426">
        <f>+E204+F204+G204+H204+I204+J204+K204+L204</f>
        <v>41000000</v>
      </c>
      <c r="E204" s="3427">
        <v>0</v>
      </c>
      <c r="F204" s="3426">
        <v>0</v>
      </c>
      <c r="G204" s="3426">
        <f>2328000-2328000</f>
        <v>0</v>
      </c>
      <c r="H204" s="3426">
        <f>27936000-5731740+345740-2337736+2238756-2236767</f>
        <v>20214253</v>
      </c>
      <c r="I204" s="3426">
        <f>11600000+8059740-1209740+2337736-2238756+2236767</f>
        <v>20785747</v>
      </c>
      <c r="J204" s="3426">
        <v>0</v>
      </c>
      <c r="K204" s="3426">
        <v>0</v>
      </c>
      <c r="L204" s="3426">
        <v>0</v>
      </c>
      <c r="M204" s="3412">
        <f t="shared" si="145"/>
        <v>41000000</v>
      </c>
      <c r="N204" s="3423">
        <f t="shared" si="145"/>
        <v>41000000</v>
      </c>
      <c r="O204" s="3422"/>
      <c r="P204" s="313"/>
    </row>
    <row r="205" spans="1:16" s="1508" customFormat="1" ht="13.5" hidden="1" customHeight="1" thickBot="1">
      <c r="A205" s="4159"/>
      <c r="B205" s="21" t="s">
        <v>242</v>
      </c>
      <c r="C205" s="3428"/>
      <c r="D205" s="3429">
        <f t="shared" ref="D205:L205" si="146">+D206+D208</f>
        <v>41000000</v>
      </c>
      <c r="E205" s="3429">
        <v>0</v>
      </c>
      <c r="F205" s="3429">
        <f t="shared" si="146"/>
        <v>0</v>
      </c>
      <c r="G205" s="3429">
        <f t="shared" si="146"/>
        <v>0</v>
      </c>
      <c r="H205" s="3429">
        <f t="shared" si="146"/>
        <v>20214253</v>
      </c>
      <c r="I205" s="3429">
        <f t="shared" si="146"/>
        <v>20785747</v>
      </c>
      <c r="J205" s="3429">
        <f t="shared" si="146"/>
        <v>0</v>
      </c>
      <c r="K205" s="3429">
        <f t="shared" si="146"/>
        <v>0</v>
      </c>
      <c r="L205" s="3429">
        <f t="shared" si="146"/>
        <v>0</v>
      </c>
      <c r="M205" s="4140" t="s">
        <v>61</v>
      </c>
      <c r="N205" s="4196" t="s">
        <v>61</v>
      </c>
      <c r="O205" s="3422"/>
      <c r="P205" s="313"/>
    </row>
    <row r="206" spans="1:16" s="1508" customFormat="1" ht="15" hidden="1" customHeight="1" thickBot="1">
      <c r="A206" s="4159"/>
      <c r="B206" s="3139" t="s">
        <v>24</v>
      </c>
      <c r="C206" s="4142" t="s">
        <v>257</v>
      </c>
      <c r="D206" s="2183">
        <f>+D207</f>
        <v>0</v>
      </c>
      <c r="E206" s="2183">
        <v>0</v>
      </c>
      <c r="F206" s="2183">
        <f t="shared" ref="F206:L206" si="147">+F207</f>
        <v>0</v>
      </c>
      <c r="G206" s="2183">
        <f t="shared" si="147"/>
        <v>0</v>
      </c>
      <c r="H206" s="2183">
        <f t="shared" si="147"/>
        <v>0</v>
      </c>
      <c r="I206" s="2183">
        <f t="shared" si="147"/>
        <v>0</v>
      </c>
      <c r="J206" s="2183">
        <f t="shared" si="147"/>
        <v>0</v>
      </c>
      <c r="K206" s="2183">
        <f t="shared" si="147"/>
        <v>0</v>
      </c>
      <c r="L206" s="2183">
        <f t="shared" si="147"/>
        <v>0</v>
      </c>
      <c r="M206" s="4042"/>
      <c r="N206" s="4042"/>
      <c r="O206" s="3422"/>
      <c r="P206" s="313"/>
    </row>
    <row r="207" spans="1:16" s="1508" customFormat="1" ht="16.5" hidden="1" customHeight="1" thickBot="1">
      <c r="A207" s="4159"/>
      <c r="B207" s="2184" t="s">
        <v>16</v>
      </c>
      <c r="C207" s="4143"/>
      <c r="D207" s="2185">
        <f>SUM(E207:L207)</f>
        <v>0</v>
      </c>
      <c r="E207" s="343"/>
      <c r="F207" s="2185">
        <v>0</v>
      </c>
      <c r="G207" s="2185">
        <f>277300-277300</f>
        <v>0</v>
      </c>
      <c r="H207" s="2185">
        <f>3328200-3328200</f>
        <v>0</v>
      </c>
      <c r="I207" s="2185">
        <f>1394500+277300-1671800</f>
        <v>0</v>
      </c>
      <c r="J207" s="2185"/>
      <c r="K207" s="2185"/>
      <c r="L207" s="2185"/>
      <c r="M207" s="4042"/>
      <c r="N207" s="4042"/>
      <c r="O207" s="3422"/>
      <c r="P207" s="313"/>
    </row>
    <row r="208" spans="1:16" s="1508" customFormat="1" ht="16.5" hidden="1" customHeight="1" thickBot="1">
      <c r="A208" s="4159"/>
      <c r="B208" s="430" t="s">
        <v>18</v>
      </c>
      <c r="C208" s="4143"/>
      <c r="D208" s="2183">
        <f>SUM(E208:L208)</f>
        <v>41000000</v>
      </c>
      <c r="E208" s="2183">
        <v>0</v>
      </c>
      <c r="F208" s="2183">
        <f t="shared" ref="F208:L208" si="148">+F209</f>
        <v>0</v>
      </c>
      <c r="G208" s="2183">
        <f t="shared" si="148"/>
        <v>0</v>
      </c>
      <c r="H208" s="2183">
        <f t="shared" si="148"/>
        <v>20214253</v>
      </c>
      <c r="I208" s="2183">
        <f t="shared" si="148"/>
        <v>20785747</v>
      </c>
      <c r="J208" s="2183">
        <f t="shared" si="148"/>
        <v>0</v>
      </c>
      <c r="K208" s="2183">
        <f t="shared" si="148"/>
        <v>0</v>
      </c>
      <c r="L208" s="2183">
        <f t="shared" si="148"/>
        <v>0</v>
      </c>
      <c r="M208" s="4042"/>
      <c r="N208" s="4042"/>
      <c r="O208" s="3422"/>
      <c r="P208" s="313"/>
    </row>
    <row r="209" spans="1:16" s="1508" customFormat="1" ht="15" hidden="1" customHeight="1" thickBot="1">
      <c r="A209" s="3430"/>
      <c r="B209" s="412" t="s">
        <v>21</v>
      </c>
      <c r="C209" s="4144"/>
      <c r="D209" s="2185">
        <f>SUM(E209:L209)</f>
        <v>41000000</v>
      </c>
      <c r="E209" s="2185">
        <v>0</v>
      </c>
      <c r="F209" s="2185">
        <f t="shared" ref="F209:L209" si="149">+F210+F211</f>
        <v>0</v>
      </c>
      <c r="G209" s="2185">
        <f>+G210+G211</f>
        <v>0</v>
      </c>
      <c r="H209" s="2185">
        <f t="shared" si="149"/>
        <v>20214253</v>
      </c>
      <c r="I209" s="2185">
        <f t="shared" si="149"/>
        <v>20785747</v>
      </c>
      <c r="J209" s="2185">
        <f t="shared" si="149"/>
        <v>0</v>
      </c>
      <c r="K209" s="2185">
        <f t="shared" si="149"/>
        <v>0</v>
      </c>
      <c r="L209" s="2185">
        <f t="shared" si="149"/>
        <v>0</v>
      </c>
      <c r="M209" s="4042"/>
      <c r="N209" s="4042"/>
      <c r="O209" s="3422"/>
      <c r="P209" s="313"/>
    </row>
    <row r="210" spans="1:16" s="1508" customFormat="1" ht="27.75" hidden="1" customHeight="1" thickBot="1">
      <c r="A210" s="3430"/>
      <c r="B210" s="2165" t="s">
        <v>239</v>
      </c>
      <c r="C210" s="3085" t="s">
        <v>211</v>
      </c>
      <c r="D210" s="2189">
        <f>SUM(E210:L210)</f>
        <v>0</v>
      </c>
      <c r="E210" s="3424">
        <v>0</v>
      </c>
      <c r="F210" s="2189">
        <v>0</v>
      </c>
      <c r="G210" s="2189">
        <v>0</v>
      </c>
      <c r="H210" s="2189">
        <f>915000+624800-1539800</f>
        <v>0</v>
      </c>
      <c r="I210" s="2189">
        <f>511000+625000-1136000</f>
        <v>0</v>
      </c>
      <c r="J210" s="2189">
        <v>0</v>
      </c>
      <c r="K210" s="2189">
        <v>0</v>
      </c>
      <c r="L210" s="2189">
        <v>0</v>
      </c>
      <c r="M210" s="4042"/>
      <c r="N210" s="4042"/>
      <c r="O210" s="3431"/>
      <c r="P210" s="313"/>
    </row>
    <row r="211" spans="1:16" s="1508" customFormat="1" ht="21.75" hidden="1" customHeight="1" thickBot="1">
      <c r="A211" s="3430"/>
      <c r="B211" s="2171" t="s">
        <v>250</v>
      </c>
      <c r="C211" s="3085" t="s">
        <v>191</v>
      </c>
      <c r="D211" s="3432">
        <f>SUM(E211:L211)</f>
        <v>41000000</v>
      </c>
      <c r="E211" s="3433">
        <v>0</v>
      </c>
      <c r="F211" s="3432">
        <v>0</v>
      </c>
      <c r="G211" s="3432">
        <f>2328000-2328000</f>
        <v>0</v>
      </c>
      <c r="H211" s="3432">
        <f>27936000-5731740+345740-2337736+2238756-2236767</f>
        <v>20214253</v>
      </c>
      <c r="I211" s="3432">
        <f>11600000+8059740-1209740+2337736-2238756+2236767</f>
        <v>20785747</v>
      </c>
      <c r="J211" s="3432">
        <v>0</v>
      </c>
      <c r="K211" s="3432">
        <v>0</v>
      </c>
      <c r="L211" s="3432">
        <v>0</v>
      </c>
      <c r="M211" s="4043"/>
      <c r="N211" s="4043"/>
      <c r="O211" s="3431"/>
      <c r="P211" s="313"/>
    </row>
    <row r="212" spans="1:16" s="1508" customFormat="1" ht="27" customHeight="1" thickBot="1">
      <c r="A212" s="4158" t="s">
        <v>89</v>
      </c>
      <c r="B212" s="165" t="s">
        <v>261</v>
      </c>
      <c r="C212" s="166" t="s">
        <v>109</v>
      </c>
      <c r="D212" s="382"/>
      <c r="E212" s="382"/>
      <c r="F212" s="382"/>
      <c r="G212" s="382"/>
      <c r="H212" s="382"/>
      <c r="I212" s="382"/>
      <c r="J212" s="382"/>
      <c r="K212" s="382"/>
      <c r="L212" s="382"/>
      <c r="M212" s="382"/>
      <c r="N212" s="382"/>
      <c r="O212" s="4133" t="s">
        <v>282</v>
      </c>
      <c r="P212" s="313"/>
    </row>
    <row r="213" spans="1:16" s="1508" customFormat="1" ht="13.5" thickBot="1">
      <c r="A213" s="4159"/>
      <c r="B213" s="21" t="s">
        <v>10</v>
      </c>
      <c r="C213" s="408"/>
      <c r="D213" s="352">
        <f>+D214+D218</f>
        <v>5491442</v>
      </c>
      <c r="E213" s="352">
        <f t="shared" ref="E213" si="150">+E214+E218</f>
        <v>131150</v>
      </c>
      <c r="F213" s="352">
        <f t="shared" ref="F213" si="151">+F214+F218</f>
        <v>1052265</v>
      </c>
      <c r="G213" s="352">
        <f>+G214+G218</f>
        <v>4308027</v>
      </c>
      <c r="H213" s="339"/>
      <c r="I213" s="339"/>
      <c r="J213" s="339"/>
      <c r="K213" s="339"/>
      <c r="L213" s="339"/>
      <c r="M213" s="409">
        <f>M214+M218</f>
        <v>4905086</v>
      </c>
      <c r="N213" s="409">
        <f>N214+N218</f>
        <v>3939204</v>
      </c>
      <c r="O213" s="4134"/>
      <c r="P213" s="313"/>
    </row>
    <row r="214" spans="1:16" s="1508" customFormat="1">
      <c r="A214" s="4159"/>
      <c r="B214" s="167" t="s">
        <v>24</v>
      </c>
      <c r="C214" s="4138" t="s">
        <v>178</v>
      </c>
      <c r="D214" s="340">
        <f>SUM(D215:D217)</f>
        <v>1295641</v>
      </c>
      <c r="E214" s="340">
        <f>SUM(E215:E217)</f>
        <v>28691</v>
      </c>
      <c r="F214" s="340">
        <f t="shared" ref="F214:G214" si="152">SUM(F215:F217)</f>
        <v>252967</v>
      </c>
      <c r="G214" s="340">
        <f t="shared" si="152"/>
        <v>1013983</v>
      </c>
      <c r="H214" s="340"/>
      <c r="I214" s="340"/>
      <c r="J214" s="340"/>
      <c r="K214" s="340"/>
      <c r="L214" s="340"/>
      <c r="M214" s="341">
        <f>SUM(M215:M216)</f>
        <v>811744</v>
      </c>
      <c r="N214" s="341">
        <f>SUM(N215:N216)</f>
        <v>645160</v>
      </c>
      <c r="O214" s="4135"/>
      <c r="P214" s="313"/>
    </row>
    <row r="215" spans="1:16" s="1508" customFormat="1">
      <c r="A215" s="4159"/>
      <c r="B215" s="168" t="s">
        <v>12</v>
      </c>
      <c r="C215" s="4139"/>
      <c r="D215" s="239">
        <f>E215+F215+G215+H215+I215+J215+K215+L215</f>
        <v>100000</v>
      </c>
      <c r="E215" s="1247">
        <v>10611</v>
      </c>
      <c r="F215" s="2141">
        <f>50000+1902-22258-4113</f>
        <v>25531</v>
      </c>
      <c r="G215" s="2141">
        <f>12500+24987+22258+4113</f>
        <v>63858</v>
      </c>
      <c r="H215" s="410"/>
      <c r="I215" s="410"/>
      <c r="J215" s="410"/>
      <c r="K215" s="410"/>
      <c r="L215" s="410"/>
      <c r="M215" s="614">
        <f>SUM(F215:L215)</f>
        <v>89389</v>
      </c>
      <c r="N215" s="614">
        <f>SUM(G215:L215)</f>
        <v>63858</v>
      </c>
      <c r="O215" s="4136"/>
      <c r="P215" s="313"/>
    </row>
    <row r="216" spans="1:16" s="1508" customFormat="1">
      <c r="A216" s="4159"/>
      <c r="B216" s="168" t="s">
        <v>13</v>
      </c>
      <c r="C216" s="4016"/>
      <c r="D216" s="239">
        <f>E216+F216+G216+H216+I216+J216+K216+L216</f>
        <v>740435</v>
      </c>
      <c r="E216" s="1247">
        <v>18080</v>
      </c>
      <c r="F216" s="2227">
        <f>412301+81979+118367-457832-13762</f>
        <v>141053</v>
      </c>
      <c r="G216" s="2227">
        <f>163259+60000-113551+457832+13762</f>
        <v>581302</v>
      </c>
      <c r="H216" s="169"/>
      <c r="I216" s="169"/>
      <c r="J216" s="169"/>
      <c r="K216" s="169"/>
      <c r="L216" s="169"/>
      <c r="M216" s="614">
        <f>SUM(F216:L216)</f>
        <v>722355</v>
      </c>
      <c r="N216" s="614">
        <f>SUM(G216:L216)</f>
        <v>581302</v>
      </c>
      <c r="O216" s="4136"/>
      <c r="P216" s="313"/>
    </row>
    <row r="217" spans="1:16" s="1508" customFormat="1">
      <c r="A217" s="4159"/>
      <c r="B217" s="2228" t="s">
        <v>32</v>
      </c>
      <c r="C217" s="4016"/>
      <c r="D217" s="239">
        <f>E217+F217+G217+H217+I217+J217+K217+L217</f>
        <v>455206</v>
      </c>
      <c r="E217" s="1247">
        <v>0</v>
      </c>
      <c r="F217" s="169">
        <f>255556+48066-239676+22437</f>
        <v>86383</v>
      </c>
      <c r="G217" s="169">
        <f>110761+40823+239676-22437</f>
        <v>368823</v>
      </c>
      <c r="H217" s="169"/>
      <c r="I217" s="169"/>
      <c r="J217" s="169"/>
      <c r="K217" s="169"/>
      <c r="L217" s="169"/>
      <c r="M217" s="411" t="s">
        <v>61</v>
      </c>
      <c r="N217" s="2514">
        <v>0</v>
      </c>
      <c r="O217" s="4136"/>
      <c r="P217" s="313"/>
    </row>
    <row r="218" spans="1:16" s="1508" customFormat="1">
      <c r="A218" s="4159"/>
      <c r="B218" s="81" t="s">
        <v>18</v>
      </c>
      <c r="C218" s="4016"/>
      <c r="D218" s="342">
        <f>+D219</f>
        <v>4195801</v>
      </c>
      <c r="E218" s="342">
        <f t="shared" ref="E218:G218" si="153">E219</f>
        <v>102459</v>
      </c>
      <c r="F218" s="2229">
        <f t="shared" si="153"/>
        <v>799298</v>
      </c>
      <c r="G218" s="2229">
        <f t="shared" si="153"/>
        <v>3294044</v>
      </c>
      <c r="H218" s="342"/>
      <c r="I218" s="342"/>
      <c r="J218" s="342"/>
      <c r="K218" s="342"/>
      <c r="L218" s="342"/>
      <c r="M218" s="341">
        <f>+M219</f>
        <v>4093342</v>
      </c>
      <c r="N218" s="341">
        <f>+N219</f>
        <v>3294044</v>
      </c>
      <c r="O218" s="4136"/>
      <c r="P218" s="313"/>
    </row>
    <row r="219" spans="1:16" s="1508" customFormat="1">
      <c r="A219" s="4159"/>
      <c r="B219" s="2230" t="s">
        <v>21</v>
      </c>
      <c r="C219" s="4017"/>
      <c r="D219" s="239">
        <f>E219+F219+G219+H219+I219+J219+K219+L219</f>
        <v>4195801</v>
      </c>
      <c r="E219" s="1247">
        <v>102459</v>
      </c>
      <c r="F219" s="2231">
        <f>2336375+464546+670747-2594379-77991</f>
        <v>799298</v>
      </c>
      <c r="G219" s="2231">
        <f>925133+340000-643459+2594379+77991</f>
        <v>3294044</v>
      </c>
      <c r="H219" s="131"/>
      <c r="I219" s="131"/>
      <c r="J219" s="131"/>
      <c r="K219" s="131"/>
      <c r="L219" s="131"/>
      <c r="M219" s="614">
        <f>SUM(F219:L219)</f>
        <v>4093342</v>
      </c>
      <c r="N219" s="614">
        <f>SUM(G219:L219)</f>
        <v>3294044</v>
      </c>
      <c r="O219" s="4136"/>
      <c r="P219" s="313"/>
    </row>
    <row r="220" spans="1:16" s="1508" customFormat="1">
      <c r="A220" s="3706"/>
      <c r="B220" s="21" t="s">
        <v>22</v>
      </c>
      <c r="C220" s="170"/>
      <c r="D220" s="339">
        <f>+D221+D223</f>
        <v>4936236</v>
      </c>
      <c r="E220" s="339">
        <f t="shared" ref="E220" si="154">E221+E223</f>
        <v>120539</v>
      </c>
      <c r="F220" s="339">
        <f t="shared" ref="F220:G220" si="155">F221+F223</f>
        <v>940351</v>
      </c>
      <c r="G220" s="339">
        <f t="shared" si="155"/>
        <v>3875346</v>
      </c>
      <c r="H220" s="345"/>
      <c r="I220" s="339"/>
      <c r="J220" s="339"/>
      <c r="K220" s="339"/>
      <c r="L220" s="339"/>
      <c r="M220" s="4140" t="s">
        <v>61</v>
      </c>
      <c r="N220" s="4140" t="s">
        <v>61</v>
      </c>
      <c r="O220" s="4136"/>
      <c r="P220" s="313">
        <f>G220-'[1]Tab. 6E - Administracja'!$G$220</f>
        <v>91753</v>
      </c>
    </row>
    <row r="221" spans="1:16" s="1508" customFormat="1">
      <c r="A221" s="3706"/>
      <c r="B221" s="171" t="s">
        <v>24</v>
      </c>
      <c r="C221" s="4138" t="s">
        <v>178</v>
      </c>
      <c r="D221" s="340">
        <f>+D222</f>
        <v>740435</v>
      </c>
      <c r="E221" s="340">
        <f t="shared" ref="E221:G221" si="156">E222</f>
        <v>18080</v>
      </c>
      <c r="F221" s="340">
        <f t="shared" si="156"/>
        <v>141053</v>
      </c>
      <c r="G221" s="340">
        <f t="shared" si="156"/>
        <v>581302</v>
      </c>
      <c r="H221" s="346"/>
      <c r="I221" s="340"/>
      <c r="J221" s="340"/>
      <c r="K221" s="340"/>
      <c r="L221" s="340"/>
      <c r="M221" s="4042"/>
      <c r="N221" s="4042"/>
      <c r="O221" s="4136"/>
      <c r="P221" s="313"/>
    </row>
    <row r="222" spans="1:16" s="1508" customFormat="1">
      <c r="A222" s="3706"/>
      <c r="B222" s="172" t="s">
        <v>13</v>
      </c>
      <c r="C222" s="4016"/>
      <c r="D222" s="239">
        <f>E222+F222+G222+H222+I222+J222+K222+L222</f>
        <v>740435</v>
      </c>
      <c r="E222" s="1247">
        <v>18080</v>
      </c>
      <c r="F222" s="588">
        <f>412301+81979+118367-457832-13762</f>
        <v>141053</v>
      </c>
      <c r="G222" s="588">
        <f>163259+60000-113551+457832+13762</f>
        <v>581302</v>
      </c>
      <c r="H222" s="343"/>
      <c r="I222" s="343"/>
      <c r="J222" s="343"/>
      <c r="K222" s="343"/>
      <c r="L222" s="343"/>
      <c r="M222" s="4042"/>
      <c r="N222" s="4042"/>
      <c r="O222" s="4136"/>
      <c r="P222" s="313"/>
    </row>
    <row r="223" spans="1:16" s="1508" customFormat="1">
      <c r="A223" s="3706"/>
      <c r="B223" s="2136" t="s">
        <v>18</v>
      </c>
      <c r="C223" s="4016"/>
      <c r="D223" s="342">
        <f>+D224</f>
        <v>4195801</v>
      </c>
      <c r="E223" s="342">
        <f t="shared" ref="E223:G223" si="157">E224</f>
        <v>102459</v>
      </c>
      <c r="F223" s="2229">
        <f t="shared" si="157"/>
        <v>799298</v>
      </c>
      <c r="G223" s="2229">
        <f t="shared" si="157"/>
        <v>3294044</v>
      </c>
      <c r="H223" s="347"/>
      <c r="I223" s="342"/>
      <c r="J223" s="342"/>
      <c r="K223" s="342"/>
      <c r="L223" s="342"/>
      <c r="M223" s="4042"/>
      <c r="N223" s="4042"/>
      <c r="O223" s="4136"/>
      <c r="P223" s="313"/>
    </row>
    <row r="224" spans="1:16" s="1508" customFormat="1" ht="13.5" thickBot="1">
      <c r="A224" s="3707"/>
      <c r="B224" s="344" t="s">
        <v>21</v>
      </c>
      <c r="C224" s="4141"/>
      <c r="D224" s="239">
        <f>E224+F224+G224+H224+I224+J224+K224+L224</f>
        <v>4195801</v>
      </c>
      <c r="E224" s="1247">
        <v>102459</v>
      </c>
      <c r="F224" s="2232">
        <f>2336375+464546+670747-2594379-77991</f>
        <v>799298</v>
      </c>
      <c r="G224" s="2232">
        <f>925133+340000-643459+2594379+77991</f>
        <v>3294044</v>
      </c>
      <c r="H224" s="173"/>
      <c r="I224" s="173"/>
      <c r="J224" s="173"/>
      <c r="K224" s="173"/>
      <c r="L224" s="173"/>
      <c r="M224" s="4043"/>
      <c r="N224" s="4043"/>
      <c r="O224" s="4137"/>
      <c r="P224" s="313"/>
    </row>
    <row r="225" spans="1:16" s="1508" customFormat="1" ht="36" customHeight="1">
      <c r="A225" s="4158" t="s">
        <v>90</v>
      </c>
      <c r="B225" s="165" t="s">
        <v>305</v>
      </c>
      <c r="C225" s="166" t="s">
        <v>81</v>
      </c>
      <c r="D225" s="182"/>
      <c r="E225" s="181"/>
      <c r="F225" s="181"/>
      <c r="G225" s="181"/>
      <c r="H225" s="181"/>
      <c r="I225" s="181"/>
      <c r="J225" s="181"/>
      <c r="K225" s="181"/>
      <c r="L225" s="251"/>
      <c r="M225" s="338"/>
      <c r="N225" s="338"/>
      <c r="O225" s="4176" t="s">
        <v>282</v>
      </c>
      <c r="P225" s="313"/>
    </row>
    <row r="226" spans="1:16" s="1508" customFormat="1">
      <c r="A226" s="4159"/>
      <c r="B226" s="581" t="s">
        <v>10</v>
      </c>
      <c r="C226" s="1469"/>
      <c r="D226" s="1444">
        <f t="shared" ref="D226:G226" si="158">+D227+D229</f>
        <v>5764</v>
      </c>
      <c r="E226" s="1444">
        <f t="shared" ref="E226" si="159">+E227+E229</f>
        <v>5764</v>
      </c>
      <c r="F226" s="1444">
        <f t="shared" si="158"/>
        <v>0</v>
      </c>
      <c r="G226" s="1444">
        <f t="shared" si="158"/>
        <v>0</v>
      </c>
      <c r="H226" s="1438"/>
      <c r="I226" s="1438"/>
      <c r="J226" s="1438"/>
      <c r="K226" s="1438"/>
      <c r="L226" s="1438"/>
      <c r="M226" s="1470">
        <f>M227+M229</f>
        <v>0</v>
      </c>
      <c r="N226" s="1470">
        <f>N227+N229</f>
        <v>0</v>
      </c>
      <c r="O226" s="4136"/>
      <c r="P226" s="313"/>
    </row>
    <row r="227" spans="1:16" s="1508" customFormat="1">
      <c r="A227" s="4159"/>
      <c r="B227" s="555" t="s">
        <v>24</v>
      </c>
      <c r="C227" s="4187" t="s">
        <v>178</v>
      </c>
      <c r="D227" s="1428">
        <f t="shared" ref="D227:G227" si="160">SUM(D228:D228)</f>
        <v>865</v>
      </c>
      <c r="E227" s="1428">
        <f t="shared" si="160"/>
        <v>865</v>
      </c>
      <c r="F227" s="1428">
        <f t="shared" si="160"/>
        <v>0</v>
      </c>
      <c r="G227" s="1428">
        <f t="shared" si="160"/>
        <v>0</v>
      </c>
      <c r="H227" s="1428"/>
      <c r="I227" s="1428"/>
      <c r="J227" s="1428"/>
      <c r="K227" s="1428"/>
      <c r="L227" s="1428"/>
      <c r="M227" s="614">
        <f>SUM(F227:K227)</f>
        <v>0</v>
      </c>
      <c r="N227" s="614">
        <f>SUM(G227:L227)</f>
        <v>0</v>
      </c>
      <c r="O227" s="4136"/>
      <c r="P227" s="313"/>
    </row>
    <row r="228" spans="1:16" s="1508" customFormat="1">
      <c r="A228" s="4159"/>
      <c r="B228" s="168" t="s">
        <v>13</v>
      </c>
      <c r="C228" s="4016"/>
      <c r="D228" s="1406">
        <f>E228+F228+G228+H228+I228+J228+K228+L228</f>
        <v>865</v>
      </c>
      <c r="E228" s="1430">
        <v>865</v>
      </c>
      <c r="F228" s="169">
        <v>0</v>
      </c>
      <c r="G228" s="169">
        <v>0</v>
      </c>
      <c r="H228" s="169"/>
      <c r="I228" s="169"/>
      <c r="J228" s="169"/>
      <c r="K228" s="169"/>
      <c r="L228" s="169"/>
      <c r="M228" s="614">
        <f>SUM(F228:K228)</f>
        <v>0</v>
      </c>
      <c r="N228" s="614">
        <f>SUM(G228:L228)</f>
        <v>0</v>
      </c>
      <c r="O228" s="4136"/>
      <c r="P228" s="313"/>
    </row>
    <row r="229" spans="1:16" s="1508" customFormat="1">
      <c r="A229" s="4159"/>
      <c r="B229" s="604" t="s">
        <v>18</v>
      </c>
      <c r="C229" s="4016"/>
      <c r="D229" s="1433">
        <f>+D230</f>
        <v>4899</v>
      </c>
      <c r="E229" s="1433">
        <f t="shared" ref="E229:G229" si="161">E230</f>
        <v>4899</v>
      </c>
      <c r="F229" s="1433">
        <f t="shared" si="161"/>
        <v>0</v>
      </c>
      <c r="G229" s="1433">
        <f t="shared" si="161"/>
        <v>0</v>
      </c>
      <c r="H229" s="1433"/>
      <c r="I229" s="1433"/>
      <c r="J229" s="1433"/>
      <c r="K229" s="1433"/>
      <c r="L229" s="1433"/>
      <c r="M229" s="1429">
        <f>+M230</f>
        <v>0</v>
      </c>
      <c r="N229" s="1429">
        <f>+N230</f>
        <v>0</v>
      </c>
      <c r="O229" s="4136"/>
      <c r="P229" s="313"/>
    </row>
    <row r="230" spans="1:16" s="1508" customFormat="1">
      <c r="A230" s="4159"/>
      <c r="B230" s="1471" t="s">
        <v>21</v>
      </c>
      <c r="C230" s="4017"/>
      <c r="D230" s="1406">
        <f>E230+F230+G230+H230+I230+J230+K230+L230</f>
        <v>4899</v>
      </c>
      <c r="E230" s="1430">
        <v>4899</v>
      </c>
      <c r="F230" s="131">
        <v>0</v>
      </c>
      <c r="G230" s="131">
        <v>0</v>
      </c>
      <c r="H230" s="131"/>
      <c r="I230" s="131"/>
      <c r="J230" s="131"/>
      <c r="K230" s="131"/>
      <c r="L230" s="131"/>
      <c r="M230" s="614">
        <f>SUM(F230:K230)</f>
        <v>0</v>
      </c>
      <c r="N230" s="614">
        <f>SUM(G230:L230)</f>
        <v>0</v>
      </c>
      <c r="O230" s="4136"/>
      <c r="P230" s="313"/>
    </row>
    <row r="231" spans="1:16" s="1508" customFormat="1">
      <c r="A231" s="3706"/>
      <c r="B231" s="581" t="s">
        <v>22</v>
      </c>
      <c r="C231" s="1437"/>
      <c r="D231" s="1438">
        <f>+D232+D234</f>
        <v>5764</v>
      </c>
      <c r="E231" s="1438">
        <f t="shared" ref="E231" si="162">E232+E234</f>
        <v>5764</v>
      </c>
      <c r="F231" s="1438">
        <f t="shared" ref="F231:G231" si="163">F232+F234</f>
        <v>0</v>
      </c>
      <c r="G231" s="1438">
        <f t="shared" si="163"/>
        <v>0</v>
      </c>
      <c r="H231" s="1472"/>
      <c r="I231" s="1438"/>
      <c r="J231" s="1438"/>
      <c r="K231" s="1438"/>
      <c r="L231" s="1438"/>
      <c r="M231" s="4052" t="s">
        <v>61</v>
      </c>
      <c r="N231" s="4052" t="s">
        <v>61</v>
      </c>
      <c r="O231" s="4136"/>
      <c r="P231" s="313"/>
    </row>
    <row r="232" spans="1:16" s="1508" customFormat="1">
      <c r="A232" s="3706"/>
      <c r="B232" s="1439" t="s">
        <v>24</v>
      </c>
      <c r="C232" s="4187" t="s">
        <v>178</v>
      </c>
      <c r="D232" s="1428">
        <f>+D233</f>
        <v>865</v>
      </c>
      <c r="E232" s="1428">
        <f t="shared" ref="E232:G232" si="164">E233</f>
        <v>865</v>
      </c>
      <c r="F232" s="1428">
        <f t="shared" si="164"/>
        <v>0</v>
      </c>
      <c r="G232" s="1428">
        <f t="shared" si="164"/>
        <v>0</v>
      </c>
      <c r="H232" s="1473"/>
      <c r="I232" s="1428"/>
      <c r="J232" s="1428"/>
      <c r="K232" s="1428"/>
      <c r="L232" s="1428"/>
      <c r="M232" s="4042"/>
      <c r="N232" s="4042"/>
      <c r="O232" s="4136"/>
      <c r="P232" s="313"/>
    </row>
    <row r="233" spans="1:16" s="1508" customFormat="1">
      <c r="A233" s="3706"/>
      <c r="B233" s="172" t="s">
        <v>13</v>
      </c>
      <c r="C233" s="4016"/>
      <c r="D233" s="1406">
        <f>E233+F233+G233+H233+I233+J233+K233+L233</f>
        <v>865</v>
      </c>
      <c r="E233" s="1430">
        <v>865</v>
      </c>
      <c r="F233" s="1440">
        <v>0</v>
      </c>
      <c r="G233" s="1440">
        <v>0</v>
      </c>
      <c r="H233" s="1440"/>
      <c r="I233" s="1440"/>
      <c r="J233" s="1440"/>
      <c r="K233" s="1440"/>
      <c r="L233" s="1440"/>
      <c r="M233" s="4042"/>
      <c r="N233" s="4042"/>
      <c r="O233" s="4136"/>
      <c r="P233" s="313"/>
    </row>
    <row r="234" spans="1:16" s="1508" customFormat="1">
      <c r="A234" s="3706"/>
      <c r="B234" s="1441" t="s">
        <v>18</v>
      </c>
      <c r="C234" s="4016"/>
      <c r="D234" s="1433">
        <f>+D235</f>
        <v>4899</v>
      </c>
      <c r="E234" s="1433">
        <f t="shared" ref="E234:G234" si="165">E235</f>
        <v>4899</v>
      </c>
      <c r="F234" s="1433">
        <f t="shared" si="165"/>
        <v>0</v>
      </c>
      <c r="G234" s="1433">
        <f t="shared" si="165"/>
        <v>0</v>
      </c>
      <c r="H234" s="1457"/>
      <c r="I234" s="1433"/>
      <c r="J234" s="1433"/>
      <c r="K234" s="1433"/>
      <c r="L234" s="1433"/>
      <c r="M234" s="4042"/>
      <c r="N234" s="4042"/>
      <c r="O234" s="4136"/>
      <c r="P234" s="313"/>
    </row>
    <row r="235" spans="1:16" s="1508" customFormat="1" ht="11.25" customHeight="1" thickBot="1">
      <c r="A235" s="3707"/>
      <c r="B235" s="344" t="s">
        <v>21</v>
      </c>
      <c r="C235" s="4141"/>
      <c r="D235" s="833">
        <f>E235+F235+G235+H235+I235+J235+K235+L235</f>
        <v>4899</v>
      </c>
      <c r="E235" s="1442">
        <v>4899</v>
      </c>
      <c r="F235" s="576">
        <v>0</v>
      </c>
      <c r="G235" s="576">
        <v>0</v>
      </c>
      <c r="H235" s="576"/>
      <c r="I235" s="576"/>
      <c r="J235" s="576"/>
      <c r="K235" s="576"/>
      <c r="L235" s="576"/>
      <c r="M235" s="4043"/>
      <c r="N235" s="4043"/>
      <c r="O235" s="4137"/>
      <c r="P235" s="313"/>
    </row>
    <row r="236" spans="1:16" s="1508" customFormat="1" ht="13.5" hidden="1" thickBot="1">
      <c r="A236" s="474"/>
      <c r="B236" s="475"/>
      <c r="C236" s="476"/>
      <c r="D236" s="477"/>
      <c r="E236" s="477"/>
      <c r="F236" s="478"/>
      <c r="G236" s="478"/>
      <c r="H236" s="478"/>
      <c r="I236" s="478"/>
      <c r="J236" s="478"/>
      <c r="K236" s="478"/>
      <c r="L236" s="478"/>
      <c r="M236" s="479"/>
      <c r="N236" s="479"/>
      <c r="O236" s="480"/>
      <c r="P236" s="313"/>
    </row>
    <row r="237" spans="1:16" s="309" customFormat="1" ht="30" customHeight="1" thickBot="1">
      <c r="A237" s="187" t="s">
        <v>154</v>
      </c>
      <c r="B237" s="188"/>
      <c r="C237" s="188"/>
      <c r="D237" s="188"/>
      <c r="E237" s="1402"/>
      <c r="F237" s="188"/>
      <c r="G237" s="188"/>
      <c r="H237" s="188"/>
      <c r="I237" s="188"/>
      <c r="J237" s="188"/>
      <c r="K237" s="188"/>
      <c r="L237" s="188"/>
      <c r="M237" s="920"/>
      <c r="N237" s="920"/>
      <c r="O237" s="189"/>
    </row>
    <row r="238" spans="1:16" s="1508" customFormat="1">
      <c r="A238" s="1325"/>
      <c r="B238" s="204" t="s">
        <v>76</v>
      </c>
      <c r="C238" s="205"/>
      <c r="D238" s="206">
        <f>+D239+D240</f>
        <v>53932111</v>
      </c>
      <c r="E238" s="206">
        <f>+E239+E240</f>
        <v>28119865</v>
      </c>
      <c r="F238" s="206">
        <f t="shared" ref="F238" si="166">+F239+F240</f>
        <v>6344982</v>
      </c>
      <c r="G238" s="206">
        <f>+G239+G240</f>
        <v>8406775</v>
      </c>
      <c r="H238" s="206">
        <f>+H239+H240</f>
        <v>8885489</v>
      </c>
      <c r="I238" s="206">
        <f>+I239+I240</f>
        <v>2175000</v>
      </c>
      <c r="J238" s="206"/>
      <c r="K238" s="206"/>
      <c r="L238" s="206"/>
      <c r="M238" s="16">
        <f>+M239+M240</f>
        <v>25812246</v>
      </c>
      <c r="N238" s="16">
        <f>+N239+N240</f>
        <v>19467264</v>
      </c>
      <c r="O238" s="4162" t="s">
        <v>61</v>
      </c>
      <c r="P238" s="313"/>
    </row>
    <row r="239" spans="1:16" s="1508" customFormat="1" ht="13.5" customHeight="1">
      <c r="A239" s="185"/>
      <c r="B239" s="207" t="s">
        <v>77</v>
      </c>
      <c r="C239" s="208"/>
      <c r="D239" s="209">
        <f>+D253+D257</f>
        <v>51815387</v>
      </c>
      <c r="E239" s="209">
        <f t="shared" ref="E239:I239" si="167">+E253+E257</f>
        <v>26008965</v>
      </c>
      <c r="F239" s="209">
        <f t="shared" si="167"/>
        <v>6344982</v>
      </c>
      <c r="G239" s="209">
        <f t="shared" si="167"/>
        <v>8400951</v>
      </c>
      <c r="H239" s="209">
        <f t="shared" si="167"/>
        <v>8885489</v>
      </c>
      <c r="I239" s="209">
        <f t="shared" si="167"/>
        <v>2175000</v>
      </c>
      <c r="J239" s="209"/>
      <c r="K239" s="209"/>
      <c r="L239" s="209"/>
      <c r="M239" s="18">
        <f>SUM(F239:K239)</f>
        <v>25806422</v>
      </c>
      <c r="N239" s="18">
        <f>SUM(G239:L239)</f>
        <v>19461440</v>
      </c>
      <c r="O239" s="4163"/>
    </row>
    <row r="240" spans="1:16" s="1508" customFormat="1" ht="13.5" customHeight="1" thickBot="1">
      <c r="A240" s="185"/>
      <c r="B240" s="218" t="s">
        <v>9</v>
      </c>
      <c r="C240" s="208"/>
      <c r="D240" s="209">
        <f>+D249</f>
        <v>2116724</v>
      </c>
      <c r="E240" s="209">
        <f>+E249</f>
        <v>2110900</v>
      </c>
      <c r="F240" s="209">
        <f t="shared" ref="F240" si="168">+F249</f>
        <v>0</v>
      </c>
      <c r="G240" s="356">
        <f>+G249</f>
        <v>5824</v>
      </c>
      <c r="H240" s="356">
        <f>+H249</f>
        <v>0</v>
      </c>
      <c r="I240" s="356">
        <f>+I249</f>
        <v>0</v>
      </c>
      <c r="J240" s="356"/>
      <c r="K240" s="356"/>
      <c r="L240" s="356"/>
      <c r="M240" s="148">
        <f>SUM(F240:K240)</f>
        <v>5824</v>
      </c>
      <c r="N240" s="148">
        <f>SUM(G240:L240)</f>
        <v>5824</v>
      </c>
      <c r="O240" s="4163"/>
    </row>
    <row r="241" spans="1:27" s="360" customFormat="1" ht="13.5" customHeight="1">
      <c r="A241" s="357"/>
      <c r="B241" s="177" t="s">
        <v>10</v>
      </c>
      <c r="C241" s="178"/>
      <c r="D241" s="152">
        <f>+D242</f>
        <v>53932111</v>
      </c>
      <c r="E241" s="152">
        <f t="shared" ref="E241:I242" si="169">+E242</f>
        <v>28119865</v>
      </c>
      <c r="F241" s="152">
        <f t="shared" si="169"/>
        <v>6344982</v>
      </c>
      <c r="G241" s="152">
        <f t="shared" si="169"/>
        <v>8406775</v>
      </c>
      <c r="H241" s="152">
        <f t="shared" si="169"/>
        <v>8885489</v>
      </c>
      <c r="I241" s="152">
        <f t="shared" si="169"/>
        <v>2175000</v>
      </c>
      <c r="J241" s="152"/>
      <c r="K241" s="152"/>
      <c r="L241" s="152"/>
      <c r="M241" s="358">
        <f>+M242</f>
        <v>25812246</v>
      </c>
      <c r="N241" s="358">
        <f>+N242</f>
        <v>19467264</v>
      </c>
      <c r="O241" s="4163"/>
      <c r="P241" s="359"/>
      <c r="Q241" s="359"/>
    </row>
    <row r="242" spans="1:27" s="363" customFormat="1" ht="13.5" customHeight="1">
      <c r="A242" s="191"/>
      <c r="B242" s="153" t="s">
        <v>11</v>
      </c>
      <c r="C242" s="4129" t="s">
        <v>61</v>
      </c>
      <c r="D242" s="1558">
        <f>+D243+D244</f>
        <v>53932111</v>
      </c>
      <c r="E242" s="1558">
        <f t="shared" si="169"/>
        <v>28119865</v>
      </c>
      <c r="F242" s="1558">
        <f t="shared" si="169"/>
        <v>6344982</v>
      </c>
      <c r="G242" s="1558">
        <f t="shared" si="169"/>
        <v>8406775</v>
      </c>
      <c r="H242" s="1558">
        <f t="shared" si="169"/>
        <v>8885489</v>
      </c>
      <c r="I242" s="1558">
        <f t="shared" si="169"/>
        <v>2175000</v>
      </c>
      <c r="J242" s="1558"/>
      <c r="K242" s="1558"/>
      <c r="L242" s="1558"/>
      <c r="M242" s="1559">
        <f>+M243+M244</f>
        <v>25812246</v>
      </c>
      <c r="N242" s="1559">
        <f>+N243+N244</f>
        <v>19467264</v>
      </c>
      <c r="O242" s="4163"/>
      <c r="P242" s="361"/>
      <c r="Q242" s="362"/>
      <c r="R242" s="361"/>
      <c r="S242" s="361"/>
      <c r="T242" s="361"/>
      <c r="U242" s="361"/>
      <c r="V242" s="361"/>
      <c r="W242" s="361"/>
      <c r="X242" s="361"/>
      <c r="Y242" s="361"/>
      <c r="Z242" s="361"/>
      <c r="AA242" s="361"/>
    </row>
    <row r="243" spans="1:27" s="324" customFormat="1" ht="13.5" thickBot="1">
      <c r="A243" s="155"/>
      <c r="B243" s="156" t="s">
        <v>12</v>
      </c>
      <c r="C243" s="4130"/>
      <c r="D243" s="1560">
        <f>+D251+D255+D259</f>
        <v>53932111</v>
      </c>
      <c r="E243" s="1560">
        <f>+E251+E255+E259</f>
        <v>28119865</v>
      </c>
      <c r="F243" s="1560">
        <f>+F251+F255+F259</f>
        <v>6344982</v>
      </c>
      <c r="G243" s="1560">
        <f t="shared" ref="G243" si="170">+G251+G255+G259</f>
        <v>8406775</v>
      </c>
      <c r="H243" s="1560">
        <f>+H251+H255+H259</f>
        <v>8885489</v>
      </c>
      <c r="I243" s="1560">
        <f>+I251+I255</f>
        <v>2175000</v>
      </c>
      <c r="J243" s="1560"/>
      <c r="K243" s="1560"/>
      <c r="L243" s="1560"/>
      <c r="M243" s="1561">
        <f>SUM(F243:L243)</f>
        <v>25812246</v>
      </c>
      <c r="N243" s="1561">
        <f>SUM(G243:L243)</f>
        <v>19467264</v>
      </c>
      <c r="O243" s="4163"/>
      <c r="P243" s="313"/>
    </row>
    <row r="244" spans="1:27" s="324" customFormat="1" ht="13.5" hidden="1" customHeight="1">
      <c r="A244" s="155"/>
      <c r="B244" s="156" t="s">
        <v>14</v>
      </c>
      <c r="C244" s="4130"/>
      <c r="D244" s="1560">
        <f t="shared" ref="D244" si="171">+D260</f>
        <v>0</v>
      </c>
      <c r="E244" s="1560">
        <f t="shared" ref="E244" si="172">+E260</f>
        <v>0</v>
      </c>
      <c r="F244" s="1560">
        <f>+F260</f>
        <v>0</v>
      </c>
      <c r="G244" s="1560">
        <f>+G260</f>
        <v>0</v>
      </c>
      <c r="H244" s="1560">
        <f>+H260</f>
        <v>0</v>
      </c>
      <c r="I244" s="1560">
        <f>+I260</f>
        <v>0</v>
      </c>
      <c r="J244" s="1560"/>
      <c r="K244" s="1560"/>
      <c r="L244" s="1560"/>
      <c r="M244" s="1561">
        <f>SUM(E244:K244)</f>
        <v>0</v>
      </c>
      <c r="N244" s="1561">
        <f>SUM(F244:L244)</f>
        <v>0</v>
      </c>
      <c r="O244" s="4163"/>
      <c r="P244" s="313"/>
    </row>
    <row r="245" spans="1:27" s="316" customFormat="1" ht="15" hidden="1" customHeight="1">
      <c r="A245" s="149"/>
      <c r="B245" s="80" t="s">
        <v>22</v>
      </c>
      <c r="C245" s="88"/>
      <c r="D245" s="190">
        <f>+D246</f>
        <v>0</v>
      </c>
      <c r="E245" s="190">
        <f t="shared" ref="E245" si="173">+E246</f>
        <v>0</v>
      </c>
      <c r="F245" s="190">
        <f t="shared" ref="F245:I246" si="174">+F246</f>
        <v>0</v>
      </c>
      <c r="G245" s="190">
        <f t="shared" si="174"/>
        <v>0</v>
      </c>
      <c r="H245" s="190">
        <f t="shared" si="174"/>
        <v>0</v>
      </c>
      <c r="I245" s="190">
        <f t="shared" si="174"/>
        <v>0</v>
      </c>
      <c r="J245" s="190"/>
      <c r="K245" s="190"/>
      <c r="L245" s="190"/>
      <c r="M245" s="4041" t="s">
        <v>61</v>
      </c>
      <c r="N245" s="4041" t="s">
        <v>61</v>
      </c>
      <c r="O245" s="4163"/>
      <c r="P245" s="315"/>
      <c r="Q245" s="315"/>
    </row>
    <row r="246" spans="1:27" s="316" customFormat="1" ht="14.25" hidden="1" customHeight="1">
      <c r="A246" s="149"/>
      <c r="B246" s="153" t="s">
        <v>11</v>
      </c>
      <c r="C246" s="4129" t="s">
        <v>61</v>
      </c>
      <c r="D246" s="1558">
        <f>+D247</f>
        <v>0</v>
      </c>
      <c r="E246" s="1558">
        <f>+E247</f>
        <v>0</v>
      </c>
      <c r="F246" s="1558">
        <f t="shared" si="174"/>
        <v>0</v>
      </c>
      <c r="G246" s="1558">
        <f t="shared" si="174"/>
        <v>0</v>
      </c>
      <c r="H246" s="1558">
        <f t="shared" si="174"/>
        <v>0</v>
      </c>
      <c r="I246" s="1558">
        <f t="shared" si="174"/>
        <v>0</v>
      </c>
      <c r="J246" s="1558"/>
      <c r="K246" s="1558"/>
      <c r="L246" s="1558"/>
      <c r="M246" s="4042"/>
      <c r="N246" s="4042"/>
      <c r="O246" s="4163"/>
      <c r="P246" s="315"/>
      <c r="Q246" s="315"/>
    </row>
    <row r="247" spans="1:27" s="324" customFormat="1" ht="16.5" hidden="1" customHeight="1" thickBot="1">
      <c r="A247" s="155"/>
      <c r="B247" s="156" t="s">
        <v>14</v>
      </c>
      <c r="C247" s="4130"/>
      <c r="D247" s="1560">
        <f>+D263</f>
        <v>0</v>
      </c>
      <c r="E247" s="1560">
        <f>+E263</f>
        <v>0</v>
      </c>
      <c r="F247" s="1560">
        <f t="shared" ref="F247:I247" si="175">+F263</f>
        <v>0</v>
      </c>
      <c r="G247" s="1560">
        <f t="shared" si="175"/>
        <v>0</v>
      </c>
      <c r="H247" s="1560">
        <f t="shared" si="175"/>
        <v>0</v>
      </c>
      <c r="I247" s="1560">
        <f t="shared" si="175"/>
        <v>0</v>
      </c>
      <c r="J247" s="364"/>
      <c r="K247" s="364"/>
      <c r="L247" s="364"/>
      <c r="M247" s="4043"/>
      <c r="N247" s="4043"/>
      <c r="O247" s="4164"/>
      <c r="P247" s="314"/>
    </row>
    <row r="248" spans="1:27" s="332" customFormat="1" ht="25.5" customHeight="1" thickBot="1">
      <c r="A248" s="4158" t="s">
        <v>63</v>
      </c>
      <c r="B248" s="365" t="s">
        <v>458</v>
      </c>
      <c r="C248" s="366" t="s">
        <v>81</v>
      </c>
      <c r="D248" s="381"/>
      <c r="E248" s="380"/>
      <c r="F248" s="380"/>
      <c r="G248" s="380"/>
      <c r="H248" s="380"/>
      <c r="I248" s="380"/>
      <c r="J248" s="380"/>
      <c r="K248" s="380"/>
      <c r="L248" s="1388"/>
      <c r="M248" s="348"/>
      <c r="N248" s="348"/>
      <c r="O248" s="4133" t="s">
        <v>284</v>
      </c>
    </row>
    <row r="249" spans="1:27" s="332" customFormat="1" ht="13.5" thickBot="1">
      <c r="A249" s="4159"/>
      <c r="B249" s="80" t="s">
        <v>10</v>
      </c>
      <c r="C249" s="1427"/>
      <c r="D249" s="1438">
        <f>+D250</f>
        <v>2116724</v>
      </c>
      <c r="E249" s="1438">
        <f t="shared" ref="E249:N250" si="176">+E250</f>
        <v>2110900</v>
      </c>
      <c r="F249" s="1438">
        <f>+F250</f>
        <v>0</v>
      </c>
      <c r="G249" s="1438">
        <f>+G250</f>
        <v>5824</v>
      </c>
      <c r="H249" s="1545">
        <v>0</v>
      </c>
      <c r="I249" s="1545">
        <v>0</v>
      </c>
      <c r="J249" s="1545">
        <v>0</v>
      </c>
      <c r="K249" s="1545">
        <v>0</v>
      </c>
      <c r="L249" s="1545">
        <v>0</v>
      </c>
      <c r="M249" s="1546">
        <f t="shared" si="176"/>
        <v>5824</v>
      </c>
      <c r="N249" s="1546">
        <f t="shared" si="176"/>
        <v>5824</v>
      </c>
      <c r="O249" s="4133"/>
      <c r="P249" s="313"/>
    </row>
    <row r="250" spans="1:27" s="332" customFormat="1" ht="12" customHeight="1" thickBot="1">
      <c r="A250" s="4159"/>
      <c r="B250" s="555" t="s">
        <v>24</v>
      </c>
      <c r="C250" s="4168" t="s">
        <v>155</v>
      </c>
      <c r="D250" s="1433">
        <f>+D251</f>
        <v>2116724</v>
      </c>
      <c r="E250" s="1433">
        <f t="shared" si="176"/>
        <v>2110900</v>
      </c>
      <c r="F250" s="1433">
        <f>+F251</f>
        <v>0</v>
      </c>
      <c r="G250" s="1433">
        <f>+G251</f>
        <v>5824</v>
      </c>
      <c r="H250" s="1434">
        <v>0</v>
      </c>
      <c r="I250" s="1434">
        <v>0</v>
      </c>
      <c r="J250" s="1434">
        <v>0</v>
      </c>
      <c r="K250" s="1434">
        <v>0</v>
      </c>
      <c r="L250" s="1434">
        <v>0</v>
      </c>
      <c r="M250" s="1562">
        <f t="shared" si="176"/>
        <v>5824</v>
      </c>
      <c r="N250" s="1562">
        <f t="shared" si="176"/>
        <v>5824</v>
      </c>
      <c r="O250" s="4133"/>
    </row>
    <row r="251" spans="1:27" s="332" customFormat="1" thickBot="1">
      <c r="A251" s="4160"/>
      <c r="B251" s="1251" t="s">
        <v>12</v>
      </c>
      <c r="C251" s="4141"/>
      <c r="D251" s="839">
        <f>E251+F251+G251+H251+I251+J251+K251+L251</f>
        <v>2116724</v>
      </c>
      <c r="E251" s="1430">
        <f>2110900</f>
        <v>2110900</v>
      </c>
      <c r="F251" s="495">
        <f>5824-5824</f>
        <v>0</v>
      </c>
      <c r="G251" s="495">
        <v>5824</v>
      </c>
      <c r="H251" s="598">
        <v>0</v>
      </c>
      <c r="I251" s="598">
        <v>0</v>
      </c>
      <c r="J251" s="598">
        <v>0</v>
      </c>
      <c r="K251" s="598">
        <v>0</v>
      </c>
      <c r="L251" s="598">
        <v>0</v>
      </c>
      <c r="M251" s="1432">
        <f>SUM(F251:L251)</f>
        <v>5824</v>
      </c>
      <c r="N251" s="1432">
        <f>SUM(G251:L251)</f>
        <v>5824</v>
      </c>
      <c r="O251" s="4161"/>
    </row>
    <row r="252" spans="1:27" s="332" customFormat="1" ht="28.5" customHeight="1" thickBot="1">
      <c r="A252" s="4165" t="s">
        <v>64</v>
      </c>
      <c r="B252" s="165" t="s">
        <v>356</v>
      </c>
      <c r="C252" s="366" t="s">
        <v>109</v>
      </c>
      <c r="D252" s="381"/>
      <c r="E252" s="380"/>
      <c r="F252" s="380"/>
      <c r="G252" s="380"/>
      <c r="H252" s="380"/>
      <c r="I252" s="380"/>
      <c r="J252" s="380"/>
      <c r="K252" s="380"/>
      <c r="L252" s="1388"/>
      <c r="M252" s="348"/>
      <c r="N252" s="348"/>
      <c r="O252" s="4133" t="s">
        <v>285</v>
      </c>
      <c r="P252" s="313"/>
    </row>
    <row r="253" spans="1:27" s="332" customFormat="1" ht="17.25" customHeight="1" thickBot="1">
      <c r="A253" s="4166"/>
      <c r="B253" s="581" t="s">
        <v>10</v>
      </c>
      <c r="C253" s="1427"/>
      <c r="D253" s="1438">
        <f>+D254</f>
        <v>51130387</v>
      </c>
      <c r="E253" s="1438">
        <f t="shared" ref="E253:N254" si="177">+E254</f>
        <v>26008965</v>
      </c>
      <c r="F253" s="1438">
        <f t="shared" si="177"/>
        <v>6344982</v>
      </c>
      <c r="G253" s="1438">
        <f t="shared" si="177"/>
        <v>8355951</v>
      </c>
      <c r="H253" s="1438">
        <f t="shared" si="177"/>
        <v>8245489</v>
      </c>
      <c r="I253" s="1438">
        <f t="shared" si="177"/>
        <v>2175000</v>
      </c>
      <c r="J253" s="1545">
        <f t="shared" si="177"/>
        <v>0</v>
      </c>
      <c r="K253" s="1545">
        <f t="shared" si="177"/>
        <v>0</v>
      </c>
      <c r="L253" s="1545">
        <f t="shared" si="177"/>
        <v>0</v>
      </c>
      <c r="M253" s="2233">
        <f t="shared" si="177"/>
        <v>25121422</v>
      </c>
      <c r="N253" s="2233">
        <f t="shared" si="177"/>
        <v>18776440</v>
      </c>
      <c r="O253" s="4133"/>
    </row>
    <row r="254" spans="1:27" s="332" customFormat="1" ht="14.25" customHeight="1" thickBot="1">
      <c r="A254" s="4166"/>
      <c r="B254" s="555" t="s">
        <v>24</v>
      </c>
      <c r="C254" s="4131" t="s">
        <v>148</v>
      </c>
      <c r="D254" s="1563">
        <f>+D255</f>
        <v>51130387</v>
      </c>
      <c r="E254" s="2234">
        <f t="shared" si="177"/>
        <v>26008965</v>
      </c>
      <c r="F254" s="2235">
        <f t="shared" si="177"/>
        <v>6344982</v>
      </c>
      <c r="G254" s="1446">
        <f t="shared" si="177"/>
        <v>8355951</v>
      </c>
      <c r="H254" s="1446">
        <f t="shared" si="177"/>
        <v>8245489</v>
      </c>
      <c r="I254" s="1446">
        <f t="shared" si="177"/>
        <v>2175000</v>
      </c>
      <c r="J254" s="2236">
        <f t="shared" si="177"/>
        <v>0</v>
      </c>
      <c r="K254" s="2236">
        <f t="shared" si="177"/>
        <v>0</v>
      </c>
      <c r="L254" s="2236">
        <f t="shared" si="177"/>
        <v>0</v>
      </c>
      <c r="M254" s="2237">
        <f t="shared" si="177"/>
        <v>25121422</v>
      </c>
      <c r="N254" s="2237">
        <f t="shared" si="177"/>
        <v>18776440</v>
      </c>
      <c r="O254" s="4133"/>
    </row>
    <row r="255" spans="1:27" s="332" customFormat="1" ht="15" customHeight="1" thickBot="1">
      <c r="A255" s="4167"/>
      <c r="B255" s="2238" t="s">
        <v>12</v>
      </c>
      <c r="C255" s="4132"/>
      <c r="D255" s="832">
        <f>E255+F255+G255+H255+I255+J255+K255+L255</f>
        <v>51130387</v>
      </c>
      <c r="E255" s="2239">
        <f>20241982+5766983</f>
        <v>26008965</v>
      </c>
      <c r="F255" s="2240">
        <f>0+8835105-2490123</f>
        <v>6344982</v>
      </c>
      <c r="G255" s="2241">
        <f>0+7382305+973646</f>
        <v>8355951</v>
      </c>
      <c r="H255" s="2241">
        <f>5029421+1926068+1290000</f>
        <v>8245489</v>
      </c>
      <c r="I255" s="2241">
        <f>1000000+1175000</f>
        <v>2175000</v>
      </c>
      <c r="J255" s="2242">
        <v>0</v>
      </c>
      <c r="K255" s="2242">
        <v>0</v>
      </c>
      <c r="L255" s="2242">
        <v>0</v>
      </c>
      <c r="M255" s="1522">
        <f>SUM(F255:L255)</f>
        <v>25121422</v>
      </c>
      <c r="N255" s="1522">
        <f>SUM(G255:L255)</f>
        <v>18776440</v>
      </c>
      <c r="O255" s="4133"/>
    </row>
    <row r="256" spans="1:27" s="332" customFormat="1" ht="24.75" customHeight="1" thickBot="1">
      <c r="A256" s="4158" t="s">
        <v>65</v>
      </c>
      <c r="B256" s="165" t="s">
        <v>483</v>
      </c>
      <c r="C256" s="366" t="s">
        <v>109</v>
      </c>
      <c r="D256" s="182"/>
      <c r="E256" s="382"/>
      <c r="F256" s="382"/>
      <c r="G256" s="382"/>
      <c r="H256" s="382"/>
      <c r="I256" s="382"/>
      <c r="J256" s="382"/>
      <c r="K256" s="382"/>
      <c r="L256" s="2692"/>
      <c r="M256" s="2693"/>
      <c r="N256" s="2162"/>
      <c r="O256" s="4133" t="s">
        <v>284</v>
      </c>
      <c r="P256" s="313"/>
    </row>
    <row r="257" spans="1:15" s="332" customFormat="1" thickBot="1">
      <c r="A257" s="4159"/>
      <c r="B257" s="581" t="s">
        <v>10</v>
      </c>
      <c r="C257" s="887"/>
      <c r="D257" s="602">
        <f>+D258</f>
        <v>685000</v>
      </c>
      <c r="E257" s="602">
        <f t="shared" ref="E257:L257" si="178">+E258</f>
        <v>0</v>
      </c>
      <c r="F257" s="602">
        <f t="shared" si="178"/>
        <v>0</v>
      </c>
      <c r="G257" s="1438">
        <f t="shared" si="178"/>
        <v>45000</v>
      </c>
      <c r="H257" s="1438">
        <f t="shared" si="178"/>
        <v>640000</v>
      </c>
      <c r="I257" s="611">
        <f t="shared" si="178"/>
        <v>0</v>
      </c>
      <c r="J257" s="611">
        <f t="shared" si="178"/>
        <v>0</v>
      </c>
      <c r="K257" s="611">
        <f t="shared" si="178"/>
        <v>0</v>
      </c>
      <c r="L257" s="611">
        <f t="shared" si="178"/>
        <v>0</v>
      </c>
      <c r="M257" s="2694">
        <f>+M258</f>
        <v>685000</v>
      </c>
      <c r="N257" s="358">
        <f>+N258</f>
        <v>685000</v>
      </c>
      <c r="O257" s="4133"/>
    </row>
    <row r="258" spans="1:15" s="332" customFormat="1" thickBot="1">
      <c r="A258" s="4159"/>
      <c r="B258" s="555" t="s">
        <v>24</v>
      </c>
      <c r="C258" s="4131">
        <v>75018</v>
      </c>
      <c r="D258" s="888">
        <f>+D259+D260</f>
        <v>685000</v>
      </c>
      <c r="E258" s="888">
        <f t="shared" ref="E258" si="179">+E259+E260</f>
        <v>0</v>
      </c>
      <c r="F258" s="888">
        <f t="shared" ref="F258:N258" si="180">+F259+F260</f>
        <v>0</v>
      </c>
      <c r="G258" s="1446">
        <f t="shared" si="180"/>
        <v>45000</v>
      </c>
      <c r="H258" s="1446">
        <f t="shared" si="180"/>
        <v>640000</v>
      </c>
      <c r="I258" s="599">
        <f t="shared" si="180"/>
        <v>0</v>
      </c>
      <c r="J258" s="599">
        <f t="shared" si="180"/>
        <v>0</v>
      </c>
      <c r="K258" s="599">
        <f t="shared" si="180"/>
        <v>0</v>
      </c>
      <c r="L258" s="599">
        <f t="shared" si="180"/>
        <v>0</v>
      </c>
      <c r="M258" s="2695">
        <f t="shared" ref="M258" si="181">+M259+M260</f>
        <v>685000</v>
      </c>
      <c r="N258" s="2696">
        <f t="shared" si="180"/>
        <v>685000</v>
      </c>
      <c r="O258" s="4133"/>
    </row>
    <row r="259" spans="1:15" s="332" customFormat="1" ht="13.5" thickBot="1">
      <c r="A259" s="4160"/>
      <c r="B259" s="2697" t="s">
        <v>12</v>
      </c>
      <c r="C259" s="4169"/>
      <c r="D259" s="832">
        <f>E259+F259+G259+H259+I259+J259+K259+L259</f>
        <v>685000</v>
      </c>
      <c r="E259" s="2698">
        <v>0</v>
      </c>
      <c r="F259" s="2699"/>
      <c r="G259" s="2241">
        <v>45000</v>
      </c>
      <c r="H259" s="2241">
        <v>640000</v>
      </c>
      <c r="I259" s="2700">
        <v>0</v>
      </c>
      <c r="J259" s="2700">
        <v>0</v>
      </c>
      <c r="K259" s="2700">
        <v>0</v>
      </c>
      <c r="L259" s="2700">
        <v>0</v>
      </c>
      <c r="M259" s="1522">
        <f>SUM(F259:K259)</f>
        <v>685000</v>
      </c>
      <c r="N259" s="1522">
        <f>SUM(G259:L259)</f>
        <v>685000</v>
      </c>
      <c r="O259" s="4161"/>
    </row>
    <row r="260" spans="1:15" s="332" customFormat="1" ht="13.5" hidden="1" customHeight="1" thickBot="1">
      <c r="A260" s="889"/>
      <c r="B260" s="1508" t="s">
        <v>14</v>
      </c>
      <c r="C260" s="890"/>
      <c r="D260" s="832">
        <f>E260+F260+G260+H260+I260+J260+K260+L260</f>
        <v>0</v>
      </c>
      <c r="E260" s="892"/>
      <c r="F260" s="893">
        <v>0</v>
      </c>
      <c r="G260" s="893">
        <v>0</v>
      </c>
      <c r="H260" s="893">
        <v>0</v>
      </c>
      <c r="I260" s="893">
        <v>0</v>
      </c>
      <c r="J260" s="893">
        <v>0</v>
      </c>
      <c r="K260" s="893">
        <v>0</v>
      </c>
      <c r="L260" s="893">
        <v>0</v>
      </c>
      <c r="M260" s="686">
        <f>SUM(E260:K260)</f>
        <v>0</v>
      </c>
      <c r="N260" s="686">
        <f>SUM(F260:L260)</f>
        <v>0</v>
      </c>
      <c r="O260" s="2757"/>
    </row>
    <row r="261" spans="1:15" s="1508" customFormat="1" ht="13.5" hidden="1" customHeight="1">
      <c r="A261" s="889"/>
      <c r="B261" s="581" t="s">
        <v>22</v>
      </c>
      <c r="C261" s="887"/>
      <c r="D261" s="602">
        <f>+D262</f>
        <v>0</v>
      </c>
      <c r="E261" s="602">
        <f t="shared" ref="E261:L261" si="182">+E262</f>
        <v>0</v>
      </c>
      <c r="F261" s="611">
        <f t="shared" si="182"/>
        <v>0</v>
      </c>
      <c r="G261" s="611">
        <f t="shared" si="182"/>
        <v>0</v>
      </c>
      <c r="H261" s="583">
        <f t="shared" si="182"/>
        <v>0</v>
      </c>
      <c r="I261" s="611">
        <f t="shared" si="182"/>
        <v>0</v>
      </c>
      <c r="J261" s="611">
        <f t="shared" si="182"/>
        <v>0</v>
      </c>
      <c r="K261" s="583">
        <f t="shared" si="182"/>
        <v>0</v>
      </c>
      <c r="L261" s="611">
        <f t="shared" si="182"/>
        <v>0</v>
      </c>
      <c r="M261" s="4041" t="s">
        <v>23</v>
      </c>
      <c r="N261" s="4041" t="s">
        <v>23</v>
      </c>
      <c r="O261" s="2757"/>
    </row>
    <row r="262" spans="1:15" s="1508" customFormat="1" ht="13.5" hidden="1" customHeight="1">
      <c r="A262" s="425"/>
      <c r="B262" s="555" t="s">
        <v>24</v>
      </c>
      <c r="C262" s="4131" t="s">
        <v>303</v>
      </c>
      <c r="D262" s="888">
        <f t="shared" ref="D262:L262" si="183">+D263</f>
        <v>0</v>
      </c>
      <c r="E262" s="888">
        <f t="shared" si="183"/>
        <v>0</v>
      </c>
      <c r="F262" s="599">
        <f t="shared" si="183"/>
        <v>0</v>
      </c>
      <c r="G262" s="599">
        <f t="shared" si="183"/>
        <v>0</v>
      </c>
      <c r="H262" s="615">
        <f t="shared" si="183"/>
        <v>0</v>
      </c>
      <c r="I262" s="616">
        <f t="shared" si="183"/>
        <v>0</v>
      </c>
      <c r="J262" s="599">
        <f t="shared" si="183"/>
        <v>0</v>
      </c>
      <c r="K262" s="615">
        <f t="shared" si="183"/>
        <v>0</v>
      </c>
      <c r="L262" s="616">
        <f t="shared" si="183"/>
        <v>0</v>
      </c>
      <c r="M262" s="4042"/>
      <c r="N262" s="4042"/>
      <c r="O262" s="2758"/>
    </row>
    <row r="263" spans="1:15" s="1508" customFormat="1" ht="22.5" hidden="1" customHeight="1" thickBot="1">
      <c r="A263" s="3062"/>
      <c r="B263" s="558" t="s">
        <v>14</v>
      </c>
      <c r="C263" s="4132"/>
      <c r="D263" s="832">
        <f>E263+F263+G263+H263+I263+J263+K263+L263</f>
        <v>0</v>
      </c>
      <c r="E263" s="612">
        <v>0</v>
      </c>
      <c r="F263" s="617">
        <v>0</v>
      </c>
      <c r="G263" s="617">
        <v>0</v>
      </c>
      <c r="H263" s="618">
        <v>0</v>
      </c>
      <c r="I263" s="618">
        <v>0</v>
      </c>
      <c r="J263" s="617">
        <v>0</v>
      </c>
      <c r="K263" s="618">
        <v>0</v>
      </c>
      <c r="L263" s="618">
        <v>0</v>
      </c>
      <c r="M263" s="4043"/>
      <c r="N263" s="4043"/>
      <c r="O263" s="1189"/>
    </row>
    <row r="264" spans="1:15" ht="14.25" customHeight="1">
      <c r="A264" s="4157" t="s">
        <v>328</v>
      </c>
      <c r="B264" s="4157"/>
      <c r="C264" s="4157"/>
      <c r="D264" s="4157"/>
      <c r="E264" s="4157"/>
      <c r="F264" s="4157"/>
      <c r="G264" s="4157"/>
      <c r="H264" s="4157"/>
      <c r="I264" s="4157"/>
      <c r="J264" s="4157"/>
      <c r="K264" s="4157"/>
      <c r="L264" s="4157"/>
      <c r="M264" s="4157"/>
      <c r="N264" s="4157"/>
      <c r="O264" s="4157"/>
    </row>
    <row r="265" spans="1:15" ht="14.25" customHeight="1">
      <c r="A265" s="4157" t="s">
        <v>530</v>
      </c>
      <c r="B265" s="4157"/>
      <c r="C265" s="4157"/>
      <c r="D265" s="4157"/>
      <c r="E265" s="4157"/>
      <c r="F265" s="4157"/>
      <c r="G265" s="4157"/>
      <c r="H265" s="4157"/>
      <c r="I265" s="4157"/>
      <c r="J265" s="4157"/>
      <c r="K265" s="4157"/>
      <c r="L265" s="4157"/>
      <c r="M265" s="4157"/>
      <c r="N265" s="4157"/>
      <c r="O265" s="4157"/>
    </row>
    <row r="266" spans="1:15" ht="12.75" customHeight="1">
      <c r="A266" s="4157" t="s">
        <v>531</v>
      </c>
      <c r="B266" s="4157"/>
      <c r="C266" s="4157"/>
      <c r="D266" s="4157"/>
      <c r="E266" s="4157"/>
      <c r="F266" s="4157"/>
      <c r="G266" s="4157"/>
      <c r="H266" s="4157"/>
      <c r="I266" s="4157"/>
      <c r="J266" s="4157"/>
      <c r="K266" s="4157"/>
      <c r="L266" s="4157"/>
      <c r="M266" s="4157"/>
      <c r="N266" s="4157"/>
      <c r="O266" s="4157"/>
    </row>
    <row r="267" spans="1:15" ht="13.5" hidden="1" customHeight="1">
      <c r="A267" s="3084"/>
      <c r="B267" s="1236" t="s">
        <v>350</v>
      </c>
      <c r="C267" s="1227"/>
      <c r="D267" s="1227"/>
      <c r="E267" s="1227"/>
      <c r="F267" s="1227"/>
      <c r="G267" s="1227"/>
      <c r="H267" s="1227"/>
      <c r="I267" s="1227"/>
      <c r="J267" s="1227"/>
      <c r="K267" s="1227"/>
      <c r="L267" s="1227"/>
      <c r="M267" s="3084"/>
      <c r="N267" s="3084"/>
      <c r="O267" s="3084"/>
    </row>
    <row r="268" spans="1:15" ht="13.5" hidden="1" customHeight="1">
      <c r="A268" s="3084"/>
      <c r="B268" s="1202" t="s">
        <v>351</v>
      </c>
      <c r="C268" s="1227"/>
      <c r="D268" s="1233">
        <f t="shared" ref="D268:L268" si="184">+D220+D115+D77+D54+D35</f>
        <v>200575383</v>
      </c>
      <c r="E268" s="1233">
        <f t="shared" si="184"/>
        <v>17210565</v>
      </c>
      <c r="F268" s="1233">
        <f t="shared" si="184"/>
        <v>25341152</v>
      </c>
      <c r="G268" s="1233">
        <f t="shared" si="184"/>
        <v>33317120</v>
      </c>
      <c r="H268" s="1233">
        <f t="shared" si="184"/>
        <v>28336417</v>
      </c>
      <c r="I268" s="1233">
        <f t="shared" si="184"/>
        <v>17486098</v>
      </c>
      <c r="J268" s="1233">
        <f t="shared" si="184"/>
        <v>22576931</v>
      </c>
      <c r="K268" s="1233">
        <f t="shared" si="184"/>
        <v>22791129</v>
      </c>
      <c r="L268" s="1233">
        <f t="shared" si="184"/>
        <v>22619514</v>
      </c>
      <c r="M268" s="3084"/>
      <c r="N268" s="3084"/>
      <c r="O268" s="3084"/>
    </row>
    <row r="269" spans="1:15" ht="13.5" hidden="1" customHeight="1">
      <c r="A269" s="3084"/>
      <c r="B269" s="1202" t="s">
        <v>352</v>
      </c>
      <c r="C269" s="1227"/>
      <c r="D269" s="1233">
        <f t="shared" ref="D269:L269" si="185">+D66+D88+D134+D147+D231</f>
        <v>71504016</v>
      </c>
      <c r="E269" s="1233">
        <f t="shared" si="185"/>
        <v>499765</v>
      </c>
      <c r="F269" s="1233">
        <f t="shared" si="185"/>
        <v>1258342</v>
      </c>
      <c r="G269" s="1233">
        <f t="shared" si="185"/>
        <v>3356082</v>
      </c>
      <c r="H269" s="1233">
        <f t="shared" si="185"/>
        <v>32030561</v>
      </c>
      <c r="I269" s="1233">
        <f t="shared" si="185"/>
        <v>33675766</v>
      </c>
      <c r="J269" s="1233">
        <f t="shared" si="185"/>
        <v>144500</v>
      </c>
      <c r="K269" s="1233">
        <f t="shared" si="185"/>
        <v>144500</v>
      </c>
      <c r="L269" s="1233">
        <f t="shared" si="185"/>
        <v>144500</v>
      </c>
      <c r="M269" s="3084"/>
      <c r="N269" s="3084"/>
      <c r="O269" s="3084"/>
    </row>
    <row r="270" spans="1:15" ht="13.5" hidden="1" customHeight="1">
      <c r="A270" s="3084"/>
      <c r="B270" s="1202" t="s">
        <v>353</v>
      </c>
      <c r="C270" s="1227"/>
      <c r="D270" s="1234">
        <f>D268+D269</f>
        <v>272079399</v>
      </c>
      <c r="E270" s="1234">
        <f t="shared" ref="E270:L270" si="186">E268+E269</f>
        <v>17710330</v>
      </c>
      <c r="F270" s="1234">
        <f>F268+F269</f>
        <v>26599494</v>
      </c>
      <c r="G270" s="1234">
        <f t="shared" si="186"/>
        <v>36673202</v>
      </c>
      <c r="H270" s="1234">
        <f t="shared" si="186"/>
        <v>60366978</v>
      </c>
      <c r="I270" s="1234">
        <f t="shared" si="186"/>
        <v>51161864</v>
      </c>
      <c r="J270" s="1234">
        <f t="shared" si="186"/>
        <v>22721431</v>
      </c>
      <c r="K270" s="1234">
        <f t="shared" si="186"/>
        <v>22935629</v>
      </c>
      <c r="L270" s="1234">
        <f t="shared" si="186"/>
        <v>22764014</v>
      </c>
      <c r="M270" s="3084"/>
      <c r="N270" s="3084"/>
      <c r="O270" s="3084"/>
    </row>
    <row r="271" spans="1:15" ht="13.5" hidden="1" customHeight="1">
      <c r="A271" s="3084"/>
      <c r="B271" s="1230" t="s">
        <v>42</v>
      </c>
      <c r="C271" s="1232"/>
      <c r="D271" s="1235">
        <f t="shared" ref="D271:L271" si="187">D20-D270</f>
        <v>0</v>
      </c>
      <c r="E271" s="1235">
        <f t="shared" si="187"/>
        <v>0</v>
      </c>
      <c r="F271" s="1235">
        <f t="shared" si="187"/>
        <v>0</v>
      </c>
      <c r="G271" s="1235">
        <f t="shared" si="187"/>
        <v>0</v>
      </c>
      <c r="H271" s="1235">
        <f t="shared" si="187"/>
        <v>0</v>
      </c>
      <c r="I271" s="1235">
        <f t="shared" si="187"/>
        <v>0</v>
      </c>
      <c r="J271" s="1235">
        <f t="shared" si="187"/>
        <v>0</v>
      </c>
      <c r="K271" s="1235">
        <f t="shared" si="187"/>
        <v>0</v>
      </c>
      <c r="L271" s="1235">
        <f t="shared" si="187"/>
        <v>0</v>
      </c>
      <c r="M271" s="3084"/>
      <c r="N271" s="3084"/>
      <c r="O271" s="3084"/>
    </row>
    <row r="272" spans="1:15" ht="31.5" hidden="1" customHeight="1">
      <c r="A272" s="3084"/>
      <c r="B272" s="3084"/>
      <c r="C272" s="3084"/>
      <c r="D272" s="3084"/>
      <c r="E272" s="3084"/>
      <c r="F272" s="3084"/>
      <c r="G272" s="3084"/>
      <c r="H272" s="3084"/>
      <c r="I272" s="3084"/>
      <c r="J272" s="3084"/>
      <c r="K272" s="3084"/>
      <c r="L272" s="3084"/>
      <c r="M272" s="3084"/>
      <c r="N272" s="3084"/>
      <c r="O272" s="3084"/>
    </row>
    <row r="273" spans="1:15" ht="31.5" hidden="1" customHeight="1">
      <c r="A273" s="3084"/>
      <c r="B273" s="3084"/>
      <c r="C273" s="3084"/>
      <c r="D273" s="3084"/>
      <c r="E273" s="3084"/>
      <c r="F273" s="3084"/>
      <c r="G273" s="3084"/>
      <c r="H273" s="3084"/>
      <c r="I273" s="3084"/>
      <c r="J273" s="3084"/>
      <c r="K273" s="3084"/>
      <c r="L273" s="3084"/>
      <c r="M273" s="3084"/>
      <c r="N273" s="3084"/>
      <c r="O273" s="3084"/>
    </row>
    <row r="274" spans="1:15" hidden="1">
      <c r="B274" s="3086" t="s">
        <v>42</v>
      </c>
    </row>
    <row r="275" spans="1:15" hidden="1">
      <c r="B275" s="4156" t="s">
        <v>215</v>
      </c>
      <c r="C275" s="302" t="s">
        <v>109</v>
      </c>
      <c r="D275" s="305" t="e">
        <f>D115-#REF!-#REF!-F115-G115-H115-I115-J115-K115-L115</f>
        <v>#REF!</v>
      </c>
      <c r="E275" s="302" t="s">
        <v>109</v>
      </c>
    </row>
    <row r="276" spans="1:15" hidden="1">
      <c r="B276" s="4156"/>
      <c r="C276" s="302" t="s">
        <v>81</v>
      </c>
      <c r="D276" s="305" t="e">
        <f>D134-#REF!-#REF!-F134-G134-H134-I134-J134-K134-L134</f>
        <v>#REF!</v>
      </c>
      <c r="E276" s="302" t="s">
        <v>81</v>
      </c>
    </row>
    <row r="277" spans="1:15" hidden="1">
      <c r="B277" s="4156"/>
      <c r="D277" s="369" t="e">
        <f>D275+D276</f>
        <v>#REF!</v>
      </c>
    </row>
    <row r="278" spans="1:15" hidden="1"/>
    <row r="279" spans="1:15" hidden="1">
      <c r="B279" s="370" t="s">
        <v>564</v>
      </c>
      <c r="C279" s="302" t="s">
        <v>109</v>
      </c>
      <c r="D279" s="305" t="e">
        <f>+D105-#REF!-#REF!-F105-G105-H105-I105-J105-K105-L105</f>
        <v>#REF!</v>
      </c>
    </row>
    <row r="280" spans="1:15" hidden="1">
      <c r="C280" s="302" t="s">
        <v>81</v>
      </c>
      <c r="D280" s="305" t="e">
        <f>D124-#REF!-#REF!-F124-G124-H124-I124-J124-K124-L124</f>
        <v>#REF!</v>
      </c>
    </row>
    <row r="281" spans="1:15" hidden="1">
      <c r="D281" s="369" t="e">
        <f>D279+D280</f>
        <v>#REF!</v>
      </c>
    </row>
    <row r="282" spans="1:15" hidden="1"/>
    <row r="283" spans="1:15" hidden="1">
      <c r="B283" s="370" t="s">
        <v>217</v>
      </c>
      <c r="D283" s="369" t="e">
        <f>+D96-#REF!-#REF!-F96-G96-H96-I96-J96-K96-L96</f>
        <v>#REF!</v>
      </c>
    </row>
    <row r="284" spans="1:15" hidden="1"/>
    <row r="285" spans="1:15" hidden="1">
      <c r="B285" s="302" t="s">
        <v>216</v>
      </c>
      <c r="D285" s="369" t="e">
        <f>D281+D283</f>
        <v>#REF!</v>
      </c>
    </row>
    <row r="286" spans="1:15" hidden="1">
      <c r="E286" s="305"/>
    </row>
    <row r="287" spans="1:15" hidden="1">
      <c r="B287" s="302" t="s">
        <v>293</v>
      </c>
      <c r="D287" s="305">
        <f t="shared" ref="D287:L287" si="188">+D96+D106</f>
        <v>217942786</v>
      </c>
      <c r="E287" s="305">
        <f t="shared" si="188"/>
        <v>23889218</v>
      </c>
      <c r="F287" s="305">
        <f t="shared" si="188"/>
        <v>25667656</v>
      </c>
      <c r="G287" s="305">
        <f t="shared" si="188"/>
        <v>31391093</v>
      </c>
      <c r="H287" s="305">
        <f t="shared" si="188"/>
        <v>31341732</v>
      </c>
      <c r="I287" s="305">
        <f t="shared" si="188"/>
        <v>28252740</v>
      </c>
      <c r="J287" s="305">
        <f t="shared" si="188"/>
        <v>26593043</v>
      </c>
      <c r="K287" s="305">
        <f t="shared" si="188"/>
        <v>25498869</v>
      </c>
      <c r="L287" s="305">
        <f t="shared" si="188"/>
        <v>25308435</v>
      </c>
      <c r="M287" s="305">
        <f>SUM(D287:K287)-C287</f>
        <v>410577137</v>
      </c>
      <c r="N287" s="305">
        <f>SUM(E287:L287)-D287</f>
        <v>0</v>
      </c>
    </row>
    <row r="288" spans="1:15" hidden="1">
      <c r="B288" s="302" t="s">
        <v>294</v>
      </c>
      <c r="D288" s="305">
        <f t="shared" ref="D288:L288" si="189">+D125</f>
        <v>2194569</v>
      </c>
      <c r="E288" s="305">
        <f t="shared" si="189"/>
        <v>357504</v>
      </c>
      <c r="F288" s="305">
        <f t="shared" si="189"/>
        <v>421938</v>
      </c>
      <c r="G288" s="305">
        <f t="shared" si="189"/>
        <v>600000</v>
      </c>
      <c r="H288" s="305">
        <f t="shared" si="189"/>
        <v>237127</v>
      </c>
      <c r="I288" s="305">
        <f t="shared" si="189"/>
        <v>144500</v>
      </c>
      <c r="J288" s="305">
        <f t="shared" si="189"/>
        <v>144500</v>
      </c>
      <c r="K288" s="305">
        <f t="shared" si="189"/>
        <v>144500</v>
      </c>
      <c r="L288" s="305">
        <f t="shared" si="189"/>
        <v>144500</v>
      </c>
      <c r="M288" s="305">
        <f>SUM(D288:K288)-C288</f>
        <v>4244638</v>
      </c>
      <c r="N288" s="305">
        <f>SUM(E288:L288)-D288</f>
        <v>0</v>
      </c>
    </row>
    <row r="289" spans="2:14" hidden="1"/>
    <row r="290" spans="2:14" hidden="1">
      <c r="B290" s="302" t="s">
        <v>292</v>
      </c>
      <c r="D290" s="305">
        <f>+D115+'Tab. 6B Polit społ i rozwój prz'!D92+D134+'Tab. 6B Polit społ i rozwój prz'!D104</f>
        <v>249298062</v>
      </c>
      <c r="F290" s="305">
        <f>+F115+'Tab. 6B Polit społ i rozwój prz'!F92+F134+'Tab. 6B Polit społ i rozwój prz'!F104</f>
        <v>31211686</v>
      </c>
      <c r="G290" s="305">
        <f>+G115+'Tab. 6B Polit społ i rozwój prz'!G92+G134+'Tab. 6B Polit społ i rozwój prz'!G104</f>
        <v>35807663</v>
      </c>
      <c r="H290" s="305">
        <f>+H115+'Tab. 6B Polit społ i rozwój prz'!H92+H134+'Tab. 6B Polit społ i rozwój prz'!H104</f>
        <v>35056565</v>
      </c>
      <c r="I290" s="305">
        <f>+I115+'Tab. 6B Polit społ i rozwój prz'!I92+I134+'Tab. 6B Polit społ i rozwój prz'!I104</f>
        <v>23942946</v>
      </c>
      <c r="J290" s="305">
        <f>+J115+'Tab. 6B Polit społ i rozwój prz'!J92+J134+'Tab. 6B Polit społ i rozwój prz'!J104</f>
        <v>30471862</v>
      </c>
      <c r="K290" s="305">
        <f>+K115+'Tab. 6B Polit społ i rozwój prz'!K92+K134+'Tab. 6B Polit społ i rozwój prz'!K104</f>
        <v>30200542</v>
      </c>
      <c r="L290" s="305">
        <f>+L115+'Tab. 6B Polit społ i rozwój prz'!L92+L134+'Tab. 6B Polit społ i rozwój prz'!L104</f>
        <v>29343698</v>
      </c>
      <c r="M290" s="305">
        <f>SUM(D290:K290)-C290</f>
        <v>435989326</v>
      </c>
      <c r="N290" s="305">
        <f>SUM(E290:L290)-D290</f>
        <v>-33263100</v>
      </c>
    </row>
    <row r="291" spans="2:14" hidden="1">
      <c r="B291" s="302" t="s">
        <v>291</v>
      </c>
      <c r="D291" s="305">
        <f>+D94+D119+'Tab. 6B Polit społ i rozwój prz'!D86+'Tab. 6B Polit społ i rozwój prz'!D98</f>
        <v>296468308</v>
      </c>
      <c r="E291" s="305">
        <f>+E94+E119+'Tab. 6B Polit społ i rozwój prz'!E86+'Tab. 6B Polit społ i rozwój prz'!E98</f>
        <v>33319105</v>
      </c>
      <c r="F291" s="305">
        <f>+F94+F119+'Tab. 6B Polit społ i rozwój prz'!F86+'Tab. 6B Polit społ i rozwój prz'!F98</f>
        <v>35921024</v>
      </c>
      <c r="G291" s="305">
        <f>+G94+G119+'Tab. 6B Polit społ i rozwój prz'!G86+'Tab. 6B Polit społ i rozwój prz'!G98</f>
        <v>42571792</v>
      </c>
      <c r="H291" s="305">
        <f>+H94+H119+'Tab. 6B Polit społ i rozwój prz'!H86+'Tab. 6B Polit społ i rozwój prz'!H98</f>
        <v>41814402</v>
      </c>
      <c r="I291" s="305">
        <f>+I94+I119+'Tab. 6B Polit społ i rozwój prz'!I86+'Tab. 6B Polit społ i rozwój prz'!I98</f>
        <v>38175980</v>
      </c>
      <c r="J291" s="305">
        <f>+J94+J119+'Tab. 6B Polit społ i rozwój prz'!J86+'Tab. 6B Polit społ i rozwój prz'!J98</f>
        <v>36398837</v>
      </c>
      <c r="K291" s="305">
        <f>+K94+K119+'Tab. 6B Polit społ i rozwój prz'!K86+'Tab. 6B Polit społ i rozwój prz'!K98</f>
        <v>34584662</v>
      </c>
      <c r="L291" s="305">
        <f>+L94+L119+'Tab. 6B Polit społ i rozwój prz'!L86+'Tab. 6B Polit społ i rozwój prz'!L98</f>
        <v>33682506</v>
      </c>
      <c r="M291" s="305">
        <f>SUM(D291:K291)-C291</f>
        <v>559254110</v>
      </c>
      <c r="N291" s="305">
        <f>SUM(E291:L291)-D291</f>
        <v>0</v>
      </c>
    </row>
    <row r="292" spans="2:14" hidden="1"/>
    <row r="293" spans="2:14" hidden="1"/>
    <row r="294" spans="2:14" hidden="1"/>
    <row r="295" spans="2:14" hidden="1"/>
    <row r="296" spans="2:14" hidden="1">
      <c r="B296" s="302" t="s">
        <v>256</v>
      </c>
      <c r="C296" s="302" t="s">
        <v>254</v>
      </c>
      <c r="D296" s="305">
        <f>+D210+D176</f>
        <v>18000000</v>
      </c>
      <c r="F296" s="305">
        <f t="shared" ref="F296:K296" si="190">+F210+F176</f>
        <v>986569</v>
      </c>
      <c r="G296" s="305">
        <f t="shared" si="190"/>
        <v>3126060</v>
      </c>
      <c r="H296" s="305">
        <f t="shared" si="190"/>
        <v>5574771</v>
      </c>
      <c r="I296" s="305">
        <f t="shared" si="190"/>
        <v>7959008</v>
      </c>
      <c r="J296" s="305">
        <f t="shared" si="190"/>
        <v>0</v>
      </c>
      <c r="K296" s="305">
        <f t="shared" si="190"/>
        <v>0</v>
      </c>
      <c r="M296" s="305" t="e">
        <f t="shared" ref="M296:N299" si="191">SUM(D296:K296)-C296</f>
        <v>#VALUE!</v>
      </c>
      <c r="N296" s="305">
        <f t="shared" si="191"/>
        <v>-353592</v>
      </c>
    </row>
    <row r="297" spans="2:14" hidden="1">
      <c r="C297" s="302" t="s">
        <v>255</v>
      </c>
      <c r="D297" s="305">
        <f>+D168+D195</f>
        <v>0</v>
      </c>
      <c r="F297" s="305">
        <f t="shared" ref="F297:K297" si="192">+F168+F195</f>
        <v>0</v>
      </c>
      <c r="G297" s="305">
        <f t="shared" si="192"/>
        <v>0</v>
      </c>
      <c r="H297" s="305">
        <f t="shared" si="192"/>
        <v>0</v>
      </c>
      <c r="I297" s="305">
        <f t="shared" si="192"/>
        <v>0</v>
      </c>
      <c r="J297" s="305">
        <f t="shared" si="192"/>
        <v>0</v>
      </c>
      <c r="K297" s="305">
        <f t="shared" si="192"/>
        <v>0</v>
      </c>
      <c r="M297" s="305" t="e">
        <f t="shared" si="191"/>
        <v>#VALUE!</v>
      </c>
      <c r="N297" s="305">
        <f t="shared" si="191"/>
        <v>0</v>
      </c>
    </row>
    <row r="298" spans="2:14" hidden="1">
      <c r="D298" s="305">
        <f>SUM(D296:D297)</f>
        <v>18000000</v>
      </c>
      <c r="E298" s="305">
        <f t="shared" ref="E298:K298" si="193">SUM(E296:E297)</f>
        <v>0</v>
      </c>
      <c r="F298" s="305">
        <f t="shared" si="193"/>
        <v>986569</v>
      </c>
      <c r="G298" s="305">
        <f t="shared" si="193"/>
        <v>3126060</v>
      </c>
      <c r="H298" s="305">
        <f t="shared" si="193"/>
        <v>5574771</v>
      </c>
      <c r="I298" s="305">
        <f t="shared" si="193"/>
        <v>7959008</v>
      </c>
      <c r="J298" s="305">
        <f t="shared" si="193"/>
        <v>0</v>
      </c>
      <c r="K298" s="305">
        <f t="shared" si="193"/>
        <v>0</v>
      </c>
      <c r="M298" s="305">
        <f t="shared" si="191"/>
        <v>35646408</v>
      </c>
      <c r="N298" s="305">
        <f t="shared" si="191"/>
        <v>-353592</v>
      </c>
    </row>
    <row r="299" spans="2:14" hidden="1">
      <c r="B299" s="302" t="s">
        <v>295</v>
      </c>
      <c r="D299" s="305">
        <f t="shared" ref="D299:K299" si="194">D144</f>
        <v>18000000</v>
      </c>
      <c r="E299" s="305">
        <f t="shared" si="194"/>
        <v>353592</v>
      </c>
      <c r="F299" s="305">
        <f t="shared" si="194"/>
        <v>986569</v>
      </c>
      <c r="G299" s="305">
        <f t="shared" si="194"/>
        <v>3126060</v>
      </c>
      <c r="H299" s="305">
        <f t="shared" si="194"/>
        <v>5574771</v>
      </c>
      <c r="I299" s="305">
        <f t="shared" si="194"/>
        <v>7959008</v>
      </c>
      <c r="J299" s="305">
        <f t="shared" si="194"/>
        <v>0</v>
      </c>
      <c r="K299" s="305">
        <f t="shared" si="194"/>
        <v>0</v>
      </c>
      <c r="M299" s="305">
        <f t="shared" si="191"/>
        <v>36000000</v>
      </c>
      <c r="N299" s="305">
        <f t="shared" si="191"/>
        <v>0</v>
      </c>
    </row>
    <row r="300" spans="2:14" hidden="1"/>
    <row r="301" spans="2:14" hidden="1">
      <c r="B301" s="302" t="s">
        <v>296</v>
      </c>
      <c r="D301" s="305">
        <f>+D290+D298</f>
        <v>267298062</v>
      </c>
      <c r="E301" s="305">
        <f t="shared" ref="E301:L301" si="195">+E290+E298</f>
        <v>0</v>
      </c>
      <c r="F301" s="305">
        <f t="shared" si="195"/>
        <v>32198255</v>
      </c>
      <c r="G301" s="305">
        <f t="shared" si="195"/>
        <v>38933723</v>
      </c>
      <c r="H301" s="305">
        <f t="shared" si="195"/>
        <v>40631336</v>
      </c>
      <c r="I301" s="305">
        <f t="shared" si="195"/>
        <v>31901954</v>
      </c>
      <c r="J301" s="305">
        <f t="shared" si="195"/>
        <v>30471862</v>
      </c>
      <c r="K301" s="305">
        <f t="shared" si="195"/>
        <v>30200542</v>
      </c>
      <c r="L301" s="305">
        <f t="shared" si="195"/>
        <v>29343698</v>
      </c>
      <c r="M301" s="305">
        <f>SUM(D301:K301)-C301</f>
        <v>471635734</v>
      </c>
      <c r="N301" s="305">
        <f>SUM(E301:L301)-D301</f>
        <v>-33616692</v>
      </c>
    </row>
    <row r="302" spans="2:14" hidden="1">
      <c r="B302" s="302" t="s">
        <v>297</v>
      </c>
      <c r="D302" s="305">
        <f>+D291+D299</f>
        <v>314468308</v>
      </c>
      <c r="E302" s="305">
        <f t="shared" ref="E302:L302" si="196">+E291+E299</f>
        <v>33672697</v>
      </c>
      <c r="F302" s="305">
        <f t="shared" si="196"/>
        <v>36907593</v>
      </c>
      <c r="G302" s="305">
        <f t="shared" si="196"/>
        <v>45697852</v>
      </c>
      <c r="H302" s="305">
        <f t="shared" si="196"/>
        <v>47389173</v>
      </c>
      <c r="I302" s="305">
        <f t="shared" si="196"/>
        <v>46134988</v>
      </c>
      <c r="J302" s="305">
        <f t="shared" si="196"/>
        <v>36398837</v>
      </c>
      <c r="K302" s="305">
        <f t="shared" si="196"/>
        <v>34584662</v>
      </c>
      <c r="L302" s="305">
        <f t="shared" si="196"/>
        <v>33682506</v>
      </c>
      <c r="M302" s="305">
        <f>SUM(D302:K302)-C302</f>
        <v>595254110</v>
      </c>
      <c r="N302" s="305">
        <f>SUM(E302:L302)-D302</f>
        <v>0</v>
      </c>
    </row>
    <row r="303" spans="2:14" hidden="1"/>
    <row r="304" spans="2:14" hidden="1"/>
    <row r="305" hidden="1"/>
    <row r="401" spans="1:15" ht="13.5" thickBot="1">
      <c r="A401" s="2377"/>
    </row>
    <row r="402" spans="1:15" ht="13.5" thickBot="1">
      <c r="A402" s="2791"/>
    </row>
    <row r="403" spans="1:15" ht="13.5" thickBot="1">
      <c r="A403" s="2791"/>
    </row>
    <row r="404" spans="1:15" ht="13.5" thickBot="1">
      <c r="A404" s="2791"/>
    </row>
    <row r="405" spans="1:15" ht="13.5" thickBot="1">
      <c r="A405" s="2791"/>
    </row>
    <row r="406" spans="1:15" ht="13.5" thickBot="1">
      <c r="A406" s="2791"/>
    </row>
    <row r="407" spans="1:15" ht="13.5" thickBot="1">
      <c r="A407" s="2791"/>
      <c r="N407" s="378"/>
      <c r="O407" s="2378"/>
    </row>
    <row r="408" spans="1:15" ht="13.5" thickBot="1">
      <c r="A408" s="2791"/>
      <c r="C408" s="378"/>
      <c r="N408" s="2770"/>
      <c r="O408" s="2761"/>
    </row>
    <row r="409" spans="1:15" ht="13.5" thickBot="1">
      <c r="A409" s="2791"/>
      <c r="C409" s="2770"/>
      <c r="D409" s="378"/>
      <c r="E409" s="378"/>
      <c r="F409" s="378"/>
      <c r="G409" s="378"/>
      <c r="H409" s="378"/>
      <c r="I409" s="378"/>
      <c r="J409" s="378"/>
      <c r="K409" s="378"/>
      <c r="L409" s="378"/>
      <c r="N409" s="2770"/>
      <c r="O409" s="2761"/>
    </row>
    <row r="410" spans="1:15" ht="13.5" thickBot="1">
      <c r="A410" s="2791"/>
      <c r="C410" s="373"/>
      <c r="D410" s="373"/>
      <c r="E410" s="373"/>
      <c r="F410" s="373"/>
      <c r="G410" s="373"/>
      <c r="H410" s="373"/>
      <c r="I410" s="373"/>
      <c r="J410" s="373"/>
      <c r="K410" s="373"/>
      <c r="L410" s="373"/>
      <c r="N410" s="373"/>
      <c r="O410" s="2761"/>
    </row>
    <row r="411" spans="1:15" ht="13.5" thickBot="1">
      <c r="A411" s="2791"/>
      <c r="O411" s="2761"/>
    </row>
    <row r="412" spans="1:15" ht="13.5" thickBot="1">
      <c r="A412" s="2791"/>
      <c r="O412" s="2761"/>
    </row>
    <row r="413" spans="1:15" ht="13.5" thickBot="1">
      <c r="A413" s="2791"/>
      <c r="O413" s="2761"/>
    </row>
    <row r="414" spans="1:15" ht="13.5" thickBot="1">
      <c r="A414" s="2791"/>
      <c r="O414" s="2761"/>
    </row>
    <row r="415" spans="1:15" ht="13.5" thickBot="1">
      <c r="A415" s="2791"/>
      <c r="O415" s="2779"/>
    </row>
    <row r="416" spans="1:15" ht="13.5" thickBot="1">
      <c r="A416" s="2791"/>
    </row>
    <row r="417" spans="1:1" ht="13.5" thickBot="1">
      <c r="A417" s="2791"/>
    </row>
    <row r="418" spans="1:1">
      <c r="A418" s="2792"/>
    </row>
    <row r="516" spans="1:15" ht="13.5" thickBot="1">
      <c r="O516" s="2378"/>
    </row>
    <row r="517" spans="1:15" ht="13.5" thickBot="1">
      <c r="O517" s="2761"/>
    </row>
    <row r="518" spans="1:15" ht="13.5" thickBot="1">
      <c r="O518" s="2761"/>
    </row>
    <row r="519" spans="1:15" ht="13.5" thickBot="1">
      <c r="O519" s="2761"/>
    </row>
    <row r="520" spans="1:15" ht="13.5" thickBot="1">
      <c r="N520" s="378"/>
      <c r="O520" s="2761"/>
    </row>
    <row r="521" spans="1:15" ht="13.5" thickBot="1">
      <c r="N521" s="2770"/>
      <c r="O521" s="2761"/>
    </row>
    <row r="522" spans="1:15" ht="13.5" thickBot="1">
      <c r="N522" s="2770"/>
      <c r="O522" s="2761"/>
    </row>
    <row r="523" spans="1:15" ht="13.5" thickBot="1">
      <c r="N523" s="2770"/>
      <c r="O523" s="2761"/>
    </row>
    <row r="524" spans="1:15" ht="13.5" thickBot="1">
      <c r="N524" s="2770"/>
      <c r="O524" s="2761"/>
    </row>
    <row r="525" spans="1:15" ht="13.5" thickBot="1">
      <c r="A525" s="2377"/>
      <c r="B525" s="378"/>
      <c r="C525" s="378"/>
      <c r="D525" s="378"/>
      <c r="E525" s="378"/>
      <c r="F525" s="378"/>
      <c r="G525" s="378"/>
      <c r="H525" s="378"/>
      <c r="I525" s="378"/>
      <c r="J525" s="378"/>
      <c r="K525" s="378"/>
      <c r="L525" s="378"/>
      <c r="N525" s="2770"/>
      <c r="O525" s="2761"/>
    </row>
    <row r="526" spans="1:15" ht="13.5" thickBot="1">
      <c r="A526" s="2791"/>
      <c r="B526" s="373"/>
      <c r="C526" s="373"/>
      <c r="D526" s="373"/>
      <c r="E526" s="373"/>
      <c r="F526" s="373"/>
      <c r="G526" s="373"/>
      <c r="H526" s="373"/>
      <c r="I526" s="373"/>
      <c r="J526" s="373"/>
      <c r="K526" s="373"/>
      <c r="L526" s="373"/>
      <c r="N526" s="373"/>
      <c r="O526" s="2761"/>
    </row>
    <row r="527" spans="1:15" ht="13.5" thickBot="1">
      <c r="A527" s="2791"/>
      <c r="O527" s="2761"/>
    </row>
    <row r="528" spans="1:15" ht="13.5" thickBot="1">
      <c r="A528" s="2791"/>
      <c r="O528" s="2761"/>
    </row>
    <row r="529" spans="1:15" ht="13.5" thickBot="1">
      <c r="A529" s="2791"/>
      <c r="O529" s="2761"/>
    </row>
    <row r="530" spans="1:15" ht="13.5" thickBot="1">
      <c r="A530" s="2791"/>
      <c r="O530" s="2761"/>
    </row>
    <row r="531" spans="1:15" ht="13.5" thickBot="1">
      <c r="A531" s="2791"/>
      <c r="O531" s="2761"/>
    </row>
    <row r="532" spans="1:15" ht="13.5" thickBot="1">
      <c r="A532" s="2791"/>
      <c r="O532" s="2761"/>
    </row>
    <row r="533" spans="1:15">
      <c r="A533" s="2792"/>
      <c r="O533" s="2779"/>
    </row>
    <row r="540" spans="1:15" ht="13.5" thickBot="1"/>
    <row r="541" spans="1:15" ht="33.75">
      <c r="A541" s="371"/>
      <c r="B541" s="372" t="s">
        <v>69</v>
      </c>
      <c r="C541" s="372"/>
      <c r="D541" s="373"/>
      <c r="E541" s="373"/>
      <c r="F541" s="373"/>
      <c r="G541" s="373"/>
      <c r="H541" s="373"/>
      <c r="I541" s="373"/>
      <c r="J541" s="373"/>
      <c r="K541" s="373"/>
      <c r="L541" s="373"/>
      <c r="M541" s="373"/>
      <c r="N541" s="373"/>
      <c r="O541" s="374"/>
    </row>
    <row r="542" spans="1:15">
      <c r="A542" s="375"/>
      <c r="O542" s="376"/>
    </row>
    <row r="543" spans="1:15">
      <c r="A543" s="375"/>
      <c r="O543" s="376"/>
    </row>
    <row r="544" spans="1:15">
      <c r="A544" s="375"/>
      <c r="O544" s="376"/>
    </row>
    <row r="545" spans="1:15">
      <c r="A545" s="375"/>
      <c r="O545" s="376"/>
    </row>
    <row r="546" spans="1:15">
      <c r="A546" s="375"/>
      <c r="O546" s="376"/>
    </row>
    <row r="547" spans="1:15">
      <c r="A547" s="375"/>
      <c r="O547" s="376"/>
    </row>
    <row r="548" spans="1:15">
      <c r="A548" s="375"/>
      <c r="O548" s="376"/>
    </row>
    <row r="549" spans="1:15">
      <c r="A549" s="375"/>
      <c r="O549" s="376"/>
    </row>
    <row r="550" spans="1:15">
      <c r="A550" s="375"/>
      <c r="O550" s="376"/>
    </row>
    <row r="551" spans="1:15">
      <c r="A551" s="375"/>
      <c r="O551" s="376"/>
    </row>
    <row r="552" spans="1:15" ht="13.5" thickBot="1">
      <c r="A552" s="377"/>
      <c r="B552" s="378"/>
      <c r="C552" s="378"/>
      <c r="D552" s="378"/>
      <c r="E552" s="378"/>
      <c r="F552" s="378"/>
      <c r="G552" s="378"/>
      <c r="H552" s="378"/>
      <c r="I552" s="378"/>
      <c r="J552" s="378"/>
      <c r="K552" s="378"/>
      <c r="L552" s="378"/>
      <c r="M552" s="378"/>
      <c r="N552" s="378"/>
      <c r="O552" s="379"/>
    </row>
  </sheetData>
  <mergeCells count="117">
    <mergeCell ref="M6:M7"/>
    <mergeCell ref="M20:M25"/>
    <mergeCell ref="M35:M37"/>
    <mergeCell ref="M54:M58"/>
    <mergeCell ref="M66:M70"/>
    <mergeCell ref="P115:S136"/>
    <mergeCell ref="O137:O151"/>
    <mergeCell ref="O93:O117"/>
    <mergeCell ref="N115:N117"/>
    <mergeCell ref="N66:N70"/>
    <mergeCell ref="N77:N81"/>
    <mergeCell ref="M77:M81"/>
    <mergeCell ref="N88:N92"/>
    <mergeCell ref="O71:O81"/>
    <mergeCell ref="M147:M151"/>
    <mergeCell ref="A93:A117"/>
    <mergeCell ref="A118:A136"/>
    <mergeCell ref="C135:C136"/>
    <mergeCell ref="C120:C125"/>
    <mergeCell ref="C116:C117"/>
    <mergeCell ref="C95:C106"/>
    <mergeCell ref="O118:O136"/>
    <mergeCell ref="N134:N136"/>
    <mergeCell ref="C148:C151"/>
    <mergeCell ref="N147:N151"/>
    <mergeCell ref="M115:M117"/>
    <mergeCell ref="M134:M136"/>
    <mergeCell ref="A196:A208"/>
    <mergeCell ref="A212:A224"/>
    <mergeCell ref="A225:A235"/>
    <mergeCell ref="N245:N247"/>
    <mergeCell ref="C139:C146"/>
    <mergeCell ref="C164:C165"/>
    <mergeCell ref="N178:N184"/>
    <mergeCell ref="N163:N168"/>
    <mergeCell ref="A137:A151"/>
    <mergeCell ref="A155:A167"/>
    <mergeCell ref="C232:C235"/>
    <mergeCell ref="A169:A182"/>
    <mergeCell ref="A185:A194"/>
    <mergeCell ref="N205:N211"/>
    <mergeCell ref="C179:C180"/>
    <mergeCell ref="C187:C188"/>
    <mergeCell ref="N231:N235"/>
    <mergeCell ref="M220:M224"/>
    <mergeCell ref="M231:M235"/>
    <mergeCell ref="M245:M247"/>
    <mergeCell ref="M163:M168"/>
    <mergeCell ref="M178:M184"/>
    <mergeCell ref="M192:M194"/>
    <mergeCell ref="M205:M211"/>
    <mergeCell ref="A26:A37"/>
    <mergeCell ref="O26:O37"/>
    <mergeCell ref="C28:C31"/>
    <mergeCell ref="C36:C37"/>
    <mergeCell ref="A59:A70"/>
    <mergeCell ref="O59:O70"/>
    <mergeCell ref="C61:C65"/>
    <mergeCell ref="C67:C70"/>
    <mergeCell ref="O38:O58"/>
    <mergeCell ref="C40:C50"/>
    <mergeCell ref="N54:N58"/>
    <mergeCell ref="C55:C58"/>
    <mergeCell ref="A38:A58"/>
    <mergeCell ref="C73:C76"/>
    <mergeCell ref="C78:C81"/>
    <mergeCell ref="A71:A81"/>
    <mergeCell ref="M88:M92"/>
    <mergeCell ref="A266:O266"/>
    <mergeCell ref="A5:O5"/>
    <mergeCell ref="B6:B7"/>
    <mergeCell ref="C6:C7"/>
    <mergeCell ref="D6:D7"/>
    <mergeCell ref="O6:O7"/>
    <mergeCell ref="N6:N7"/>
    <mergeCell ref="N20:N25"/>
    <mergeCell ref="N35:N37"/>
    <mergeCell ref="G6:L6"/>
    <mergeCell ref="F6:F7"/>
    <mergeCell ref="E6:E7"/>
    <mergeCell ref="A82:A92"/>
    <mergeCell ref="O82:O92"/>
    <mergeCell ref="C84:C87"/>
    <mergeCell ref="C89:C92"/>
    <mergeCell ref="C166:C168"/>
    <mergeCell ref="C157:C162"/>
    <mergeCell ref="O225:O235"/>
    <mergeCell ref="C227:C230"/>
    <mergeCell ref="B275:B277"/>
    <mergeCell ref="A264:O264"/>
    <mergeCell ref="A248:A251"/>
    <mergeCell ref="O248:O251"/>
    <mergeCell ref="O238:O247"/>
    <mergeCell ref="C242:C244"/>
    <mergeCell ref="C246:C247"/>
    <mergeCell ref="C262:C263"/>
    <mergeCell ref="N261:N263"/>
    <mergeCell ref="O252:O255"/>
    <mergeCell ref="C254:C255"/>
    <mergeCell ref="A252:A255"/>
    <mergeCell ref="C250:C251"/>
    <mergeCell ref="A256:A259"/>
    <mergeCell ref="C258:C259"/>
    <mergeCell ref="O256:O259"/>
    <mergeCell ref="M261:M263"/>
    <mergeCell ref="A265:O265"/>
    <mergeCell ref="O212:O224"/>
    <mergeCell ref="C214:C219"/>
    <mergeCell ref="N220:N224"/>
    <mergeCell ref="C221:C224"/>
    <mergeCell ref="C206:C209"/>
    <mergeCell ref="C193:C194"/>
    <mergeCell ref="N192:N194"/>
    <mergeCell ref="C171:C177"/>
    <mergeCell ref="C189:C191"/>
    <mergeCell ref="C198:C204"/>
    <mergeCell ref="C181:C182"/>
  </mergeCells>
  <printOptions horizontalCentered="1"/>
  <pageMargins left="3.937007874015748E-2" right="7.874015748031496E-2" top="0.51181102362204722" bottom="0.51181102362204722" header="0.15748031496062992" footer="0.15748031496062992"/>
  <pageSetup paperSize="9" scale="64" firstPageNumber="45" fitToHeight="3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</oddHeader>
    <oddFooter>&amp;C&amp;8&amp;P</oddFooter>
  </headerFooter>
  <rowBreaks count="2" manualBreakCount="2">
    <brk id="70" max="14" man="1"/>
    <brk id="151" max="1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Y533"/>
  <sheetViews>
    <sheetView showGridLines="0" view="pageBreakPreview" zoomScaleSheetLayoutView="100" workbookViewId="0">
      <pane xSplit="3" ySplit="6" topLeftCell="D7" activePane="bottomRight" state="frozen"/>
      <selection activeCell="D14" sqref="D14"/>
      <selection pane="topRight" activeCell="D14" sqref="D14"/>
      <selection pane="bottomLeft" activeCell="D14" sqref="D14"/>
      <selection pane="bottomRight" activeCell="B177" sqref="B177:B217"/>
    </sheetView>
  </sheetViews>
  <sheetFormatPr defaultColWidth="9.140625" defaultRowHeight="11.25"/>
  <cols>
    <col min="1" max="1" width="4.140625" style="393" customWidth="1"/>
    <col min="2" max="2" width="59.28515625" style="311" customWidth="1"/>
    <col min="3" max="3" width="10.5703125" style="311" customWidth="1"/>
    <col min="4" max="4" width="13.140625" style="311" customWidth="1"/>
    <col min="5" max="5" width="12.42578125" style="311" customWidth="1"/>
    <col min="6" max="6" width="10.42578125" style="311" customWidth="1"/>
    <col min="7" max="7" width="10" style="311" customWidth="1"/>
    <col min="8" max="8" width="10.28515625" style="311" customWidth="1"/>
    <col min="9" max="10" width="9.85546875" style="311" customWidth="1"/>
    <col min="11" max="11" width="10" style="311" customWidth="1"/>
    <col min="12" max="12" width="8.28515625" style="311" customWidth="1"/>
    <col min="13" max="13" width="12.42578125" style="311" hidden="1" customWidth="1"/>
    <col min="14" max="14" width="12.42578125" style="311" customWidth="1"/>
    <col min="15" max="15" width="15.28515625" style="470" customWidth="1"/>
    <col min="16" max="16" width="3.28515625" style="311" hidden="1" customWidth="1"/>
    <col min="17" max="17" width="13.42578125" style="311" hidden="1" customWidth="1"/>
    <col min="18" max="21" width="18.28515625" style="311" hidden="1" customWidth="1"/>
    <col min="22" max="34" width="18.28515625" style="311" customWidth="1"/>
    <col min="35" max="76" width="3.28515625" style="311" customWidth="1"/>
    <col min="77" max="16384" width="9.140625" style="311"/>
  </cols>
  <sheetData>
    <row r="1" spans="1:77" s="469" customFormat="1" ht="18" customHeight="1">
      <c r="A1" s="481"/>
      <c r="B1" s="482"/>
      <c r="C1" s="481"/>
      <c r="D1" s="481"/>
      <c r="E1" s="481"/>
      <c r="F1" s="481"/>
      <c r="G1" s="307" t="s">
        <v>398</v>
      </c>
      <c r="H1" s="307"/>
      <c r="I1" s="307"/>
      <c r="J1" s="307"/>
      <c r="K1" s="307"/>
      <c r="L1" s="307"/>
      <c r="M1" s="6"/>
      <c r="N1" s="6"/>
      <c r="O1" s="7"/>
      <c r="P1" s="468"/>
      <c r="Q1" s="468"/>
      <c r="R1" s="468"/>
      <c r="S1" s="468"/>
      <c r="T1" s="468"/>
      <c r="U1" s="468"/>
      <c r="V1" s="468"/>
      <c r="W1" s="468"/>
      <c r="X1" s="468"/>
      <c r="Y1" s="468"/>
      <c r="Z1" s="468"/>
      <c r="AA1" s="468"/>
      <c r="AB1" s="468"/>
      <c r="AC1" s="468"/>
      <c r="AD1" s="468"/>
      <c r="AE1" s="468"/>
      <c r="AF1" s="468"/>
      <c r="AG1" s="468"/>
      <c r="AH1" s="468"/>
      <c r="AI1" s="468"/>
      <c r="AJ1" s="468"/>
      <c r="AK1" s="468"/>
      <c r="AL1" s="468"/>
      <c r="AM1" s="468"/>
      <c r="AN1" s="468"/>
      <c r="AO1" s="468"/>
      <c r="AP1" s="468"/>
      <c r="AQ1" s="468"/>
      <c r="AR1" s="468"/>
      <c r="AS1" s="468"/>
      <c r="AT1" s="468"/>
      <c r="AU1" s="468"/>
      <c r="AV1" s="468"/>
      <c r="AW1" s="468"/>
      <c r="AX1" s="468"/>
      <c r="AY1" s="468"/>
      <c r="AZ1" s="468"/>
      <c r="BA1" s="468"/>
      <c r="BB1" s="468"/>
      <c r="BC1" s="468"/>
      <c r="BD1" s="468"/>
      <c r="BE1" s="468"/>
      <c r="BF1" s="468"/>
      <c r="BG1" s="468"/>
      <c r="BH1" s="468"/>
      <c r="BI1" s="468"/>
      <c r="BJ1" s="468"/>
      <c r="BK1" s="468"/>
      <c r="BL1" s="468"/>
      <c r="BM1" s="468"/>
      <c r="BN1" s="468"/>
      <c r="BO1" s="468"/>
      <c r="BP1" s="468"/>
      <c r="BQ1" s="468"/>
      <c r="BR1" s="468"/>
      <c r="BS1" s="468"/>
      <c r="BT1" s="468"/>
      <c r="BU1" s="468"/>
      <c r="BV1" s="468"/>
      <c r="BW1" s="468"/>
      <c r="BX1" s="468"/>
      <c r="BY1" s="310"/>
    </row>
    <row r="2" spans="1:77" s="469" customFormat="1" ht="16.5" customHeight="1">
      <c r="A2" s="483"/>
      <c r="B2" s="482"/>
      <c r="C2" s="481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7"/>
      <c r="P2" s="468"/>
      <c r="Q2" s="468"/>
      <c r="R2" s="468"/>
      <c r="S2" s="468"/>
      <c r="T2" s="468"/>
      <c r="U2" s="468"/>
      <c r="V2" s="468"/>
      <c r="W2" s="468"/>
      <c r="X2" s="468"/>
      <c r="Y2" s="468"/>
      <c r="Z2" s="468"/>
      <c r="AA2" s="468"/>
      <c r="AB2" s="468"/>
      <c r="AC2" s="468"/>
      <c r="AD2" s="468"/>
      <c r="AE2" s="468"/>
      <c r="AF2" s="468"/>
      <c r="AG2" s="468"/>
      <c r="AH2" s="468"/>
      <c r="AI2" s="468"/>
      <c r="AJ2" s="468"/>
      <c r="AK2" s="468"/>
      <c r="AL2" s="468"/>
      <c r="AM2" s="468"/>
      <c r="AN2" s="468"/>
      <c r="AO2" s="468"/>
      <c r="AP2" s="468"/>
      <c r="AQ2" s="468"/>
      <c r="AR2" s="468"/>
      <c r="AS2" s="468"/>
      <c r="AT2" s="468"/>
      <c r="AU2" s="468"/>
      <c r="AV2" s="468"/>
      <c r="AW2" s="468"/>
      <c r="AX2" s="468"/>
      <c r="AY2" s="468"/>
      <c r="AZ2" s="468"/>
      <c r="BA2" s="468"/>
      <c r="BB2" s="468"/>
      <c r="BC2" s="468"/>
      <c r="BD2" s="468"/>
      <c r="BE2" s="468"/>
      <c r="BF2" s="468"/>
      <c r="BG2" s="468"/>
      <c r="BH2" s="468"/>
      <c r="BI2" s="468"/>
      <c r="BJ2" s="468"/>
      <c r="BK2" s="468"/>
      <c r="BL2" s="468"/>
      <c r="BM2" s="468"/>
      <c r="BN2" s="468"/>
      <c r="BO2" s="468"/>
      <c r="BP2" s="468"/>
      <c r="BQ2" s="468"/>
      <c r="BR2" s="468"/>
      <c r="BS2" s="468"/>
      <c r="BT2" s="468"/>
      <c r="BU2" s="468"/>
      <c r="BV2" s="468"/>
      <c r="BW2" s="468"/>
      <c r="BX2" s="468"/>
      <c r="BY2" s="310"/>
    </row>
    <row r="3" spans="1:77" s="469" customFormat="1" ht="18" customHeight="1" thickBot="1">
      <c r="A3" s="834" t="s">
        <v>156</v>
      </c>
      <c r="B3" s="835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6"/>
      <c r="N3" s="6"/>
      <c r="O3" s="7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468"/>
      <c r="AB3" s="468"/>
      <c r="AC3" s="468"/>
      <c r="AD3" s="468"/>
      <c r="AE3" s="468"/>
      <c r="AF3" s="468"/>
      <c r="AG3" s="468"/>
      <c r="AH3" s="468"/>
      <c r="AI3" s="468"/>
      <c r="AJ3" s="468"/>
      <c r="AK3" s="468"/>
      <c r="AL3" s="468"/>
      <c r="AM3" s="468"/>
      <c r="AN3" s="468"/>
      <c r="AO3" s="468"/>
      <c r="AP3" s="468"/>
      <c r="AQ3" s="468"/>
      <c r="AR3" s="468"/>
      <c r="AS3" s="468"/>
      <c r="AT3" s="468"/>
      <c r="AU3" s="468"/>
      <c r="AV3" s="468"/>
      <c r="AW3" s="468"/>
      <c r="AX3" s="468"/>
      <c r="AY3" s="468"/>
      <c r="AZ3" s="468"/>
      <c r="BA3" s="468"/>
      <c r="BB3" s="468"/>
      <c r="BC3" s="468"/>
      <c r="BD3" s="468"/>
      <c r="BE3" s="468"/>
      <c r="BF3" s="468"/>
      <c r="BG3" s="468"/>
      <c r="BH3" s="468"/>
      <c r="BI3" s="468"/>
      <c r="BJ3" s="468"/>
      <c r="BK3" s="468"/>
      <c r="BL3" s="468"/>
      <c r="BM3" s="468"/>
      <c r="BN3" s="468"/>
      <c r="BO3" s="468"/>
      <c r="BP3" s="468"/>
      <c r="BQ3" s="468"/>
      <c r="BR3" s="468"/>
      <c r="BS3" s="468"/>
      <c r="BT3" s="468"/>
      <c r="BU3" s="468"/>
      <c r="BV3" s="468"/>
      <c r="BW3" s="468"/>
      <c r="BX3" s="468"/>
      <c r="BY3" s="310"/>
    </row>
    <row r="4" spans="1:77" ht="82.5" customHeight="1" thickBot="1">
      <c r="A4" s="485"/>
      <c r="B4" s="4253" t="s">
        <v>75</v>
      </c>
      <c r="C4" s="4254" t="s">
        <v>71</v>
      </c>
      <c r="D4" s="3980" t="s">
        <v>72</v>
      </c>
      <c r="E4" s="3983" t="s">
        <v>396</v>
      </c>
      <c r="F4" s="3602" t="s">
        <v>436</v>
      </c>
      <c r="G4" s="3791" t="s">
        <v>392</v>
      </c>
      <c r="H4" s="3792"/>
      <c r="I4" s="3792"/>
      <c r="J4" s="3792"/>
      <c r="K4" s="3792"/>
      <c r="L4" s="3793"/>
      <c r="M4" s="4263" t="s">
        <v>406</v>
      </c>
      <c r="N4" s="4263" t="s">
        <v>393</v>
      </c>
      <c r="O4" s="4173" t="s">
        <v>73</v>
      </c>
      <c r="P4" s="310"/>
      <c r="Q4" s="310"/>
      <c r="R4" s="310"/>
      <c r="S4" s="310"/>
      <c r="T4" s="310"/>
      <c r="U4" s="310"/>
      <c r="V4" s="310"/>
      <c r="W4" s="310"/>
      <c r="X4" s="310"/>
      <c r="Y4" s="310"/>
      <c r="Z4" s="310"/>
      <c r="AA4" s="310"/>
      <c r="AB4" s="310"/>
      <c r="AC4" s="310"/>
      <c r="AD4" s="310"/>
      <c r="AE4" s="310"/>
      <c r="AF4" s="310"/>
      <c r="AG4" s="310"/>
      <c r="AH4" s="310"/>
      <c r="AI4" s="310"/>
      <c r="AJ4" s="310"/>
      <c r="AK4" s="310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  <c r="BO4" s="310"/>
      <c r="BP4" s="310"/>
      <c r="BQ4" s="310"/>
      <c r="BR4" s="310"/>
      <c r="BS4" s="310"/>
      <c r="BT4" s="310"/>
      <c r="BU4" s="310"/>
      <c r="BV4" s="310"/>
      <c r="BW4" s="310"/>
      <c r="BX4" s="310"/>
      <c r="BY4" s="310"/>
    </row>
    <row r="5" spans="1:77" ht="18" customHeight="1" thickBot="1">
      <c r="A5" s="486"/>
      <c r="B5" s="4253"/>
      <c r="C5" s="4255"/>
      <c r="D5" s="4172"/>
      <c r="E5" s="3985"/>
      <c r="F5" s="3604"/>
      <c r="G5" s="3042" t="s">
        <v>6</v>
      </c>
      <c r="H5" s="312" t="s">
        <v>179</v>
      </c>
      <c r="I5" s="312" t="s">
        <v>180</v>
      </c>
      <c r="J5" s="312" t="s">
        <v>222</v>
      </c>
      <c r="K5" s="312" t="s">
        <v>223</v>
      </c>
      <c r="L5" s="312" t="s">
        <v>224</v>
      </c>
      <c r="M5" s="4264"/>
      <c r="N5" s="4264"/>
      <c r="O5" s="4174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  <c r="BO5" s="310"/>
      <c r="BP5" s="310"/>
      <c r="BQ5" s="310"/>
      <c r="BR5" s="310"/>
      <c r="BS5" s="310"/>
      <c r="BT5" s="310"/>
      <c r="BU5" s="310"/>
      <c r="BV5" s="310"/>
      <c r="BW5" s="310"/>
      <c r="BX5" s="310"/>
      <c r="BY5" s="310"/>
    </row>
    <row r="6" spans="1:77" ht="14.25" customHeight="1">
      <c r="A6" s="911">
        <v>1</v>
      </c>
      <c r="B6" s="912">
        <v>2</v>
      </c>
      <c r="C6" s="913" t="s">
        <v>118</v>
      </c>
      <c r="D6" s="913" t="s">
        <v>119</v>
      </c>
      <c r="E6" s="1405">
        <v>5</v>
      </c>
      <c r="F6" s="913">
        <v>6</v>
      </c>
      <c r="G6" s="913">
        <v>7</v>
      </c>
      <c r="H6" s="913">
        <v>8</v>
      </c>
      <c r="I6" s="913">
        <v>9</v>
      </c>
      <c r="J6" s="913">
        <v>10</v>
      </c>
      <c r="K6" s="913">
        <v>11</v>
      </c>
      <c r="L6" s="913">
        <v>12</v>
      </c>
      <c r="M6" s="914">
        <v>13</v>
      </c>
      <c r="N6" s="914">
        <v>13</v>
      </c>
      <c r="O6" s="915">
        <v>14</v>
      </c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  <c r="BO6" s="310"/>
      <c r="BP6" s="310"/>
      <c r="BQ6" s="310"/>
      <c r="BR6" s="310"/>
      <c r="BS6" s="310"/>
      <c r="BT6" s="310"/>
      <c r="BU6" s="310"/>
      <c r="BV6" s="310"/>
      <c r="BW6" s="310"/>
      <c r="BX6" s="310"/>
      <c r="BY6" s="310"/>
    </row>
    <row r="7" spans="1:77" ht="14.25" customHeight="1">
      <c r="A7" s="619"/>
      <c r="B7" s="3218" t="s">
        <v>76</v>
      </c>
      <c r="C7" s="3219"/>
      <c r="D7" s="3220">
        <f>+D9+D8</f>
        <v>133145158</v>
      </c>
      <c r="E7" s="3220">
        <f t="shared" ref="E7:L7" si="0">+E9+E8</f>
        <v>474568</v>
      </c>
      <c r="F7" s="3220">
        <f t="shared" si="0"/>
        <v>5274823</v>
      </c>
      <c r="G7" s="3220">
        <f t="shared" si="0"/>
        <v>17148420</v>
      </c>
      <c r="H7" s="3220">
        <f t="shared" si="0"/>
        <v>61685783</v>
      </c>
      <c r="I7" s="3220">
        <f t="shared" si="0"/>
        <v>30232378</v>
      </c>
      <c r="J7" s="3220">
        <f>+J9+J8</f>
        <v>16856941</v>
      </c>
      <c r="K7" s="3220">
        <f t="shared" si="0"/>
        <v>1472245</v>
      </c>
      <c r="L7" s="3220">
        <f t="shared" si="0"/>
        <v>0</v>
      </c>
      <c r="M7" s="146">
        <f>+M9+M8</f>
        <v>96513253</v>
      </c>
      <c r="N7" s="146">
        <f t="shared" ref="N7" si="1">+N9</f>
        <v>115025118</v>
      </c>
      <c r="O7" s="487"/>
      <c r="P7" s="310"/>
      <c r="Q7" s="175">
        <f>+F7+G7</f>
        <v>22423243</v>
      </c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  <c r="BO7" s="310"/>
      <c r="BP7" s="310"/>
      <c r="BQ7" s="310"/>
      <c r="BR7" s="310"/>
      <c r="BS7" s="310"/>
      <c r="BT7" s="310"/>
      <c r="BU7" s="310"/>
      <c r="BV7" s="310"/>
      <c r="BW7" s="310"/>
      <c r="BX7" s="310"/>
      <c r="BY7" s="310"/>
    </row>
    <row r="8" spans="1:77" ht="14.25" customHeight="1">
      <c r="A8" s="619"/>
      <c r="B8" s="3221" t="s">
        <v>77</v>
      </c>
      <c r="C8" s="3222"/>
      <c r="D8" s="209">
        <f>D35+D157+D68</f>
        <v>13331341</v>
      </c>
      <c r="E8" s="209">
        <f t="shared" ref="E8:L8" si="2">E35+E157+E68</f>
        <v>0</v>
      </c>
      <c r="F8" s="209">
        <f t="shared" si="2"/>
        <v>4099273</v>
      </c>
      <c r="G8" s="209">
        <f t="shared" si="2"/>
        <v>8065758</v>
      </c>
      <c r="H8" s="209">
        <f t="shared" si="2"/>
        <v>808777</v>
      </c>
      <c r="I8" s="209">
        <f t="shared" si="2"/>
        <v>356812</v>
      </c>
      <c r="J8" s="209">
        <f>J35+J157+J68</f>
        <v>721</v>
      </c>
      <c r="K8" s="209">
        <f t="shared" si="2"/>
        <v>0</v>
      </c>
      <c r="L8" s="209">
        <f t="shared" si="2"/>
        <v>0</v>
      </c>
      <c r="M8" s="1773">
        <f t="shared" ref="M8" si="3">M35+M157</f>
        <v>13238150</v>
      </c>
      <c r="N8" s="18">
        <v>0</v>
      </c>
      <c r="O8" s="487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0"/>
      <c r="AD8" s="310"/>
      <c r="AE8" s="310"/>
      <c r="AF8" s="310"/>
      <c r="AG8" s="310"/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  <c r="BH8" s="310"/>
      <c r="BI8" s="310"/>
      <c r="BJ8" s="310"/>
      <c r="BK8" s="310"/>
      <c r="BL8" s="310"/>
      <c r="BM8" s="310"/>
      <c r="BN8" s="310"/>
      <c r="BO8" s="310"/>
      <c r="BP8" s="310"/>
      <c r="BQ8" s="310"/>
      <c r="BR8" s="310"/>
      <c r="BS8" s="310"/>
      <c r="BT8" s="310"/>
      <c r="BU8" s="310"/>
      <c r="BV8" s="310"/>
      <c r="BW8" s="310"/>
      <c r="BX8" s="310"/>
      <c r="BY8" s="310"/>
    </row>
    <row r="9" spans="1:77" ht="14.25" customHeight="1" thickBot="1">
      <c r="A9" s="619"/>
      <c r="B9" s="3223" t="s">
        <v>9</v>
      </c>
      <c r="C9" s="3224"/>
      <c r="D9" s="219">
        <f>+D26+D45+D56+D81+D107+D119+D131+D143+D169+D93</f>
        <v>119813817</v>
      </c>
      <c r="E9" s="219">
        <f t="shared" ref="E9:L9" si="4">+E26+E45+E56+E81+E107+E119+E131+E143+E169+E93</f>
        <v>474568</v>
      </c>
      <c r="F9" s="219">
        <f t="shared" si="4"/>
        <v>1175550</v>
      </c>
      <c r="G9" s="219">
        <f t="shared" si="4"/>
        <v>9082662</v>
      </c>
      <c r="H9" s="219">
        <f t="shared" si="4"/>
        <v>60877006</v>
      </c>
      <c r="I9" s="219">
        <f t="shared" si="4"/>
        <v>29875566</v>
      </c>
      <c r="J9" s="219">
        <f t="shared" si="4"/>
        <v>16856220</v>
      </c>
      <c r="K9" s="219">
        <f t="shared" si="4"/>
        <v>1472245</v>
      </c>
      <c r="L9" s="219">
        <f t="shared" si="4"/>
        <v>0</v>
      </c>
      <c r="M9" s="148">
        <f t="shared" ref="M9" si="5">+M26+M45+M56+M68+M81+M107+M119+M131+M143+M169</f>
        <v>83275103</v>
      </c>
      <c r="N9" s="148">
        <f>+N26+N45+N56+N68+N81+N107</f>
        <v>115025118</v>
      </c>
      <c r="O9" s="487"/>
      <c r="P9" s="310"/>
      <c r="Q9" s="310"/>
      <c r="R9" s="310"/>
      <c r="S9" s="310"/>
      <c r="T9" s="310"/>
      <c r="U9" s="310"/>
      <c r="V9" s="310"/>
      <c r="W9" s="310"/>
      <c r="X9" s="310"/>
      <c r="Y9" s="310"/>
      <c r="Z9" s="310"/>
      <c r="AA9" s="310"/>
      <c r="AB9" s="310"/>
      <c r="AC9" s="310"/>
      <c r="AD9" s="310"/>
      <c r="AE9" s="310"/>
      <c r="AF9" s="310"/>
      <c r="AG9" s="310"/>
      <c r="AH9" s="310"/>
      <c r="AI9" s="310"/>
      <c r="AJ9" s="310"/>
      <c r="AK9" s="310"/>
      <c r="AL9" s="310"/>
      <c r="AM9" s="310"/>
      <c r="AN9" s="310"/>
      <c r="AO9" s="310"/>
      <c r="AP9" s="310"/>
      <c r="AQ9" s="310"/>
      <c r="AR9" s="310"/>
      <c r="AS9" s="310"/>
      <c r="AT9" s="310"/>
      <c r="AU9" s="310"/>
      <c r="AV9" s="310"/>
      <c r="AW9" s="310"/>
      <c r="AX9" s="310"/>
      <c r="AY9" s="310"/>
      <c r="AZ9" s="310"/>
      <c r="BA9" s="310"/>
      <c r="BB9" s="310"/>
      <c r="BC9" s="310"/>
      <c r="BD9" s="310"/>
      <c r="BE9" s="310"/>
      <c r="BF9" s="310"/>
      <c r="BG9" s="310"/>
      <c r="BH9" s="310"/>
      <c r="BI9" s="310"/>
      <c r="BJ9" s="310"/>
      <c r="BK9" s="310"/>
      <c r="BL9" s="310"/>
      <c r="BM9" s="310"/>
      <c r="BN9" s="310"/>
      <c r="BO9" s="310"/>
      <c r="BP9" s="310"/>
      <c r="BQ9" s="310"/>
      <c r="BR9" s="310"/>
      <c r="BS9" s="310"/>
      <c r="BT9" s="310"/>
      <c r="BU9" s="310"/>
      <c r="BV9" s="310"/>
      <c r="BW9" s="310"/>
      <c r="BX9" s="310"/>
      <c r="BY9" s="310"/>
    </row>
    <row r="10" spans="1:77" s="510" customFormat="1" ht="12">
      <c r="A10" s="619"/>
      <c r="B10" s="1304" t="s">
        <v>10</v>
      </c>
      <c r="C10" s="1304"/>
      <c r="D10" s="1303">
        <f>+D11+D15</f>
        <v>249393701</v>
      </c>
      <c r="E10" s="1303">
        <f t="shared" ref="E10" si="6">+E11+E15</f>
        <v>1016201</v>
      </c>
      <c r="F10" s="1303">
        <f t="shared" ref="F10:L10" si="7">+F11+F15</f>
        <v>5356113</v>
      </c>
      <c r="G10" s="1303">
        <f t="shared" si="7"/>
        <v>24468984</v>
      </c>
      <c r="H10" s="1303">
        <f t="shared" si="7"/>
        <v>95838632</v>
      </c>
      <c r="I10" s="1303">
        <f t="shared" si="7"/>
        <v>77947477</v>
      </c>
      <c r="J10" s="1303">
        <f t="shared" si="7"/>
        <v>33201433</v>
      </c>
      <c r="K10" s="1303">
        <f t="shared" si="7"/>
        <v>11564745</v>
      </c>
      <c r="L10" s="1303">
        <f t="shared" si="7"/>
        <v>0</v>
      </c>
      <c r="M10" s="358">
        <f>+M11</f>
        <v>132670590</v>
      </c>
      <c r="N10" s="358">
        <f>+N11</f>
        <v>127395767</v>
      </c>
      <c r="O10" s="4256"/>
      <c r="P10" s="310"/>
      <c r="Q10" s="175"/>
      <c r="R10" s="175">
        <f>+D24+D42+D54+D66+D78+D104</f>
        <v>221640688</v>
      </c>
      <c r="S10" s="310"/>
      <c r="T10" s="310"/>
      <c r="U10" s="310"/>
      <c r="V10" s="310"/>
      <c r="W10" s="310"/>
      <c r="X10" s="310"/>
      <c r="Y10" s="310"/>
      <c r="Z10" s="310"/>
      <c r="AA10" s="310"/>
      <c r="AB10" s="310"/>
      <c r="AC10" s="310"/>
      <c r="AD10" s="310"/>
      <c r="AE10" s="310"/>
      <c r="AF10" s="310"/>
      <c r="AG10" s="310"/>
      <c r="AH10" s="310"/>
      <c r="AI10" s="310"/>
      <c r="AJ10" s="310"/>
      <c r="AK10" s="310"/>
      <c r="AL10" s="310"/>
      <c r="AM10" s="310"/>
      <c r="AN10" s="310"/>
      <c r="AO10" s="310"/>
      <c r="AP10" s="310"/>
      <c r="AQ10" s="310"/>
      <c r="AR10" s="310"/>
      <c r="AS10" s="310"/>
      <c r="AT10" s="310"/>
      <c r="AU10" s="310"/>
      <c r="AV10" s="310"/>
      <c r="AW10" s="310"/>
      <c r="AX10" s="310"/>
      <c r="AY10" s="310"/>
      <c r="AZ10" s="310"/>
      <c r="BA10" s="310"/>
      <c r="BB10" s="310"/>
      <c r="BC10" s="310"/>
      <c r="BD10" s="310"/>
      <c r="BE10" s="310"/>
      <c r="BF10" s="310"/>
      <c r="BG10" s="310"/>
      <c r="BH10" s="310"/>
      <c r="BI10" s="310"/>
      <c r="BJ10" s="310"/>
      <c r="BK10" s="310"/>
      <c r="BL10" s="310"/>
      <c r="BM10" s="310"/>
      <c r="BN10" s="310"/>
      <c r="BO10" s="310"/>
      <c r="BP10" s="310"/>
      <c r="BQ10" s="310"/>
      <c r="BR10" s="310"/>
      <c r="BS10" s="310"/>
      <c r="BT10" s="310"/>
      <c r="BU10" s="310"/>
      <c r="BV10" s="310"/>
      <c r="BW10" s="310"/>
      <c r="BX10" s="310"/>
      <c r="BY10" s="310"/>
    </row>
    <row r="11" spans="1:77" s="510" customFormat="1" ht="14.1" customHeight="1">
      <c r="A11" s="619"/>
      <c r="B11" s="3225" t="s">
        <v>11</v>
      </c>
      <c r="C11" s="4258" t="s">
        <v>61</v>
      </c>
      <c r="D11" s="3226">
        <f>+D12+D13+D14</f>
        <v>134023122</v>
      </c>
      <c r="E11" s="3226">
        <f t="shared" ref="E11:L11" si="8">+E12+E13+E14</f>
        <v>491301</v>
      </c>
      <c r="F11" s="3226">
        <f>+F12+F13+F14</f>
        <v>5320081</v>
      </c>
      <c r="G11" s="3226">
        <f>+G12+G13+G14</f>
        <v>17453800</v>
      </c>
      <c r="H11" s="3226">
        <f t="shared" si="8"/>
        <v>62196260</v>
      </c>
      <c r="I11" s="3226">
        <f t="shared" si="8"/>
        <v>30232378</v>
      </c>
      <c r="J11" s="3226">
        <f t="shared" si="8"/>
        <v>16856941</v>
      </c>
      <c r="K11" s="3226">
        <f t="shared" si="8"/>
        <v>1472245</v>
      </c>
      <c r="L11" s="3226">
        <f t="shared" si="8"/>
        <v>0</v>
      </c>
      <c r="M11" s="3227">
        <f>+M13</f>
        <v>132670590</v>
      </c>
      <c r="N11" s="3227">
        <f>+N13</f>
        <v>127395767</v>
      </c>
      <c r="O11" s="4256"/>
      <c r="P11" s="310"/>
      <c r="Q11" s="175"/>
      <c r="R11" s="175">
        <f>+R10-D10</f>
        <v>-27753013</v>
      </c>
      <c r="S11" s="310"/>
      <c r="T11" s="310"/>
      <c r="U11" s="310"/>
      <c r="V11" s="310"/>
      <c r="W11" s="310"/>
      <c r="X11" s="310"/>
      <c r="Y11" s="310"/>
      <c r="Z11" s="310"/>
      <c r="AA11" s="310"/>
      <c r="AB11" s="310"/>
      <c r="AC11" s="310"/>
      <c r="AD11" s="310"/>
      <c r="AE11" s="310"/>
      <c r="AF11" s="310"/>
      <c r="AG11" s="310"/>
      <c r="AH11" s="310"/>
      <c r="AI11" s="310"/>
      <c r="AJ11" s="310"/>
      <c r="AK11" s="310"/>
      <c r="AL11" s="310"/>
      <c r="AM11" s="310"/>
      <c r="AN11" s="310"/>
      <c r="AO11" s="310"/>
      <c r="AP11" s="310"/>
      <c r="AQ11" s="310"/>
      <c r="AR11" s="310"/>
      <c r="AS11" s="310"/>
      <c r="AT11" s="310"/>
      <c r="AU11" s="310"/>
      <c r="AV11" s="310"/>
      <c r="AW11" s="310"/>
      <c r="AX11" s="310"/>
      <c r="AY11" s="310"/>
      <c r="AZ11" s="310"/>
      <c r="BA11" s="310"/>
      <c r="BB11" s="310"/>
      <c r="BC11" s="310"/>
      <c r="BD11" s="310"/>
      <c r="BE11" s="310"/>
      <c r="BF11" s="310"/>
      <c r="BG11" s="310"/>
      <c r="BH11" s="310"/>
      <c r="BI11" s="310"/>
      <c r="BJ11" s="310"/>
      <c r="BK11" s="310"/>
      <c r="BL11" s="310"/>
      <c r="BM11" s="310"/>
      <c r="BN11" s="310"/>
      <c r="BO11" s="310"/>
      <c r="BP11" s="310"/>
      <c r="BQ11" s="310"/>
      <c r="BR11" s="310"/>
      <c r="BS11" s="310"/>
      <c r="BT11" s="310"/>
      <c r="BU11" s="310"/>
      <c r="BV11" s="310"/>
      <c r="BW11" s="310"/>
      <c r="BX11" s="310"/>
      <c r="BY11" s="310"/>
    </row>
    <row r="12" spans="1:77" s="510" customFormat="1" ht="12">
      <c r="A12" s="619"/>
      <c r="B12" s="3228" t="s">
        <v>32</v>
      </c>
      <c r="C12" s="4258"/>
      <c r="D12" s="3229">
        <f>D142+D156+D168+D118+D106+D92+D69+D80</f>
        <v>145381</v>
      </c>
      <c r="E12" s="3229">
        <f t="shared" ref="E12:L12" si="9">E142+E156+E168+E118+E106+E92</f>
        <v>16733</v>
      </c>
      <c r="F12" s="3229">
        <f t="shared" si="9"/>
        <v>40908</v>
      </c>
      <c r="G12" s="3229">
        <f t="shared" si="9"/>
        <v>47624</v>
      </c>
      <c r="H12" s="3229">
        <f t="shared" si="9"/>
        <v>40000</v>
      </c>
      <c r="I12" s="3229">
        <f t="shared" si="9"/>
        <v>0</v>
      </c>
      <c r="J12" s="3229">
        <f t="shared" si="9"/>
        <v>0</v>
      </c>
      <c r="K12" s="3229">
        <f t="shared" si="9"/>
        <v>0</v>
      </c>
      <c r="L12" s="3229">
        <f t="shared" si="9"/>
        <v>0</v>
      </c>
      <c r="M12" s="3230" t="s">
        <v>61</v>
      </c>
      <c r="N12" s="3230" t="s">
        <v>61</v>
      </c>
      <c r="O12" s="4256"/>
      <c r="P12" s="310"/>
      <c r="Q12" s="175"/>
      <c r="R12" s="310"/>
      <c r="S12" s="310"/>
      <c r="T12" s="310"/>
      <c r="U12" s="310"/>
      <c r="V12" s="310"/>
      <c r="W12" s="310"/>
      <c r="X12" s="310"/>
      <c r="Y12" s="310"/>
      <c r="Z12" s="310"/>
      <c r="AA12" s="310"/>
      <c r="AB12" s="310"/>
      <c r="AC12" s="310"/>
      <c r="AD12" s="310"/>
      <c r="AE12" s="310"/>
      <c r="AF12" s="310"/>
      <c r="AG12" s="310"/>
      <c r="AH12" s="310"/>
      <c r="AI12" s="310"/>
      <c r="AJ12" s="310"/>
      <c r="AK12" s="310"/>
      <c r="AL12" s="310"/>
      <c r="AM12" s="310"/>
      <c r="AN12" s="310"/>
      <c r="AO12" s="310"/>
      <c r="AP12" s="310"/>
      <c r="AQ12" s="310"/>
      <c r="AR12" s="310"/>
      <c r="AS12" s="310"/>
      <c r="AT12" s="310"/>
      <c r="AU12" s="310"/>
      <c r="AV12" s="310"/>
      <c r="AW12" s="310"/>
      <c r="AX12" s="310"/>
      <c r="AY12" s="310"/>
      <c r="AZ12" s="310"/>
      <c r="BA12" s="310"/>
      <c r="BB12" s="310"/>
      <c r="BC12" s="310"/>
      <c r="BD12" s="310"/>
      <c r="BE12" s="310"/>
      <c r="BF12" s="310"/>
      <c r="BG12" s="310"/>
      <c r="BH12" s="310"/>
      <c r="BI12" s="310"/>
      <c r="BJ12" s="310"/>
      <c r="BK12" s="310"/>
      <c r="BL12" s="310"/>
      <c r="BM12" s="310"/>
      <c r="BN12" s="310"/>
      <c r="BO12" s="310"/>
      <c r="BP12" s="310"/>
      <c r="BQ12" s="310"/>
      <c r="BR12" s="310"/>
      <c r="BS12" s="310"/>
      <c r="BT12" s="310"/>
      <c r="BU12" s="310"/>
      <c r="BV12" s="310"/>
      <c r="BW12" s="310"/>
      <c r="BX12" s="310"/>
      <c r="BY12" s="310"/>
    </row>
    <row r="13" spans="1:77" s="510" customFormat="1" ht="12">
      <c r="A13" s="619"/>
      <c r="B13" s="3228" t="s">
        <v>157</v>
      </c>
      <c r="C13" s="4258"/>
      <c r="D13" s="3229">
        <f>+D26+D45+D56+D68+D107+D81+D119+D131+D35+D143+D157+D169+D93</f>
        <v>133145158</v>
      </c>
      <c r="E13" s="3229">
        <f t="shared" ref="E13:L13" si="10">+E26+E45+E56+E68+E107+E81+E119+E131+E35+E143+E157+E169+E93</f>
        <v>474568</v>
      </c>
      <c r="F13" s="3229">
        <f t="shared" si="10"/>
        <v>5274823</v>
      </c>
      <c r="G13" s="3229">
        <f>+G26+G45+G56+G68+G107+G81+G119+G131+G35+G143+G157+G169+G93</f>
        <v>17148420</v>
      </c>
      <c r="H13" s="3229">
        <f>+H26+H45+H56+H68+H107+H81+H119+H131+H35+H143+H157+H169+H93</f>
        <v>61685783</v>
      </c>
      <c r="I13" s="3229">
        <f t="shared" si="10"/>
        <v>30232378</v>
      </c>
      <c r="J13" s="3229">
        <f>+J26+J45+J56+J68+J107+J81+J119+J131+J35+J143+J157+J169+J93</f>
        <v>16856941</v>
      </c>
      <c r="K13" s="3229">
        <f t="shared" si="10"/>
        <v>1472245</v>
      </c>
      <c r="L13" s="3229">
        <f t="shared" si="10"/>
        <v>0</v>
      </c>
      <c r="M13" s="488">
        <f>SUM(F13:L13)</f>
        <v>132670590</v>
      </c>
      <c r="N13" s="488">
        <f>SUM(G13:L13)</f>
        <v>127395767</v>
      </c>
      <c r="O13" s="4256"/>
      <c r="P13" s="310"/>
      <c r="Q13" s="175"/>
      <c r="R13" s="175"/>
      <c r="S13" s="310"/>
      <c r="T13" s="310"/>
      <c r="U13" s="310"/>
      <c r="V13" s="310"/>
      <c r="W13" s="310"/>
      <c r="X13" s="310"/>
      <c r="Y13" s="310"/>
      <c r="Z13" s="310"/>
      <c r="AA13" s="310"/>
      <c r="AB13" s="310"/>
      <c r="AC13" s="310"/>
      <c r="AD13" s="310"/>
      <c r="AE13" s="310"/>
      <c r="AF13" s="310"/>
      <c r="AG13" s="310"/>
      <c r="AH13" s="310"/>
      <c r="AI13" s="310"/>
      <c r="AJ13" s="310"/>
      <c r="AK13" s="310"/>
      <c r="AL13" s="310"/>
      <c r="AM13" s="310"/>
      <c r="AN13" s="310"/>
      <c r="AO13" s="310"/>
      <c r="AP13" s="310"/>
      <c r="AQ13" s="310"/>
      <c r="AR13" s="310"/>
      <c r="AS13" s="310"/>
      <c r="AT13" s="310"/>
      <c r="AU13" s="310"/>
      <c r="AV13" s="310"/>
      <c r="AW13" s="310"/>
      <c r="AX13" s="310"/>
      <c r="AY13" s="310"/>
      <c r="AZ13" s="310"/>
      <c r="BA13" s="310"/>
      <c r="BB13" s="310"/>
      <c r="BC13" s="310"/>
      <c r="BD13" s="310"/>
      <c r="BE13" s="310"/>
      <c r="BF13" s="310"/>
      <c r="BG13" s="310"/>
      <c r="BH13" s="310"/>
      <c r="BI13" s="310"/>
      <c r="BJ13" s="310"/>
      <c r="BK13" s="310"/>
      <c r="BL13" s="310"/>
      <c r="BM13" s="310"/>
      <c r="BN13" s="310"/>
      <c r="BO13" s="310"/>
      <c r="BP13" s="310"/>
      <c r="BQ13" s="310"/>
      <c r="BR13" s="310"/>
      <c r="BS13" s="310"/>
      <c r="BT13" s="310"/>
      <c r="BU13" s="310"/>
      <c r="BV13" s="310"/>
      <c r="BW13" s="310"/>
      <c r="BX13" s="310"/>
      <c r="BY13" s="310"/>
    </row>
    <row r="14" spans="1:77" s="510" customFormat="1" ht="12">
      <c r="A14" s="619"/>
      <c r="B14" s="3137" t="s">
        <v>413</v>
      </c>
      <c r="C14" s="4259"/>
      <c r="D14" s="3138">
        <f>D144+D94</f>
        <v>732583</v>
      </c>
      <c r="E14" s="3138">
        <f t="shared" ref="E14:L14" si="11">E144+E94</f>
        <v>0</v>
      </c>
      <c r="F14" s="3138">
        <f t="shared" si="11"/>
        <v>4350</v>
      </c>
      <c r="G14" s="3138">
        <f t="shared" si="11"/>
        <v>257756</v>
      </c>
      <c r="H14" s="3138">
        <f t="shared" si="11"/>
        <v>470477</v>
      </c>
      <c r="I14" s="3138">
        <f t="shared" si="11"/>
        <v>0</v>
      </c>
      <c r="J14" s="3138">
        <f t="shared" si="11"/>
        <v>0</v>
      </c>
      <c r="K14" s="3138">
        <f t="shared" si="11"/>
        <v>0</v>
      </c>
      <c r="L14" s="3138">
        <f t="shared" si="11"/>
        <v>0</v>
      </c>
      <c r="M14" s="1574"/>
      <c r="N14" s="1574"/>
      <c r="O14" s="4256"/>
      <c r="P14" s="310"/>
      <c r="Q14" s="175"/>
      <c r="R14" s="175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310"/>
      <c r="AL14" s="310"/>
      <c r="AM14" s="310"/>
      <c r="AN14" s="310"/>
      <c r="AO14" s="310"/>
      <c r="AP14" s="310"/>
      <c r="AQ14" s="310"/>
      <c r="AR14" s="310"/>
      <c r="AS14" s="310"/>
      <c r="AT14" s="310"/>
      <c r="AU14" s="310"/>
      <c r="AV14" s="310"/>
      <c r="AW14" s="310"/>
      <c r="AX14" s="310"/>
      <c r="AY14" s="310"/>
      <c r="AZ14" s="310"/>
      <c r="BA14" s="310"/>
      <c r="BB14" s="310"/>
      <c r="BC14" s="310"/>
      <c r="BD14" s="310"/>
      <c r="BE14" s="310"/>
      <c r="BF14" s="310"/>
      <c r="BG14" s="310"/>
      <c r="BH14" s="310"/>
      <c r="BI14" s="310"/>
      <c r="BJ14" s="310"/>
      <c r="BK14" s="310"/>
      <c r="BL14" s="310"/>
      <c r="BM14" s="310"/>
      <c r="BN14" s="310"/>
      <c r="BO14" s="310"/>
      <c r="BP14" s="310"/>
      <c r="BQ14" s="310"/>
      <c r="BR14" s="310"/>
      <c r="BS14" s="310"/>
      <c r="BT14" s="310"/>
      <c r="BU14" s="310"/>
      <c r="BV14" s="310"/>
      <c r="BW14" s="310"/>
      <c r="BX14" s="310"/>
      <c r="BY14" s="310"/>
    </row>
    <row r="15" spans="1:77" s="510" customFormat="1" ht="12">
      <c r="A15" s="619"/>
      <c r="B15" s="3225" t="s">
        <v>18</v>
      </c>
      <c r="C15" s="4258"/>
      <c r="D15" s="3226">
        <f>+D16</f>
        <v>115370579</v>
      </c>
      <c r="E15" s="3226">
        <f t="shared" ref="E15:L15" si="12">+E16</f>
        <v>524900</v>
      </c>
      <c r="F15" s="3226">
        <f t="shared" si="12"/>
        <v>36032</v>
      </c>
      <c r="G15" s="3226">
        <f t="shared" si="12"/>
        <v>7015184</v>
      </c>
      <c r="H15" s="3226">
        <f t="shared" si="12"/>
        <v>33642372</v>
      </c>
      <c r="I15" s="3226">
        <f t="shared" si="12"/>
        <v>47715099</v>
      </c>
      <c r="J15" s="3226">
        <f t="shared" si="12"/>
        <v>16344492</v>
      </c>
      <c r="K15" s="3226">
        <f t="shared" si="12"/>
        <v>10092500</v>
      </c>
      <c r="L15" s="3226">
        <f t="shared" si="12"/>
        <v>0</v>
      </c>
      <c r="M15" s="3231" t="str">
        <f>+M16</f>
        <v>x</v>
      </c>
      <c r="N15" s="3231" t="str">
        <f>+N16</f>
        <v>x</v>
      </c>
      <c r="O15" s="4256"/>
      <c r="P15" s="310"/>
      <c r="Q15" s="175"/>
      <c r="R15" s="310"/>
      <c r="S15" s="310"/>
      <c r="T15" s="310"/>
      <c r="U15" s="310"/>
      <c r="V15" s="310"/>
      <c r="W15" s="310"/>
      <c r="X15" s="310"/>
      <c r="Y15" s="310"/>
      <c r="Z15" s="310"/>
      <c r="AA15" s="310"/>
      <c r="AB15" s="310"/>
      <c r="AC15" s="310"/>
      <c r="AD15" s="310"/>
      <c r="AE15" s="310"/>
      <c r="AF15" s="310"/>
      <c r="AG15" s="310"/>
      <c r="AH15" s="310"/>
      <c r="AI15" s="310"/>
      <c r="AJ15" s="310"/>
      <c r="AK15" s="310"/>
      <c r="AL15" s="310"/>
      <c r="AM15" s="310"/>
      <c r="AN15" s="310"/>
      <c r="AO15" s="310"/>
      <c r="AP15" s="310"/>
      <c r="AQ15" s="310"/>
      <c r="AR15" s="310"/>
      <c r="AS15" s="310"/>
      <c r="AT15" s="310"/>
      <c r="AU15" s="310"/>
      <c r="AV15" s="310"/>
      <c r="AW15" s="310"/>
      <c r="AX15" s="310"/>
      <c r="AY15" s="310"/>
      <c r="AZ15" s="310"/>
      <c r="BA15" s="310"/>
      <c r="BB15" s="310"/>
      <c r="BC15" s="310"/>
      <c r="BD15" s="310"/>
      <c r="BE15" s="310"/>
      <c r="BF15" s="310"/>
      <c r="BG15" s="310"/>
      <c r="BH15" s="310"/>
      <c r="BI15" s="310"/>
      <c r="BJ15" s="310"/>
      <c r="BK15" s="310"/>
      <c r="BL15" s="310"/>
      <c r="BM15" s="310"/>
      <c r="BN15" s="310"/>
      <c r="BO15" s="310"/>
      <c r="BP15" s="310"/>
      <c r="BQ15" s="310"/>
      <c r="BR15" s="310"/>
      <c r="BS15" s="310"/>
      <c r="BT15" s="310"/>
      <c r="BU15" s="310"/>
      <c r="BV15" s="310"/>
      <c r="BW15" s="310"/>
      <c r="BX15" s="310"/>
      <c r="BY15" s="310"/>
    </row>
    <row r="16" spans="1:77" s="510" customFormat="1" ht="12">
      <c r="A16" s="619"/>
      <c r="B16" s="3232" t="s">
        <v>35</v>
      </c>
      <c r="C16" s="4258"/>
      <c r="D16" s="3229">
        <f t="shared" ref="D16:L16" si="13">D28+D47+D59+D83+D109+D71+D121+D146+D159+D171</f>
        <v>115370579</v>
      </c>
      <c r="E16" s="3229">
        <f t="shared" si="13"/>
        <v>524900</v>
      </c>
      <c r="F16" s="3229">
        <f t="shared" si="13"/>
        <v>36032</v>
      </c>
      <c r="G16" s="3229">
        <f t="shared" si="13"/>
        <v>7015184</v>
      </c>
      <c r="H16" s="3229">
        <f t="shared" si="13"/>
        <v>33642372</v>
      </c>
      <c r="I16" s="3229">
        <f t="shared" si="13"/>
        <v>47715099</v>
      </c>
      <c r="J16" s="3229">
        <f t="shared" si="13"/>
        <v>16344492</v>
      </c>
      <c r="K16" s="3229">
        <f t="shared" si="13"/>
        <v>10092500</v>
      </c>
      <c r="L16" s="3229">
        <f t="shared" si="13"/>
        <v>0</v>
      </c>
      <c r="M16" s="3233" t="s">
        <v>61</v>
      </c>
      <c r="N16" s="3233" t="s">
        <v>61</v>
      </c>
      <c r="O16" s="4256"/>
      <c r="P16" s="310"/>
      <c r="Q16" s="175"/>
      <c r="R16" s="310"/>
      <c r="S16" s="310"/>
      <c r="T16" s="310"/>
      <c r="U16" s="310"/>
      <c r="V16" s="310"/>
      <c r="W16" s="310"/>
      <c r="X16" s="310"/>
      <c r="Y16" s="310"/>
      <c r="Z16" s="310"/>
      <c r="AA16" s="310"/>
      <c r="AB16" s="310"/>
      <c r="AC16" s="310"/>
      <c r="AD16" s="310"/>
      <c r="AE16" s="310"/>
      <c r="AF16" s="310"/>
      <c r="AG16" s="310"/>
      <c r="AH16" s="310"/>
      <c r="AI16" s="310"/>
      <c r="AJ16" s="310"/>
      <c r="AK16" s="310"/>
      <c r="AL16" s="310"/>
      <c r="AM16" s="310"/>
      <c r="AN16" s="310"/>
      <c r="AO16" s="310"/>
      <c r="AP16" s="310"/>
      <c r="AQ16" s="310"/>
      <c r="AR16" s="310"/>
      <c r="AS16" s="310"/>
      <c r="AT16" s="310"/>
      <c r="AU16" s="310"/>
      <c r="AV16" s="310"/>
      <c r="AW16" s="310"/>
      <c r="AX16" s="310"/>
      <c r="AY16" s="310"/>
      <c r="AZ16" s="310"/>
      <c r="BA16" s="310"/>
      <c r="BB16" s="310"/>
      <c r="BC16" s="310"/>
      <c r="BD16" s="310"/>
      <c r="BE16" s="310"/>
      <c r="BF16" s="310"/>
      <c r="BG16" s="310"/>
      <c r="BH16" s="310"/>
      <c r="BI16" s="310"/>
      <c r="BJ16" s="310"/>
      <c r="BK16" s="310"/>
      <c r="BL16" s="310"/>
      <c r="BM16" s="310"/>
      <c r="BN16" s="310"/>
      <c r="BO16" s="310"/>
      <c r="BP16" s="310"/>
      <c r="BQ16" s="310"/>
      <c r="BR16" s="310"/>
      <c r="BS16" s="310"/>
      <c r="BT16" s="310"/>
      <c r="BU16" s="310"/>
      <c r="BV16" s="310"/>
      <c r="BW16" s="310"/>
      <c r="BX16" s="310"/>
      <c r="BY16" s="310"/>
    </row>
    <row r="17" spans="1:77" s="510" customFormat="1" ht="12">
      <c r="A17" s="619"/>
      <c r="B17" s="462" t="s">
        <v>22</v>
      </c>
      <c r="C17" s="462"/>
      <c r="D17" s="489">
        <f>+D18+D21</f>
        <v>156430215</v>
      </c>
      <c r="E17" s="489">
        <f t="shared" ref="E17" si="14">+E18+E21</f>
        <v>644420</v>
      </c>
      <c r="F17" s="489">
        <f t="shared" ref="F17:L17" si="15">+F18+F21</f>
        <v>380606</v>
      </c>
      <c r="G17" s="489">
        <f t="shared" si="15"/>
        <v>11606991</v>
      </c>
      <c r="H17" s="489">
        <f t="shared" si="15"/>
        <v>49949355</v>
      </c>
      <c r="I17" s="489">
        <f t="shared" si="15"/>
        <v>60086049</v>
      </c>
      <c r="J17" s="489">
        <f t="shared" si="15"/>
        <v>22019565</v>
      </c>
      <c r="K17" s="489">
        <f t="shared" si="15"/>
        <v>11743229</v>
      </c>
      <c r="L17" s="489">
        <f t="shared" si="15"/>
        <v>0</v>
      </c>
      <c r="M17" s="4265" t="s">
        <v>61</v>
      </c>
      <c r="N17" s="4265" t="s">
        <v>61</v>
      </c>
      <c r="O17" s="4256"/>
      <c r="P17" s="310"/>
      <c r="Q17" s="175"/>
      <c r="R17" s="310"/>
      <c r="S17" s="310"/>
      <c r="T17" s="310"/>
      <c r="U17" s="310"/>
      <c r="V17" s="310"/>
      <c r="W17" s="310"/>
      <c r="X17" s="310"/>
      <c r="Y17" s="310"/>
      <c r="Z17" s="310"/>
      <c r="AA17" s="310"/>
      <c r="AB17" s="310"/>
      <c r="AC17" s="310"/>
      <c r="AD17" s="310"/>
      <c r="AE17" s="310"/>
      <c r="AF17" s="310"/>
      <c r="AG17" s="310"/>
      <c r="AH17" s="310"/>
      <c r="AI17" s="310"/>
      <c r="AJ17" s="310"/>
      <c r="AK17" s="310"/>
      <c r="AL17" s="310"/>
      <c r="AM17" s="310"/>
      <c r="AN17" s="310"/>
      <c r="AO17" s="310"/>
      <c r="AP17" s="310"/>
      <c r="AQ17" s="310"/>
      <c r="AR17" s="310"/>
      <c r="AS17" s="310"/>
      <c r="AT17" s="310"/>
      <c r="AU17" s="310"/>
      <c r="AV17" s="310"/>
      <c r="AW17" s="310"/>
      <c r="AX17" s="310"/>
      <c r="AY17" s="310"/>
      <c r="AZ17" s="310"/>
      <c r="BA17" s="310"/>
      <c r="BB17" s="310"/>
      <c r="BC17" s="310"/>
      <c r="BD17" s="310"/>
      <c r="BE17" s="310"/>
      <c r="BF17" s="310"/>
      <c r="BG17" s="310"/>
      <c r="BH17" s="310"/>
      <c r="BI17" s="310"/>
      <c r="BJ17" s="310"/>
      <c r="BK17" s="310"/>
      <c r="BL17" s="310"/>
      <c r="BM17" s="310"/>
      <c r="BN17" s="310"/>
      <c r="BO17" s="310"/>
      <c r="BP17" s="310"/>
      <c r="BQ17" s="310"/>
      <c r="BR17" s="310"/>
      <c r="BS17" s="310"/>
      <c r="BT17" s="310"/>
      <c r="BU17" s="310"/>
      <c r="BV17" s="310"/>
      <c r="BW17" s="310"/>
      <c r="BX17" s="310"/>
      <c r="BY17" s="310"/>
    </row>
    <row r="18" spans="1:77" s="510" customFormat="1" ht="12">
      <c r="A18" s="619"/>
      <c r="B18" s="3225" t="s">
        <v>24</v>
      </c>
      <c r="C18" s="4260" t="s">
        <v>61</v>
      </c>
      <c r="D18" s="3226">
        <f>+D19+D20</f>
        <v>41059636</v>
      </c>
      <c r="E18" s="3226">
        <f t="shared" ref="E18:L18" si="16">+E19+E20</f>
        <v>119520</v>
      </c>
      <c r="F18" s="3226">
        <f t="shared" si="16"/>
        <v>370406</v>
      </c>
      <c r="G18" s="3226">
        <f t="shared" si="16"/>
        <v>4851326</v>
      </c>
      <c r="H18" s="3226">
        <f t="shared" si="16"/>
        <v>16641632</v>
      </c>
      <c r="I18" s="3226">
        <f t="shared" si="16"/>
        <v>11750950</v>
      </c>
      <c r="J18" s="3226">
        <f t="shared" si="16"/>
        <v>5675073</v>
      </c>
      <c r="K18" s="3226">
        <f t="shared" si="16"/>
        <v>1650729</v>
      </c>
      <c r="L18" s="3226">
        <f t="shared" si="16"/>
        <v>0</v>
      </c>
      <c r="M18" s="4266"/>
      <c r="N18" s="4266"/>
      <c r="O18" s="4256"/>
      <c r="P18" s="310"/>
      <c r="Q18" s="175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  <c r="BO18" s="310"/>
      <c r="BP18" s="310"/>
      <c r="BQ18" s="310"/>
      <c r="BR18" s="310"/>
      <c r="BS18" s="310"/>
      <c r="BT18" s="310"/>
      <c r="BU18" s="310"/>
      <c r="BV18" s="310"/>
      <c r="BW18" s="310"/>
      <c r="BX18" s="310"/>
      <c r="BY18" s="310"/>
    </row>
    <row r="19" spans="1:77" s="510" customFormat="1" ht="12">
      <c r="A19" s="619"/>
      <c r="B19" s="3232" t="s">
        <v>146</v>
      </c>
      <c r="C19" s="4261"/>
      <c r="D19" s="3229">
        <f t="shared" ref="D19:L19" si="17">+D62+D112+D50+D74+D86+D31+D40+D149+D162+D174</f>
        <v>40327053</v>
      </c>
      <c r="E19" s="3229">
        <f t="shared" si="17"/>
        <v>119520</v>
      </c>
      <c r="F19" s="3229">
        <f t="shared" si="17"/>
        <v>370406</v>
      </c>
      <c r="G19" s="3229">
        <f t="shared" si="17"/>
        <v>4594576</v>
      </c>
      <c r="H19" s="3229">
        <f t="shared" si="17"/>
        <v>16165799</v>
      </c>
      <c r="I19" s="3229">
        <f t="shared" si="17"/>
        <v>11750950</v>
      </c>
      <c r="J19" s="3229">
        <f t="shared" si="17"/>
        <v>5675073</v>
      </c>
      <c r="K19" s="3229">
        <f t="shared" si="17"/>
        <v>1650729</v>
      </c>
      <c r="L19" s="3229">
        <f t="shared" si="17"/>
        <v>0</v>
      </c>
      <c r="M19" s="4266"/>
      <c r="N19" s="4266"/>
      <c r="O19" s="4256"/>
      <c r="P19" s="310"/>
      <c r="Q19" s="175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  <c r="BO19" s="310"/>
      <c r="BP19" s="310"/>
      <c r="BQ19" s="310"/>
      <c r="BR19" s="310"/>
      <c r="BS19" s="310"/>
      <c r="BT19" s="310"/>
      <c r="BU19" s="310"/>
      <c r="BV19" s="310"/>
      <c r="BW19" s="310"/>
      <c r="BX19" s="310"/>
      <c r="BY19" s="310"/>
    </row>
    <row r="20" spans="1:77" s="510" customFormat="1" ht="12">
      <c r="A20" s="619"/>
      <c r="B20" s="3234" t="s">
        <v>413</v>
      </c>
      <c r="C20" s="4261"/>
      <c r="D20" s="490">
        <f>D150+D100</f>
        <v>732583</v>
      </c>
      <c r="E20" s="490">
        <f t="shared" ref="E20:L20" si="18">E150+E100</f>
        <v>0</v>
      </c>
      <c r="F20" s="490">
        <f t="shared" si="18"/>
        <v>0</v>
      </c>
      <c r="G20" s="490">
        <f t="shared" si="18"/>
        <v>256750</v>
      </c>
      <c r="H20" s="490">
        <f t="shared" si="18"/>
        <v>475833</v>
      </c>
      <c r="I20" s="490">
        <f t="shared" si="18"/>
        <v>0</v>
      </c>
      <c r="J20" s="490">
        <f t="shared" si="18"/>
        <v>0</v>
      </c>
      <c r="K20" s="490">
        <f t="shared" si="18"/>
        <v>0</v>
      </c>
      <c r="L20" s="490">
        <f t="shared" si="18"/>
        <v>0</v>
      </c>
      <c r="M20" s="4266"/>
      <c r="N20" s="4266"/>
      <c r="O20" s="4256"/>
      <c r="P20" s="310"/>
      <c r="Q20" s="175"/>
      <c r="R20" s="310"/>
      <c r="S20" s="310"/>
      <c r="T20" s="310"/>
      <c r="U20" s="310"/>
      <c r="V20" s="310"/>
      <c r="W20" s="310"/>
      <c r="X20" s="310"/>
      <c r="Y20" s="310"/>
      <c r="Z20" s="310"/>
      <c r="AA20" s="310"/>
      <c r="AB20" s="310"/>
      <c r="AC20" s="310"/>
      <c r="AD20" s="310"/>
      <c r="AE20" s="310"/>
      <c r="AF20" s="310"/>
      <c r="AG20" s="310"/>
      <c r="AH20" s="310"/>
      <c r="AI20" s="310"/>
      <c r="AJ20" s="310"/>
      <c r="AK20" s="310"/>
      <c r="AL20" s="310"/>
      <c r="AM20" s="310"/>
      <c r="AN20" s="310"/>
      <c r="AO20" s="310"/>
      <c r="AP20" s="310"/>
      <c r="AQ20" s="310"/>
      <c r="AR20" s="310"/>
      <c r="AS20" s="310"/>
      <c r="AT20" s="310"/>
      <c r="AU20" s="310"/>
      <c r="AV20" s="310"/>
      <c r="AW20" s="310"/>
      <c r="AX20" s="310"/>
      <c r="AY20" s="310"/>
      <c r="AZ20" s="310"/>
      <c r="BA20" s="310"/>
      <c r="BB20" s="310"/>
      <c r="BC20" s="310"/>
      <c r="BD20" s="310"/>
      <c r="BE20" s="310"/>
      <c r="BF20" s="310"/>
      <c r="BG20" s="310"/>
      <c r="BH20" s="310"/>
      <c r="BI20" s="310"/>
      <c r="BJ20" s="310"/>
      <c r="BK20" s="310"/>
      <c r="BL20" s="310"/>
      <c r="BM20" s="310"/>
      <c r="BN20" s="310"/>
      <c r="BO20" s="310"/>
      <c r="BP20" s="310"/>
      <c r="BQ20" s="310"/>
      <c r="BR20" s="310"/>
      <c r="BS20" s="310"/>
      <c r="BT20" s="310"/>
      <c r="BU20" s="310"/>
      <c r="BV20" s="310"/>
      <c r="BW20" s="310"/>
      <c r="BX20" s="310"/>
      <c r="BY20" s="310"/>
    </row>
    <row r="21" spans="1:77" s="510" customFormat="1" ht="12">
      <c r="A21" s="619"/>
      <c r="B21" s="3235" t="s">
        <v>18</v>
      </c>
      <c r="C21" s="4261"/>
      <c r="D21" s="3236">
        <f>+D22</f>
        <v>115370579</v>
      </c>
      <c r="E21" s="3236">
        <f t="shared" ref="E21:L21" si="19">+E22</f>
        <v>524900</v>
      </c>
      <c r="F21" s="3236">
        <f t="shared" si="19"/>
        <v>10200</v>
      </c>
      <c r="G21" s="3236">
        <f t="shared" si="19"/>
        <v>6755665</v>
      </c>
      <c r="H21" s="3236">
        <f t="shared" si="19"/>
        <v>33307723</v>
      </c>
      <c r="I21" s="3236">
        <f t="shared" si="19"/>
        <v>48335099</v>
      </c>
      <c r="J21" s="3236">
        <f t="shared" si="19"/>
        <v>16344492</v>
      </c>
      <c r="K21" s="3236">
        <f t="shared" si="19"/>
        <v>10092500</v>
      </c>
      <c r="L21" s="3236">
        <f t="shared" si="19"/>
        <v>0</v>
      </c>
      <c r="M21" s="4266"/>
      <c r="N21" s="4266"/>
      <c r="O21" s="4256"/>
      <c r="P21" s="310"/>
      <c r="Q21" s="175"/>
      <c r="R21" s="310"/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310"/>
      <c r="AI21" s="310"/>
      <c r="AJ21" s="310"/>
      <c r="AK21" s="310"/>
      <c r="AL21" s="310"/>
      <c r="AM21" s="310"/>
      <c r="AN21" s="310"/>
      <c r="AO21" s="310"/>
      <c r="AP21" s="310"/>
      <c r="AQ21" s="310"/>
      <c r="AR21" s="310"/>
      <c r="AS21" s="310"/>
      <c r="AT21" s="310"/>
      <c r="AU21" s="310"/>
      <c r="AV21" s="310"/>
      <c r="AW21" s="310"/>
      <c r="AX21" s="310"/>
      <c r="AY21" s="310"/>
      <c r="AZ21" s="310"/>
      <c r="BA21" s="310"/>
      <c r="BB21" s="310"/>
      <c r="BC21" s="310"/>
      <c r="BD21" s="310"/>
      <c r="BE21" s="310"/>
      <c r="BF21" s="310"/>
      <c r="BG21" s="310"/>
      <c r="BH21" s="310"/>
      <c r="BI21" s="310"/>
      <c r="BJ21" s="310"/>
      <c r="BK21" s="310"/>
      <c r="BL21" s="310"/>
      <c r="BM21" s="310"/>
      <c r="BN21" s="310"/>
      <c r="BO21" s="310"/>
      <c r="BP21" s="310"/>
      <c r="BQ21" s="310"/>
      <c r="BR21" s="310"/>
      <c r="BS21" s="310"/>
      <c r="BT21" s="310"/>
      <c r="BU21" s="310"/>
      <c r="BV21" s="310"/>
      <c r="BW21" s="310"/>
      <c r="BX21" s="310"/>
      <c r="BY21" s="310"/>
    </row>
    <row r="22" spans="1:77" s="510" customFormat="1" ht="14.1" customHeight="1" thickBot="1">
      <c r="A22" s="620"/>
      <c r="B22" s="3237" t="s">
        <v>35</v>
      </c>
      <c r="C22" s="4262"/>
      <c r="D22" s="1305">
        <f t="shared" ref="D22:L22" si="20">+D52+D64+D114+D88+D76+D126+D152+D164+D176</f>
        <v>115370579</v>
      </c>
      <c r="E22" s="1305">
        <f t="shared" si="20"/>
        <v>524900</v>
      </c>
      <c r="F22" s="1305">
        <f t="shared" si="20"/>
        <v>10200</v>
      </c>
      <c r="G22" s="1305">
        <f t="shared" si="20"/>
        <v>6755665</v>
      </c>
      <c r="H22" s="1305">
        <f t="shared" si="20"/>
        <v>33307723</v>
      </c>
      <c r="I22" s="1305">
        <f t="shared" si="20"/>
        <v>48335099</v>
      </c>
      <c r="J22" s="1305">
        <f t="shared" si="20"/>
        <v>16344492</v>
      </c>
      <c r="K22" s="1305">
        <f t="shared" si="20"/>
        <v>10092500</v>
      </c>
      <c r="L22" s="1305">
        <f t="shared" si="20"/>
        <v>0</v>
      </c>
      <c r="M22" s="4267"/>
      <c r="N22" s="4267"/>
      <c r="O22" s="4257"/>
      <c r="P22" s="310"/>
      <c r="Q22" s="175"/>
      <c r="R22" s="310"/>
      <c r="S22" s="310"/>
      <c r="T22" s="310"/>
      <c r="U22" s="310"/>
      <c r="V22" s="310"/>
      <c r="W22" s="310"/>
      <c r="X22" s="310"/>
      <c r="Y22" s="310"/>
      <c r="Z22" s="310"/>
      <c r="AA22" s="310"/>
      <c r="AB22" s="310"/>
      <c r="AC22" s="310"/>
      <c r="AD22" s="310"/>
      <c r="AE22" s="310"/>
      <c r="AF22" s="310"/>
      <c r="AG22" s="310"/>
      <c r="AH22" s="310"/>
      <c r="AI22" s="310"/>
      <c r="AJ22" s="310"/>
      <c r="AK22" s="310"/>
      <c r="AL22" s="310"/>
      <c r="AM22" s="310"/>
      <c r="AN22" s="310"/>
      <c r="AO22" s="310"/>
      <c r="AP22" s="310"/>
      <c r="AQ22" s="310"/>
      <c r="AR22" s="310"/>
      <c r="AS22" s="310"/>
      <c r="AT22" s="310"/>
      <c r="AU22" s="310"/>
      <c r="AV22" s="310"/>
      <c r="AW22" s="310"/>
      <c r="AX22" s="310"/>
      <c r="AY22" s="310"/>
      <c r="AZ22" s="310"/>
      <c r="BA22" s="310"/>
      <c r="BB22" s="310"/>
      <c r="BC22" s="310"/>
      <c r="BD22" s="310"/>
      <c r="BE22" s="310"/>
      <c r="BF22" s="310"/>
      <c r="BG22" s="310"/>
      <c r="BH22" s="310"/>
      <c r="BI22" s="310"/>
      <c r="BJ22" s="310"/>
      <c r="BK22" s="310"/>
      <c r="BL22" s="310"/>
      <c r="BM22" s="310"/>
      <c r="BN22" s="310"/>
      <c r="BO22" s="310"/>
      <c r="BP22" s="310"/>
      <c r="BQ22" s="310"/>
      <c r="BR22" s="310"/>
      <c r="BS22" s="310"/>
      <c r="BT22" s="310"/>
      <c r="BU22" s="310"/>
      <c r="BV22" s="310"/>
      <c r="BW22" s="310"/>
      <c r="BX22" s="310"/>
      <c r="BY22" s="310"/>
    </row>
    <row r="23" spans="1:77" s="310" customFormat="1" ht="23.25" customHeight="1">
      <c r="A23" s="4229" t="s">
        <v>63</v>
      </c>
      <c r="B23" s="1306" t="s">
        <v>532</v>
      </c>
      <c r="C23" s="3179" t="s">
        <v>81</v>
      </c>
      <c r="D23" s="3178"/>
      <c r="E23" s="380"/>
      <c r="F23" s="380"/>
      <c r="G23" s="380"/>
      <c r="H23" s="380"/>
      <c r="I23" s="380"/>
      <c r="J23" s="380"/>
      <c r="K23" s="380"/>
      <c r="L23" s="1388"/>
      <c r="M23" s="491"/>
      <c r="N23" s="491"/>
      <c r="O23" s="4233" t="s">
        <v>302</v>
      </c>
    </row>
    <row r="24" spans="1:77" s="310" customFormat="1" ht="12">
      <c r="A24" s="4230"/>
      <c r="B24" s="462" t="s">
        <v>10</v>
      </c>
      <c r="C24" s="462"/>
      <c r="D24" s="489">
        <f t="shared" ref="D24" si="21">+D25+D27</f>
        <v>1805000</v>
      </c>
      <c r="E24" s="489">
        <f t="shared" ref="E24" si="22">+E25+E27</f>
        <v>0</v>
      </c>
      <c r="F24" s="489">
        <f t="shared" ref="F24:N24" si="23">+F25</f>
        <v>242386</v>
      </c>
      <c r="G24" s="489">
        <f t="shared" si="23"/>
        <v>0</v>
      </c>
      <c r="H24" s="489">
        <f t="shared" si="23"/>
        <v>0</v>
      </c>
      <c r="I24" s="489">
        <f t="shared" si="23"/>
        <v>1562614</v>
      </c>
      <c r="J24" s="489"/>
      <c r="K24" s="489"/>
      <c r="L24" s="489"/>
      <c r="M24" s="492">
        <f t="shared" si="23"/>
        <v>1805000</v>
      </c>
      <c r="N24" s="492">
        <f t="shared" si="23"/>
        <v>1562614</v>
      </c>
      <c r="O24" s="4234"/>
    </row>
    <row r="25" spans="1:77" s="310" customFormat="1" ht="12">
      <c r="A25" s="4230"/>
      <c r="B25" s="3130" t="s">
        <v>24</v>
      </c>
      <c r="C25" s="4244" t="s">
        <v>301</v>
      </c>
      <c r="D25" s="1457">
        <f>D26</f>
        <v>1805000</v>
      </c>
      <c r="E25" s="455">
        <f t="shared" ref="E25:I25" si="24">E26</f>
        <v>0</v>
      </c>
      <c r="F25" s="455">
        <f t="shared" si="24"/>
        <v>242386</v>
      </c>
      <c r="G25" s="455">
        <f t="shared" si="24"/>
        <v>0</v>
      </c>
      <c r="H25" s="455">
        <f t="shared" si="24"/>
        <v>0</v>
      </c>
      <c r="I25" s="455">
        <f t="shared" si="24"/>
        <v>1562614</v>
      </c>
      <c r="J25" s="455"/>
      <c r="K25" s="455"/>
      <c r="L25" s="455"/>
      <c r="M25" s="494">
        <f>+M26</f>
        <v>1805000</v>
      </c>
      <c r="N25" s="494">
        <f>+N26</f>
        <v>1562614</v>
      </c>
      <c r="O25" s="4234"/>
    </row>
    <row r="26" spans="1:77" s="310" customFormat="1" ht="12.75" customHeight="1">
      <c r="A26" s="4230"/>
      <c r="B26" s="3238" t="s">
        <v>121</v>
      </c>
      <c r="C26" s="4237"/>
      <c r="D26" s="1458">
        <f>E26+F26+G26+H26+I26+J26+K26+L26</f>
        <v>1805000</v>
      </c>
      <c r="E26" s="452">
        <v>0</v>
      </c>
      <c r="F26" s="452">
        <f>355000-112614</f>
        <v>242386</v>
      </c>
      <c r="G26" s="452">
        <f>1450000+112614-1562614</f>
        <v>0</v>
      </c>
      <c r="H26" s="452">
        <v>0</v>
      </c>
      <c r="I26" s="452">
        <v>1562614</v>
      </c>
      <c r="J26" s="452"/>
      <c r="K26" s="452"/>
      <c r="L26" s="452"/>
      <c r="M26" s="488">
        <f>SUM(F26:K26)</f>
        <v>1805000</v>
      </c>
      <c r="N26" s="488">
        <f>SUM(G26:L26)</f>
        <v>1562614</v>
      </c>
      <c r="O26" s="4234"/>
    </row>
    <row r="27" spans="1:77" s="310" customFormat="1" ht="12.75" hidden="1" customHeight="1">
      <c r="A27" s="4230"/>
      <c r="B27" s="496" t="s">
        <v>18</v>
      </c>
      <c r="C27" s="4237"/>
      <c r="D27" s="497">
        <f>+D28</f>
        <v>0</v>
      </c>
      <c r="E27" s="497"/>
      <c r="F27" s="497"/>
      <c r="G27" s="497"/>
      <c r="H27" s="497"/>
      <c r="I27" s="497"/>
      <c r="J27" s="497"/>
      <c r="K27" s="497"/>
      <c r="L27" s="497"/>
      <c r="M27" s="1307" t="s">
        <v>61</v>
      </c>
      <c r="N27" s="1307" t="s">
        <v>61</v>
      </c>
      <c r="O27" s="4234"/>
    </row>
    <row r="28" spans="1:77" s="310" customFormat="1" ht="13.5" hidden="1" customHeight="1">
      <c r="A28" s="4230"/>
      <c r="B28" s="3131" t="s">
        <v>35</v>
      </c>
      <c r="C28" s="4237"/>
      <c r="D28" s="1458">
        <f>E28+F28+G28+H28+I28+J28+K28+L28</f>
        <v>0</v>
      </c>
      <c r="E28" s="452"/>
      <c r="F28" s="452"/>
      <c r="G28" s="452"/>
      <c r="H28" s="452"/>
      <c r="I28" s="452"/>
      <c r="J28" s="452"/>
      <c r="K28" s="452"/>
      <c r="L28" s="452"/>
      <c r="M28" s="505" t="s">
        <v>61</v>
      </c>
      <c r="N28" s="505" t="s">
        <v>61</v>
      </c>
      <c r="O28" s="4234"/>
    </row>
    <row r="29" spans="1:77" s="498" customFormat="1" ht="12">
      <c r="A29" s="4230"/>
      <c r="B29" s="1304" t="s">
        <v>22</v>
      </c>
      <c r="C29" s="4237"/>
      <c r="D29" s="1308">
        <f>D30</f>
        <v>23142</v>
      </c>
      <c r="E29" s="1308">
        <f>E30</f>
        <v>0</v>
      </c>
      <c r="F29" s="1309"/>
      <c r="G29" s="1309">
        <f>G30</f>
        <v>0</v>
      </c>
      <c r="H29" s="1309"/>
      <c r="I29" s="1309">
        <f>I30</f>
        <v>23142</v>
      </c>
      <c r="J29" s="1309"/>
      <c r="K29" s="1309"/>
      <c r="L29" s="1309"/>
      <c r="M29" s="4268"/>
      <c r="N29" s="4268"/>
      <c r="O29" s="4234"/>
    </row>
    <row r="30" spans="1:77" s="310" customFormat="1" ht="12.75">
      <c r="A30" s="4230"/>
      <c r="B30" s="1576" t="s">
        <v>24</v>
      </c>
      <c r="C30" s="4237"/>
      <c r="D30" s="1457">
        <f>+D31</f>
        <v>23142</v>
      </c>
      <c r="E30" s="1457">
        <f>+E31</f>
        <v>0</v>
      </c>
      <c r="F30" s="1310"/>
      <c r="G30" s="455">
        <f>G31</f>
        <v>0</v>
      </c>
      <c r="H30" s="1310"/>
      <c r="I30" s="455">
        <f>I31</f>
        <v>23142</v>
      </c>
      <c r="J30" s="1310"/>
      <c r="K30" s="1310"/>
      <c r="L30" s="1310"/>
      <c r="M30" s="4269"/>
      <c r="N30" s="4269"/>
      <c r="O30" s="4234"/>
    </row>
    <row r="31" spans="1:77" s="310" customFormat="1" ht="13.5" thickBot="1">
      <c r="A31" s="4231"/>
      <c r="B31" s="1577" t="s">
        <v>146</v>
      </c>
      <c r="C31" s="4276"/>
      <c r="D31" s="1578">
        <f>E31+F31+G31+H31+I31+J31+K31+L31</f>
        <v>23142</v>
      </c>
      <c r="E31" s="495">
        <v>0</v>
      </c>
      <c r="F31" s="1311"/>
      <c r="G31" s="495">
        <f>55657-55657</f>
        <v>0</v>
      </c>
      <c r="H31" s="1311"/>
      <c r="I31" s="1311">
        <v>23142</v>
      </c>
      <c r="J31" s="1311"/>
      <c r="K31" s="1311"/>
      <c r="L31" s="1311"/>
      <c r="M31" s="4270"/>
      <c r="N31" s="4270"/>
      <c r="O31" s="4275"/>
    </row>
    <row r="32" spans="1:77" s="310" customFormat="1" ht="27" customHeight="1">
      <c r="A32" s="4229" t="s">
        <v>64</v>
      </c>
      <c r="B32" s="1306" t="s">
        <v>444</v>
      </c>
      <c r="C32" s="3179" t="s">
        <v>109</v>
      </c>
      <c r="D32" s="3178"/>
      <c r="E32" s="380"/>
      <c r="F32" s="380"/>
      <c r="G32" s="380"/>
      <c r="H32" s="380"/>
      <c r="I32" s="380"/>
      <c r="J32" s="380"/>
      <c r="K32" s="380"/>
      <c r="L32" s="1388"/>
      <c r="M32" s="491"/>
      <c r="N32" s="491"/>
      <c r="O32" s="4233" t="s">
        <v>302</v>
      </c>
    </row>
    <row r="33" spans="1:15" s="310" customFormat="1" ht="12">
      <c r="A33" s="4230"/>
      <c r="B33" s="462" t="s">
        <v>10</v>
      </c>
      <c r="C33" s="462"/>
      <c r="D33" s="489">
        <f t="shared" ref="D33:E33" si="25">+D34+D36</f>
        <v>11765000</v>
      </c>
      <c r="E33" s="489">
        <f t="shared" si="25"/>
        <v>0</v>
      </c>
      <c r="F33" s="489">
        <f t="shared" ref="F33:N33" si="26">+F34</f>
        <v>4099273</v>
      </c>
      <c r="G33" s="489">
        <f t="shared" si="26"/>
        <v>7665727</v>
      </c>
      <c r="H33" s="489">
        <f t="shared" si="26"/>
        <v>0</v>
      </c>
      <c r="I33" s="489">
        <f t="shared" si="26"/>
        <v>0</v>
      </c>
      <c r="J33" s="489"/>
      <c r="K33" s="489"/>
      <c r="L33" s="489"/>
      <c r="M33" s="492">
        <f t="shared" si="26"/>
        <v>11765000</v>
      </c>
      <c r="N33" s="492">
        <f t="shared" si="26"/>
        <v>7665727</v>
      </c>
      <c r="O33" s="4234"/>
    </row>
    <row r="34" spans="1:15" s="310" customFormat="1" ht="12">
      <c r="A34" s="4230"/>
      <c r="B34" s="493" t="s">
        <v>24</v>
      </c>
      <c r="C34" s="4236" t="s">
        <v>301</v>
      </c>
      <c r="D34" s="455">
        <f>D35</f>
        <v>11765000</v>
      </c>
      <c r="E34" s="455">
        <f t="shared" ref="E34:I34" si="27">E35</f>
        <v>0</v>
      </c>
      <c r="F34" s="455">
        <f t="shared" si="27"/>
        <v>4099273</v>
      </c>
      <c r="G34" s="455">
        <f t="shared" si="27"/>
        <v>7665727</v>
      </c>
      <c r="H34" s="455">
        <f t="shared" si="27"/>
        <v>0</v>
      </c>
      <c r="I34" s="455">
        <f t="shared" si="27"/>
        <v>0</v>
      </c>
      <c r="J34" s="455"/>
      <c r="K34" s="455"/>
      <c r="L34" s="455"/>
      <c r="M34" s="494">
        <f>+M35</f>
        <v>11765000</v>
      </c>
      <c r="N34" s="494">
        <f>+N35</f>
        <v>7665727</v>
      </c>
      <c r="O34" s="4234"/>
    </row>
    <row r="35" spans="1:15" s="310" customFormat="1" ht="12">
      <c r="A35" s="4230"/>
      <c r="B35" s="509" t="s">
        <v>121</v>
      </c>
      <c r="C35" s="4237"/>
      <c r="D35" s="1285">
        <f>E35+F35+G35+H35+I35+J35+K35+L35</f>
        <v>11765000</v>
      </c>
      <c r="E35" s="452">
        <v>0</v>
      </c>
      <c r="F35" s="452">
        <f>4813876-714603</f>
        <v>4099273</v>
      </c>
      <c r="G35" s="452">
        <f>3451124+714603+3500000</f>
        <v>7665727</v>
      </c>
      <c r="H35" s="452">
        <v>0</v>
      </c>
      <c r="I35" s="452">
        <v>0</v>
      </c>
      <c r="J35" s="452"/>
      <c r="K35" s="452"/>
      <c r="L35" s="452"/>
      <c r="M35" s="488">
        <f>SUM(F35:K35)</f>
        <v>11765000</v>
      </c>
      <c r="N35" s="488">
        <f>SUM(G35:L35)</f>
        <v>7665727</v>
      </c>
      <c r="O35" s="4234"/>
    </row>
    <row r="36" spans="1:15" s="310" customFormat="1" ht="12" hidden="1">
      <c r="A36" s="4230"/>
      <c r="B36" s="496" t="s">
        <v>18</v>
      </c>
      <c r="C36" s="4237"/>
      <c r="D36" s="497">
        <f>+D37</f>
        <v>0</v>
      </c>
      <c r="E36" s="497"/>
      <c r="F36" s="497"/>
      <c r="G36" s="497"/>
      <c r="H36" s="497"/>
      <c r="I36" s="497"/>
      <c r="J36" s="497"/>
      <c r="K36" s="497"/>
      <c r="L36" s="497"/>
      <c r="M36" s="1307" t="s">
        <v>61</v>
      </c>
      <c r="N36" s="1307" t="s">
        <v>61</v>
      </c>
      <c r="O36" s="4234"/>
    </row>
    <row r="37" spans="1:15" s="310" customFormat="1" ht="12" hidden="1">
      <c r="A37" s="4230"/>
      <c r="B37" s="2701" t="s">
        <v>35</v>
      </c>
      <c r="C37" s="4237"/>
      <c r="D37" s="1285">
        <f>E37+F37+G37+H37+I37+J37+K37+L37</f>
        <v>0</v>
      </c>
      <c r="E37" s="452"/>
      <c r="F37" s="452"/>
      <c r="G37" s="452"/>
      <c r="H37" s="452"/>
      <c r="I37" s="452"/>
      <c r="J37" s="452"/>
      <c r="K37" s="452"/>
      <c r="L37" s="452"/>
      <c r="M37" s="505" t="s">
        <v>61</v>
      </c>
      <c r="N37" s="505" t="s">
        <v>61</v>
      </c>
      <c r="O37" s="4234"/>
    </row>
    <row r="38" spans="1:15" s="310" customFormat="1" ht="12">
      <c r="A38" s="4230"/>
      <c r="B38" s="1304" t="s">
        <v>22</v>
      </c>
      <c r="C38" s="4237"/>
      <c r="D38" s="1308">
        <f>D39</f>
        <v>3926474</v>
      </c>
      <c r="E38" s="1308"/>
      <c r="F38" s="1309">
        <f>F39</f>
        <v>272966</v>
      </c>
      <c r="G38" s="1309">
        <f>G39</f>
        <v>3653508</v>
      </c>
      <c r="H38" s="1309"/>
      <c r="I38" s="1309"/>
      <c r="J38" s="1309"/>
      <c r="K38" s="1309"/>
      <c r="L38" s="1309"/>
      <c r="M38" s="4268"/>
      <c r="N38" s="4268"/>
      <c r="O38" s="4234"/>
    </row>
    <row r="39" spans="1:15" s="310" customFormat="1" ht="12.75">
      <c r="A39" s="4230"/>
      <c r="B39" s="2243" t="s">
        <v>24</v>
      </c>
      <c r="C39" s="4237"/>
      <c r="D39" s="455">
        <f>+D40</f>
        <v>3926474</v>
      </c>
      <c r="E39" s="455"/>
      <c r="F39" s="2702">
        <f>F40</f>
        <v>272966</v>
      </c>
      <c r="G39" s="455">
        <f>G40</f>
        <v>3653508</v>
      </c>
      <c r="H39" s="1310"/>
      <c r="I39" s="1310"/>
      <c r="J39" s="1310"/>
      <c r="K39" s="1310"/>
      <c r="L39" s="1310"/>
      <c r="M39" s="4269"/>
      <c r="N39" s="4269"/>
      <c r="O39" s="4234"/>
    </row>
    <row r="40" spans="1:15" s="310" customFormat="1" ht="13.5" thickBot="1">
      <c r="A40" s="4231"/>
      <c r="B40" s="2244" t="s">
        <v>518</v>
      </c>
      <c r="C40" s="4276"/>
      <c r="D40" s="239">
        <f>E40+F40+G40+H40+I40+J40+K40+L40</f>
        <v>3926474</v>
      </c>
      <c r="E40" s="495">
        <v>0</v>
      </c>
      <c r="F40" s="2703">
        <f>291487-185285+166764</f>
        <v>272966</v>
      </c>
      <c r="G40" s="495">
        <f>89482-27766+3591792</f>
        <v>3653508</v>
      </c>
      <c r="H40" s="1311"/>
      <c r="I40" s="1311"/>
      <c r="J40" s="1311"/>
      <c r="K40" s="1311"/>
      <c r="L40" s="1311"/>
      <c r="M40" s="4270"/>
      <c r="N40" s="4270"/>
      <c r="O40" s="4275"/>
    </row>
    <row r="41" spans="1:15" s="310" customFormat="1" ht="26.25" customHeight="1">
      <c r="A41" s="4229" t="s">
        <v>65</v>
      </c>
      <c r="B41" s="499" t="s">
        <v>411</v>
      </c>
      <c r="C41" s="3175" t="s">
        <v>81</v>
      </c>
      <c r="D41" s="3176"/>
      <c r="E41" s="380"/>
      <c r="F41" s="380"/>
      <c r="G41" s="380"/>
      <c r="H41" s="380"/>
      <c r="I41" s="380"/>
      <c r="J41" s="380"/>
      <c r="K41" s="380"/>
      <c r="L41" s="1388"/>
      <c r="M41" s="508"/>
      <c r="N41" s="508"/>
      <c r="O41" s="4233" t="s">
        <v>412</v>
      </c>
    </row>
    <row r="42" spans="1:15" s="310" customFormat="1" ht="11.25" customHeight="1">
      <c r="A42" s="4230"/>
      <c r="B42" s="2245" t="s">
        <v>10</v>
      </c>
      <c r="C42" s="2246"/>
      <c r="D42" s="2247">
        <f>+D43+D46</f>
        <v>86880466</v>
      </c>
      <c r="E42" s="2247">
        <f t="shared" ref="E42" si="28">+E43+E46</f>
        <v>353841</v>
      </c>
      <c r="F42" s="2247">
        <f t="shared" ref="F42:G42" si="29">+F43+F46</f>
        <v>917164</v>
      </c>
      <c r="G42" s="2247">
        <f t="shared" si="29"/>
        <v>7106931</v>
      </c>
      <c r="H42" s="2247">
        <f>+H43+H46</f>
        <v>37270905</v>
      </c>
      <c r="I42" s="2247">
        <f>+I43+I46</f>
        <v>17600000</v>
      </c>
      <c r="J42" s="2247">
        <f t="shared" ref="J42:K42" si="30">+J43+J46</f>
        <v>12066880</v>
      </c>
      <c r="K42" s="2247">
        <f t="shared" si="30"/>
        <v>11564745</v>
      </c>
      <c r="L42" s="2247"/>
      <c r="M42" s="2248">
        <f>+M43</f>
        <v>26326625</v>
      </c>
      <c r="N42" s="2248">
        <f>+N43</f>
        <v>25409461</v>
      </c>
      <c r="O42" s="4234"/>
    </row>
    <row r="43" spans="1:15" s="310" customFormat="1" ht="12" customHeight="1">
      <c r="A43" s="4230"/>
      <c r="B43" s="2249" t="s">
        <v>24</v>
      </c>
      <c r="C43" s="4271" t="s">
        <v>454</v>
      </c>
      <c r="D43" s="2250">
        <f>D45+D44</f>
        <v>26680466</v>
      </c>
      <c r="E43" s="2250">
        <f t="shared" ref="E43" si="31">E45+E44</f>
        <v>353841</v>
      </c>
      <c r="F43" s="2250">
        <f t="shared" ref="F43:K43" si="32">F45+F44</f>
        <v>917164</v>
      </c>
      <c r="G43" s="2250">
        <f t="shared" si="32"/>
        <v>5106931</v>
      </c>
      <c r="H43" s="2250">
        <f t="shared" si="32"/>
        <v>9605905</v>
      </c>
      <c r="I43" s="2250">
        <f t="shared" si="32"/>
        <v>5657500</v>
      </c>
      <c r="J43" s="2250">
        <f t="shared" si="32"/>
        <v>3566880</v>
      </c>
      <c r="K43" s="2250">
        <f t="shared" si="32"/>
        <v>1472245</v>
      </c>
      <c r="L43" s="2250"/>
      <c r="M43" s="2251">
        <f>+M45</f>
        <v>26326625</v>
      </c>
      <c r="N43" s="2251">
        <f>+N45</f>
        <v>25409461</v>
      </c>
      <c r="O43" s="4234"/>
    </row>
    <row r="44" spans="1:15" s="310" customFormat="1" ht="12" hidden="1" customHeight="1">
      <c r="A44" s="4230"/>
      <c r="B44" s="2252" t="s">
        <v>32</v>
      </c>
      <c r="C44" s="4272"/>
      <c r="D44" s="839">
        <f>E44+F44+G44+H44+I44+J44+K44+L44</f>
        <v>0</v>
      </c>
      <c r="E44" s="2253"/>
      <c r="F44" s="2254">
        <v>0</v>
      </c>
      <c r="G44" s="2254">
        <v>0</v>
      </c>
      <c r="H44" s="2254">
        <v>0</v>
      </c>
      <c r="I44" s="2254">
        <v>0</v>
      </c>
      <c r="J44" s="2255"/>
      <c r="K44" s="2255"/>
      <c r="L44" s="2255"/>
      <c r="M44" s="501" t="s">
        <v>61</v>
      </c>
      <c r="N44" s="501" t="s">
        <v>61</v>
      </c>
      <c r="O44" s="4234"/>
    </row>
    <row r="45" spans="1:15" s="310" customFormat="1" ht="12">
      <c r="A45" s="4230"/>
      <c r="B45" s="2256" t="s">
        <v>121</v>
      </c>
      <c r="C45" s="4272"/>
      <c r="D45" s="839">
        <f>E45+F45+G45+H45+I45+J45+K45+L45</f>
        <v>26680466</v>
      </c>
      <c r="E45" s="2253">
        <v>353841</v>
      </c>
      <c r="F45" s="2257">
        <f>3000000-2076931-5905</f>
        <v>917164</v>
      </c>
      <c r="G45" s="2257">
        <f>3030000+2076931</f>
        <v>5106931</v>
      </c>
      <c r="H45" s="2257">
        <f>9600000+5905</f>
        <v>9605905</v>
      </c>
      <c r="I45" s="2257">
        <v>5657500</v>
      </c>
      <c r="J45" s="2257">
        <v>3566880</v>
      </c>
      <c r="K45" s="2257">
        <f>1467579+4666</f>
        <v>1472245</v>
      </c>
      <c r="L45" s="2257"/>
      <c r="M45" s="2258">
        <f>SUM(F45:L45)</f>
        <v>26326625</v>
      </c>
      <c r="N45" s="2258">
        <f>SUM(G45:L45)</f>
        <v>25409461</v>
      </c>
      <c r="O45" s="4234"/>
    </row>
    <row r="46" spans="1:15" s="361" customFormat="1" ht="12">
      <c r="A46" s="4230"/>
      <c r="B46" s="2259" t="s">
        <v>18</v>
      </c>
      <c r="C46" s="4272"/>
      <c r="D46" s="2260">
        <f>+D47</f>
        <v>60200000</v>
      </c>
      <c r="E46" s="2260">
        <f t="shared" ref="E46:N46" si="33">+E47</f>
        <v>0</v>
      </c>
      <c r="F46" s="2260">
        <f t="shared" si="33"/>
        <v>0</v>
      </c>
      <c r="G46" s="2260">
        <f t="shared" si="33"/>
        <v>2000000</v>
      </c>
      <c r="H46" s="2260">
        <f t="shared" si="33"/>
        <v>27665000</v>
      </c>
      <c r="I46" s="2260">
        <f t="shared" si="33"/>
        <v>11942500</v>
      </c>
      <c r="J46" s="2260">
        <f t="shared" si="33"/>
        <v>8500000</v>
      </c>
      <c r="K46" s="2260">
        <f t="shared" si="33"/>
        <v>10092500</v>
      </c>
      <c r="L46" s="2261"/>
      <c r="M46" s="2262" t="str">
        <f t="shared" si="33"/>
        <v>x</v>
      </c>
      <c r="N46" s="2262" t="str">
        <f t="shared" si="33"/>
        <v>x</v>
      </c>
      <c r="O46" s="4234"/>
    </row>
    <row r="47" spans="1:15" s="361" customFormat="1" ht="12">
      <c r="A47" s="4230"/>
      <c r="B47" s="2256" t="s">
        <v>35</v>
      </c>
      <c r="C47" s="4273"/>
      <c r="D47" s="839">
        <f>E47+F47+G47+H47+I47+J47+K47+L47</f>
        <v>60200000</v>
      </c>
      <c r="E47" s="2253">
        <v>0</v>
      </c>
      <c r="F47" s="1373">
        <v>0</v>
      </c>
      <c r="G47" s="1373">
        <f>9265000-7265000</f>
        <v>2000000</v>
      </c>
      <c r="H47" s="1373">
        <f>20400000+7265000</f>
        <v>27665000</v>
      </c>
      <c r="I47" s="1373">
        <v>11942500</v>
      </c>
      <c r="J47" s="2263">
        <v>8500000</v>
      </c>
      <c r="K47" s="2263">
        <v>10092500</v>
      </c>
      <c r="L47" s="2263"/>
      <c r="M47" s="2264" t="s">
        <v>61</v>
      </c>
      <c r="N47" s="2264" t="s">
        <v>61</v>
      </c>
      <c r="O47" s="4234"/>
    </row>
    <row r="48" spans="1:15" s="502" customFormat="1" ht="12">
      <c r="A48" s="4230"/>
      <c r="B48" s="2245" t="s">
        <v>22</v>
      </c>
      <c r="C48" s="2265"/>
      <c r="D48" s="2266">
        <f>D51+D49</f>
        <v>76000729</v>
      </c>
      <c r="E48" s="2266">
        <f t="shared" ref="E48" si="34">E51+E49</f>
        <v>0</v>
      </c>
      <c r="F48" s="2266">
        <f t="shared" ref="F48:G48" si="35">F51+F49</f>
        <v>97440</v>
      </c>
      <c r="G48" s="2266">
        <f t="shared" si="35"/>
        <v>2481236</v>
      </c>
      <c r="H48" s="2266">
        <f>H51+H49</f>
        <v>35236324</v>
      </c>
      <c r="I48" s="2266">
        <f>I51+I49</f>
        <v>15942500</v>
      </c>
      <c r="J48" s="2266">
        <f t="shared" ref="J48:K48" si="36">J51+J49</f>
        <v>10500000</v>
      </c>
      <c r="K48" s="2266">
        <f t="shared" si="36"/>
        <v>11743229</v>
      </c>
      <c r="L48" s="2266"/>
      <c r="M48" s="4241" t="s">
        <v>61</v>
      </c>
      <c r="N48" s="4241" t="s">
        <v>61</v>
      </c>
      <c r="O48" s="4234"/>
    </row>
    <row r="49" spans="1:77" s="502" customFormat="1" ht="12">
      <c r="A49" s="4230"/>
      <c r="B49" s="2267" t="s">
        <v>24</v>
      </c>
      <c r="C49" s="4271" t="s">
        <v>455</v>
      </c>
      <c r="D49" s="1372">
        <f>+D50</f>
        <v>15800729</v>
      </c>
      <c r="E49" s="1372">
        <f t="shared" ref="E49:K49" si="37">+E50</f>
        <v>0</v>
      </c>
      <c r="F49" s="1372">
        <f t="shared" si="37"/>
        <v>97440</v>
      </c>
      <c r="G49" s="1372">
        <f t="shared" si="37"/>
        <v>481236</v>
      </c>
      <c r="H49" s="1372">
        <f t="shared" si="37"/>
        <v>7571324</v>
      </c>
      <c r="I49" s="1372">
        <f t="shared" si="37"/>
        <v>4000000</v>
      </c>
      <c r="J49" s="1372">
        <f t="shared" si="37"/>
        <v>2000000</v>
      </c>
      <c r="K49" s="1372">
        <f t="shared" si="37"/>
        <v>1650729</v>
      </c>
      <c r="L49" s="1372"/>
      <c r="M49" s="4242"/>
      <c r="N49" s="4242"/>
      <c r="O49" s="4234"/>
    </row>
    <row r="50" spans="1:77" s="502" customFormat="1" ht="12.75" customHeight="1">
      <c r="A50" s="4230"/>
      <c r="B50" s="2256" t="s">
        <v>146</v>
      </c>
      <c r="C50" s="4272"/>
      <c r="D50" s="839">
        <f>E50+F50+G50+H50+I50+J50+K50+L50</f>
        <v>15800729</v>
      </c>
      <c r="E50" s="2253">
        <v>0</v>
      </c>
      <c r="F50" s="2257">
        <f>350000-252560</f>
        <v>97440</v>
      </c>
      <c r="G50" s="2257">
        <f>1800000+252560-1571324</f>
        <v>481236</v>
      </c>
      <c r="H50" s="2257">
        <f>6000000+1571324</f>
        <v>7571324</v>
      </c>
      <c r="I50" s="2257">
        <v>4000000</v>
      </c>
      <c r="J50" s="2257">
        <v>2000000</v>
      </c>
      <c r="K50" s="2257">
        <v>1650729</v>
      </c>
      <c r="L50" s="2257"/>
      <c r="M50" s="4242"/>
      <c r="N50" s="4242"/>
      <c r="O50" s="4234"/>
      <c r="Q50" s="503">
        <v>10989251</v>
      </c>
    </row>
    <row r="51" spans="1:77" s="361" customFormat="1" ht="13.5" customHeight="1">
      <c r="A51" s="4230"/>
      <c r="B51" s="2259" t="s">
        <v>18</v>
      </c>
      <c r="C51" s="4272"/>
      <c r="D51" s="2260">
        <f>+D52</f>
        <v>60200000</v>
      </c>
      <c r="E51" s="2260">
        <f t="shared" ref="E51:K51" si="38">+E52</f>
        <v>0</v>
      </c>
      <c r="F51" s="2260">
        <f t="shared" si="38"/>
        <v>0</v>
      </c>
      <c r="G51" s="2260">
        <f t="shared" si="38"/>
        <v>2000000</v>
      </c>
      <c r="H51" s="2260">
        <f t="shared" si="38"/>
        <v>27665000</v>
      </c>
      <c r="I51" s="2260">
        <f t="shared" si="38"/>
        <v>11942500</v>
      </c>
      <c r="J51" s="2260">
        <f t="shared" si="38"/>
        <v>8500000</v>
      </c>
      <c r="K51" s="2260">
        <f t="shared" si="38"/>
        <v>10092500</v>
      </c>
      <c r="L51" s="2260"/>
      <c r="M51" s="4242"/>
      <c r="N51" s="4242"/>
      <c r="O51" s="4234"/>
    </row>
    <row r="52" spans="1:77" s="361" customFormat="1" ht="13.5" customHeight="1" thickBot="1">
      <c r="A52" s="4231"/>
      <c r="B52" s="2102" t="s">
        <v>35</v>
      </c>
      <c r="C52" s="4274"/>
      <c r="D52" s="1870">
        <f>E52+F52+G52+H52+I52+J52+K52+L52</f>
        <v>60200000</v>
      </c>
      <c r="E52" s="495">
        <v>0</v>
      </c>
      <c r="F52" s="504">
        <v>0</v>
      </c>
      <c r="G52" s="504">
        <f>9265000-7265000</f>
        <v>2000000</v>
      </c>
      <c r="H52" s="504">
        <f>20400000+7265000</f>
        <v>27665000</v>
      </c>
      <c r="I52" s="504">
        <v>11942500</v>
      </c>
      <c r="J52" s="504">
        <v>8500000</v>
      </c>
      <c r="K52" s="504">
        <v>10092500</v>
      </c>
      <c r="L52" s="504"/>
      <c r="M52" s="4243"/>
      <c r="N52" s="4243"/>
      <c r="O52" s="4235"/>
    </row>
    <row r="53" spans="1:77" s="310" customFormat="1" ht="27" customHeight="1">
      <c r="A53" s="4229" t="s">
        <v>66</v>
      </c>
      <c r="B53" s="499" t="s">
        <v>441</v>
      </c>
      <c r="C53" s="3175" t="s">
        <v>81</v>
      </c>
      <c r="D53" s="3178"/>
      <c r="E53" s="380"/>
      <c r="F53" s="380"/>
      <c r="G53" s="380"/>
      <c r="H53" s="380"/>
      <c r="I53" s="380"/>
      <c r="J53" s="380"/>
      <c r="K53" s="380"/>
      <c r="L53" s="1388"/>
      <c r="M53" s="2268"/>
      <c r="N53" s="2268"/>
      <c r="O53" s="4233" t="s">
        <v>160</v>
      </c>
      <c r="BY53" s="498"/>
    </row>
    <row r="54" spans="1:77" s="310" customFormat="1" ht="14.25" customHeight="1">
      <c r="A54" s="4230"/>
      <c r="B54" s="462" t="s">
        <v>10</v>
      </c>
      <c r="C54" s="500"/>
      <c r="D54" s="489">
        <f>D55+D58</f>
        <v>105070947</v>
      </c>
      <c r="E54" s="489">
        <v>0</v>
      </c>
      <c r="F54" s="489">
        <f t="shared" ref="F54:J54" si="39">+F55+F58</f>
        <v>0</v>
      </c>
      <c r="G54" s="489">
        <f t="shared" si="39"/>
        <v>720400</v>
      </c>
      <c r="H54" s="489">
        <f t="shared" si="39"/>
        <v>41610400</v>
      </c>
      <c r="I54" s="489">
        <f t="shared" si="39"/>
        <v>41610400</v>
      </c>
      <c r="J54" s="489">
        <f t="shared" si="39"/>
        <v>21129747</v>
      </c>
      <c r="K54" s="489"/>
      <c r="L54" s="489"/>
      <c r="M54" s="492">
        <f>+M55</f>
        <v>42330800</v>
      </c>
      <c r="N54" s="492">
        <f>+N55</f>
        <v>63400947</v>
      </c>
      <c r="O54" s="4234"/>
    </row>
    <row r="55" spans="1:77" s="310" customFormat="1" ht="14.25" customHeight="1">
      <c r="A55" s="4230"/>
      <c r="B55" s="2243" t="s">
        <v>24</v>
      </c>
      <c r="C55" s="4225" t="s">
        <v>161</v>
      </c>
      <c r="D55" s="455">
        <f>D56+D57</f>
        <v>63400947</v>
      </c>
      <c r="E55" s="455">
        <v>0</v>
      </c>
      <c r="F55" s="455">
        <f t="shared" ref="F55:G55" si="40">F56+F57</f>
        <v>0</v>
      </c>
      <c r="G55" s="455">
        <f t="shared" si="40"/>
        <v>720400</v>
      </c>
      <c r="H55" s="455">
        <f>H56+H57</f>
        <v>41610400</v>
      </c>
      <c r="I55" s="455">
        <f>I56+I57</f>
        <v>7780807</v>
      </c>
      <c r="J55" s="455">
        <f>J56+J57</f>
        <v>13289340</v>
      </c>
      <c r="K55" s="455"/>
      <c r="L55" s="455"/>
      <c r="M55" s="494">
        <f>+M56</f>
        <v>42330800</v>
      </c>
      <c r="N55" s="494">
        <f>+N56</f>
        <v>63400947</v>
      </c>
      <c r="O55" s="4234"/>
    </row>
    <row r="56" spans="1:77" s="310" customFormat="1" ht="14.25" customHeight="1">
      <c r="A56" s="4230"/>
      <c r="B56" s="2244" t="s">
        <v>121</v>
      </c>
      <c r="C56" s="4226"/>
      <c r="D56" s="454">
        <f>E56+F56+G56+H56+I56+J56+K56+L56</f>
        <v>63400947</v>
      </c>
      <c r="E56" s="452"/>
      <c r="F56" s="452">
        <v>0</v>
      </c>
      <c r="G56" s="452">
        <v>720400</v>
      </c>
      <c r="H56" s="452">
        <v>41610400</v>
      </c>
      <c r="I56" s="452">
        <v>7780807</v>
      </c>
      <c r="J56" s="452">
        <v>13289340</v>
      </c>
      <c r="K56" s="452"/>
      <c r="L56" s="452"/>
      <c r="M56" s="488">
        <f>SUM(E56:H56)</f>
        <v>42330800</v>
      </c>
      <c r="N56" s="2258">
        <f>SUM(G56:L56)</f>
        <v>63400947</v>
      </c>
      <c r="O56" s="4234"/>
    </row>
    <row r="57" spans="1:77" s="310" customFormat="1" ht="14.25" hidden="1" customHeight="1">
      <c r="A57" s="4230"/>
      <c r="B57" s="2269" t="s">
        <v>32</v>
      </c>
      <c r="C57" s="4239" t="s">
        <v>23</v>
      </c>
      <c r="D57" s="454">
        <f>E57+F57+G57+H57+I57+J57+K57+L57</f>
        <v>0</v>
      </c>
      <c r="E57" s="452"/>
      <c r="F57" s="2270"/>
      <c r="G57" s="2270">
        <v>0</v>
      </c>
      <c r="H57" s="2270">
        <v>0</v>
      </c>
      <c r="I57" s="2270">
        <v>0</v>
      </c>
      <c r="J57" s="2270"/>
      <c r="K57" s="2270"/>
      <c r="L57" s="2270"/>
      <c r="M57" s="2271" t="s">
        <v>61</v>
      </c>
      <c r="N57" s="2271" t="s">
        <v>61</v>
      </c>
      <c r="O57" s="4234"/>
    </row>
    <row r="58" spans="1:77" s="310" customFormat="1" ht="14.25" customHeight="1">
      <c r="A58" s="4230"/>
      <c r="B58" s="2272" t="s">
        <v>18</v>
      </c>
      <c r="C58" s="4249"/>
      <c r="D58" s="497">
        <f>D59</f>
        <v>41670000</v>
      </c>
      <c r="E58" s="497">
        <v>0</v>
      </c>
      <c r="F58" s="497">
        <f t="shared" ref="F58:N58" si="41">+F59</f>
        <v>0</v>
      </c>
      <c r="G58" s="497">
        <f t="shared" si="41"/>
        <v>0</v>
      </c>
      <c r="H58" s="497">
        <f t="shared" si="41"/>
        <v>0</v>
      </c>
      <c r="I58" s="497">
        <f t="shared" si="41"/>
        <v>33829593</v>
      </c>
      <c r="J58" s="497">
        <f t="shared" si="41"/>
        <v>7840407</v>
      </c>
      <c r="K58" s="497"/>
      <c r="L58" s="497"/>
      <c r="M58" s="501" t="str">
        <f t="shared" si="41"/>
        <v>x</v>
      </c>
      <c r="N58" s="501" t="str">
        <f t="shared" si="41"/>
        <v>x</v>
      </c>
      <c r="O58" s="4234"/>
    </row>
    <row r="59" spans="1:77" s="310" customFormat="1" ht="14.25" customHeight="1">
      <c r="A59" s="4230"/>
      <c r="B59" s="2269" t="s">
        <v>35</v>
      </c>
      <c r="C59" s="4240"/>
      <c r="D59" s="454">
        <f>E59+F59+G59+H59+I59+J59+K59+L59</f>
        <v>41670000</v>
      </c>
      <c r="E59" s="452"/>
      <c r="F59" s="452">
        <v>0</v>
      </c>
      <c r="G59" s="452">
        <v>0</v>
      </c>
      <c r="H59" s="452">
        <v>0</v>
      </c>
      <c r="I59" s="452">
        <v>33829593</v>
      </c>
      <c r="J59" s="452">
        <v>7840407</v>
      </c>
      <c r="K59" s="452"/>
      <c r="L59" s="452"/>
      <c r="M59" s="505" t="s">
        <v>61</v>
      </c>
      <c r="N59" s="505" t="s">
        <v>61</v>
      </c>
      <c r="O59" s="4234"/>
    </row>
    <row r="60" spans="1:77" s="498" customFormat="1" ht="14.25" customHeight="1">
      <c r="A60" s="4230"/>
      <c r="B60" s="462" t="s">
        <v>22</v>
      </c>
      <c r="C60" s="500"/>
      <c r="D60" s="489">
        <f>D61+D63</f>
        <v>59942652</v>
      </c>
      <c r="E60" s="489">
        <v>0</v>
      </c>
      <c r="F60" s="489">
        <f>F63+F61</f>
        <v>0</v>
      </c>
      <c r="G60" s="489">
        <f>G63+G61</f>
        <v>125279</v>
      </c>
      <c r="H60" s="489">
        <f>H63+H61</f>
        <v>7236150</v>
      </c>
      <c r="I60" s="489">
        <f>I63+I61</f>
        <v>41065743</v>
      </c>
      <c r="J60" s="489">
        <f>J63+J61</f>
        <v>11515480</v>
      </c>
      <c r="K60" s="489"/>
      <c r="L60" s="489"/>
      <c r="M60" s="4250" t="s">
        <v>61</v>
      </c>
      <c r="N60" s="4250" t="s">
        <v>61</v>
      </c>
      <c r="O60" s="4234"/>
    </row>
    <row r="61" spans="1:77" s="498" customFormat="1" ht="14.25" customHeight="1">
      <c r="A61" s="4230"/>
      <c r="B61" s="2243" t="s">
        <v>24</v>
      </c>
      <c r="C61" s="4225" t="s">
        <v>161</v>
      </c>
      <c r="D61" s="506">
        <f>D62</f>
        <v>18272652</v>
      </c>
      <c r="E61" s="506">
        <v>0</v>
      </c>
      <c r="F61" s="506">
        <f t="shared" ref="F61:J61" si="42">+F62</f>
        <v>0</v>
      </c>
      <c r="G61" s="506">
        <f t="shared" si="42"/>
        <v>125279</v>
      </c>
      <c r="H61" s="506">
        <f t="shared" si="42"/>
        <v>7236150</v>
      </c>
      <c r="I61" s="506">
        <f t="shared" si="42"/>
        <v>7236150</v>
      </c>
      <c r="J61" s="506">
        <f t="shared" si="42"/>
        <v>3675073</v>
      </c>
      <c r="K61" s="506"/>
      <c r="L61" s="506"/>
      <c r="M61" s="4251"/>
      <c r="N61" s="4251"/>
      <c r="O61" s="4234"/>
    </row>
    <row r="62" spans="1:77" s="498" customFormat="1" ht="14.25" customHeight="1">
      <c r="A62" s="4230"/>
      <c r="B62" s="2269" t="s">
        <v>146</v>
      </c>
      <c r="C62" s="4226"/>
      <c r="D62" s="454">
        <f>E62+F62+G62+H62+I62+J62+K62+L62</f>
        <v>18272652</v>
      </c>
      <c r="E62" s="452"/>
      <c r="F62" s="452">
        <v>0</v>
      </c>
      <c r="G62" s="452">
        <v>125279</v>
      </c>
      <c r="H62" s="452">
        <v>7236150</v>
      </c>
      <c r="I62" s="452">
        <v>7236150</v>
      </c>
      <c r="J62" s="452">
        <v>3675073</v>
      </c>
      <c r="K62" s="452"/>
      <c r="L62" s="452"/>
      <c r="M62" s="4251"/>
      <c r="N62" s="4251"/>
      <c r="O62" s="4234"/>
      <c r="Q62" s="507">
        <v>-13525758</v>
      </c>
    </row>
    <row r="63" spans="1:77" s="310" customFormat="1" ht="14.25" customHeight="1">
      <c r="A63" s="4230"/>
      <c r="B63" s="2272" t="s">
        <v>18</v>
      </c>
      <c r="C63" s="4239" t="s">
        <v>23</v>
      </c>
      <c r="D63" s="455">
        <f>D64</f>
        <v>41670000</v>
      </c>
      <c r="E63" s="455">
        <v>0</v>
      </c>
      <c r="F63" s="455">
        <f t="shared" ref="F63:J63" si="43">+F64</f>
        <v>0</v>
      </c>
      <c r="G63" s="455">
        <f t="shared" si="43"/>
        <v>0</v>
      </c>
      <c r="H63" s="455">
        <f t="shared" si="43"/>
        <v>0</v>
      </c>
      <c r="I63" s="455">
        <f t="shared" si="43"/>
        <v>33829593</v>
      </c>
      <c r="J63" s="455">
        <f t="shared" si="43"/>
        <v>7840407</v>
      </c>
      <c r="K63" s="455"/>
      <c r="L63" s="455"/>
      <c r="M63" s="4251"/>
      <c r="N63" s="4251"/>
      <c r="O63" s="4234"/>
    </row>
    <row r="64" spans="1:77" s="310" customFormat="1" ht="14.25" customHeight="1" thickBot="1">
      <c r="A64" s="4231"/>
      <c r="B64" s="2102" t="s">
        <v>35</v>
      </c>
      <c r="C64" s="4228"/>
      <c r="D64" s="504">
        <f>E64+F64+G64+H64+I64+J64+K64+L64</f>
        <v>41670000</v>
      </c>
      <c r="E64" s="495"/>
      <c r="F64" s="495">
        <v>0</v>
      </c>
      <c r="G64" s="495">
        <v>0</v>
      </c>
      <c r="H64" s="495">
        <v>0</v>
      </c>
      <c r="I64" s="495">
        <v>33829593</v>
      </c>
      <c r="J64" s="495">
        <v>7840407</v>
      </c>
      <c r="K64" s="495"/>
      <c r="L64" s="495"/>
      <c r="M64" s="4252"/>
      <c r="N64" s="4252"/>
      <c r="O64" s="4235"/>
    </row>
    <row r="65" spans="1:77" s="310" customFormat="1" ht="27.75" customHeight="1">
      <c r="A65" s="4229" t="s">
        <v>67</v>
      </c>
      <c r="B65" s="499" t="s">
        <v>543</v>
      </c>
      <c r="C65" s="3175" t="s">
        <v>109</v>
      </c>
      <c r="D65" s="3178"/>
      <c r="E65" s="380"/>
      <c r="F65" s="380"/>
      <c r="G65" s="380"/>
      <c r="H65" s="380"/>
      <c r="I65" s="380"/>
      <c r="J65" s="380"/>
      <c r="K65" s="380"/>
      <c r="L65" s="1388"/>
      <c r="M65" s="508"/>
      <c r="N65" s="508"/>
      <c r="O65" s="4233" t="s">
        <v>160</v>
      </c>
      <c r="BY65" s="498"/>
    </row>
    <row r="66" spans="1:77" s="310" customFormat="1" ht="13.5" customHeight="1">
      <c r="A66" s="4230"/>
      <c r="B66" s="462" t="s">
        <v>10</v>
      </c>
      <c r="C66" s="500"/>
      <c r="D66" s="489">
        <f>D67+D70</f>
        <v>622043</v>
      </c>
      <c r="E66" s="489">
        <v>0</v>
      </c>
      <c r="F66" s="489">
        <f>+F67+F70</f>
        <v>116</v>
      </c>
      <c r="G66" s="489">
        <f>+G67+G70</f>
        <v>196713</v>
      </c>
      <c r="H66" s="489">
        <f>+H67+H70</f>
        <v>203401</v>
      </c>
      <c r="I66" s="489">
        <f>+I67+I70</f>
        <v>217007</v>
      </c>
      <c r="J66" s="489">
        <f>+J67+J70</f>
        <v>4806</v>
      </c>
      <c r="K66" s="489"/>
      <c r="L66" s="489"/>
      <c r="M66" s="492">
        <f>+M67</f>
        <v>59919</v>
      </c>
      <c r="N66" s="492">
        <f>+N67</f>
        <v>93191</v>
      </c>
      <c r="O66" s="4234"/>
    </row>
    <row r="67" spans="1:77" s="310" customFormat="1" ht="13.5" customHeight="1">
      <c r="A67" s="4230"/>
      <c r="B67" s="493" t="s">
        <v>24</v>
      </c>
      <c r="C67" s="4225" t="s">
        <v>161</v>
      </c>
      <c r="D67" s="455">
        <f>D68+D69</f>
        <v>93307</v>
      </c>
      <c r="E67" s="455">
        <v>0</v>
      </c>
      <c r="F67" s="455">
        <f t="shared" ref="F67:G67" si="44">+F68+F69</f>
        <v>116</v>
      </c>
      <c r="G67" s="455">
        <f t="shared" si="44"/>
        <v>29409</v>
      </c>
      <c r="H67" s="455">
        <f>+H68+H69</f>
        <v>30510</v>
      </c>
      <c r="I67" s="455">
        <f>+I68+I69</f>
        <v>32551</v>
      </c>
      <c r="J67" s="455">
        <f>+J68+J69</f>
        <v>721</v>
      </c>
      <c r="K67" s="455"/>
      <c r="L67" s="455"/>
      <c r="M67" s="3352">
        <f>+M68</f>
        <v>59919</v>
      </c>
      <c r="N67" s="3352">
        <f>+N68</f>
        <v>93191</v>
      </c>
      <c r="O67" s="4234"/>
    </row>
    <row r="68" spans="1:77" s="310" customFormat="1" ht="13.5" customHeight="1">
      <c r="A68" s="4230"/>
      <c r="B68" s="3353" t="s">
        <v>121</v>
      </c>
      <c r="C68" s="4226"/>
      <c r="D68" s="454">
        <f>F68+G68+H68+I68+J68+K68+L68</f>
        <v>93191</v>
      </c>
      <c r="E68" s="452"/>
      <c r="F68" s="452">
        <v>0</v>
      </c>
      <c r="G68" s="452">
        <v>29409</v>
      </c>
      <c r="H68" s="452">
        <v>30510</v>
      </c>
      <c r="I68" s="452">
        <v>32551</v>
      </c>
      <c r="J68" s="452">
        <v>721</v>
      </c>
      <c r="K68" s="452"/>
      <c r="L68" s="452"/>
      <c r="M68" s="488">
        <f>SUM(E68:H68)</f>
        <v>59919</v>
      </c>
      <c r="N68" s="488">
        <f>SUM(F68:J68)</f>
        <v>93191</v>
      </c>
      <c r="O68" s="4234"/>
    </row>
    <row r="69" spans="1:77" s="310" customFormat="1" ht="13.5" customHeight="1">
      <c r="A69" s="4230"/>
      <c r="B69" s="3354" t="s">
        <v>32</v>
      </c>
      <c r="C69" s="3089"/>
      <c r="D69" s="454">
        <f>F69+G69+H69+I69+J69+K69+L69</f>
        <v>116</v>
      </c>
      <c r="E69" s="452"/>
      <c r="F69" s="452">
        <v>116</v>
      </c>
      <c r="G69" s="452"/>
      <c r="H69" s="452"/>
      <c r="I69" s="452"/>
      <c r="J69" s="452"/>
      <c r="K69" s="452"/>
      <c r="L69" s="452"/>
      <c r="M69" s="3233" t="s">
        <v>61</v>
      </c>
      <c r="N69" s="3233" t="s">
        <v>61</v>
      </c>
      <c r="O69" s="4234"/>
    </row>
    <row r="70" spans="1:77" s="310" customFormat="1" ht="13.5" customHeight="1">
      <c r="A70" s="4230"/>
      <c r="B70" s="496" t="s">
        <v>18</v>
      </c>
      <c r="C70" s="4239" t="s">
        <v>23</v>
      </c>
      <c r="D70" s="506">
        <f>D71</f>
        <v>528736</v>
      </c>
      <c r="E70" s="506">
        <v>0</v>
      </c>
      <c r="F70" s="506">
        <f t="shared" ref="F70:N70" si="45">+F71</f>
        <v>0</v>
      </c>
      <c r="G70" s="506">
        <f t="shared" si="45"/>
        <v>167304</v>
      </c>
      <c r="H70" s="506">
        <f t="shared" si="45"/>
        <v>172891</v>
      </c>
      <c r="I70" s="506">
        <f t="shared" si="45"/>
        <v>184456</v>
      </c>
      <c r="J70" s="506">
        <f t="shared" si="45"/>
        <v>4085</v>
      </c>
      <c r="K70" s="3355"/>
      <c r="L70" s="3355"/>
      <c r="M70" s="501" t="str">
        <f t="shared" si="45"/>
        <v>x</v>
      </c>
      <c r="N70" s="501" t="str">
        <f t="shared" si="45"/>
        <v>x</v>
      </c>
      <c r="O70" s="4234"/>
    </row>
    <row r="71" spans="1:77" s="310" customFormat="1" ht="13.5" customHeight="1">
      <c r="A71" s="4230"/>
      <c r="B71" s="3356" t="s">
        <v>35</v>
      </c>
      <c r="C71" s="4240"/>
      <c r="D71" s="454">
        <f>F71+G71+H71+I71+J71+K71+L71</f>
        <v>528736</v>
      </c>
      <c r="E71" s="452"/>
      <c r="F71" s="452">
        <v>0</v>
      </c>
      <c r="G71" s="452">
        <v>167304</v>
      </c>
      <c r="H71" s="452">
        <v>172891</v>
      </c>
      <c r="I71" s="452">
        <v>184456</v>
      </c>
      <c r="J71" s="452">
        <v>4085</v>
      </c>
      <c r="K71" s="452"/>
      <c r="L71" s="452"/>
      <c r="M71" s="505" t="s">
        <v>61</v>
      </c>
      <c r="N71" s="505" t="s">
        <v>61</v>
      </c>
      <c r="O71" s="4234"/>
    </row>
    <row r="72" spans="1:77" s="310" customFormat="1" ht="13.5" customHeight="1">
      <c r="A72" s="4230"/>
      <c r="B72" s="462" t="s">
        <v>22</v>
      </c>
      <c r="C72" s="3357"/>
      <c r="D72" s="489">
        <f>D73+D75</f>
        <v>528736</v>
      </c>
      <c r="E72" s="489">
        <v>0</v>
      </c>
      <c r="F72" s="489">
        <f t="shared" ref="F72:G72" si="46">+F73+F75</f>
        <v>0</v>
      </c>
      <c r="G72" s="489">
        <f t="shared" si="46"/>
        <v>167304</v>
      </c>
      <c r="H72" s="489">
        <f>+H73+H75</f>
        <v>172891</v>
      </c>
      <c r="I72" s="489">
        <f>+I73+I75</f>
        <v>184456</v>
      </c>
      <c r="J72" s="489">
        <f>+J73+J75</f>
        <v>4085</v>
      </c>
      <c r="K72" s="489"/>
      <c r="L72" s="489"/>
      <c r="M72" s="4221" t="s">
        <v>61</v>
      </c>
      <c r="N72" s="4221" t="s">
        <v>61</v>
      </c>
      <c r="O72" s="4234"/>
    </row>
    <row r="73" spans="1:77" s="310" customFormat="1" ht="13.5" hidden="1" customHeight="1">
      <c r="A73" s="4230"/>
      <c r="B73" s="493" t="s">
        <v>24</v>
      </c>
      <c r="C73" s="4225" t="s">
        <v>161</v>
      </c>
      <c r="D73" s="506"/>
      <c r="E73" s="455">
        <v>0</v>
      </c>
      <c r="F73" s="455">
        <f t="shared" ref="F73:J73" si="47">+F74</f>
        <v>0</v>
      </c>
      <c r="G73" s="455">
        <f t="shared" si="47"/>
        <v>0</v>
      </c>
      <c r="H73" s="455">
        <f t="shared" si="47"/>
        <v>0</v>
      </c>
      <c r="I73" s="455">
        <f t="shared" si="47"/>
        <v>0</v>
      </c>
      <c r="J73" s="455">
        <f t="shared" si="47"/>
        <v>0</v>
      </c>
      <c r="K73" s="455"/>
      <c r="L73" s="455"/>
      <c r="M73" s="4042"/>
      <c r="N73" s="4042"/>
      <c r="O73" s="4234"/>
    </row>
    <row r="74" spans="1:77" s="310" customFormat="1" ht="13.5" hidden="1" customHeight="1">
      <c r="A74" s="4230"/>
      <c r="B74" s="3356" t="s">
        <v>138</v>
      </c>
      <c r="C74" s="4226"/>
      <c r="D74" s="454"/>
      <c r="E74" s="452"/>
      <c r="F74" s="452">
        <v>0</v>
      </c>
      <c r="G74" s="452">
        <v>0</v>
      </c>
      <c r="H74" s="452">
        <v>0</v>
      </c>
      <c r="I74" s="452">
        <v>0</v>
      </c>
      <c r="J74" s="452">
        <v>0</v>
      </c>
      <c r="K74" s="452"/>
      <c r="L74" s="452"/>
      <c r="M74" s="4042"/>
      <c r="N74" s="4042"/>
      <c r="O74" s="4234"/>
    </row>
    <row r="75" spans="1:77" s="310" customFormat="1" ht="13.5" customHeight="1">
      <c r="A75" s="4230"/>
      <c r="B75" s="3358" t="s">
        <v>18</v>
      </c>
      <c r="C75" s="4239" t="s">
        <v>23</v>
      </c>
      <c r="D75" s="506">
        <f>D76</f>
        <v>528736</v>
      </c>
      <c r="E75" s="506">
        <v>0</v>
      </c>
      <c r="F75" s="506">
        <f t="shared" ref="F75:J75" si="48">+F76</f>
        <v>0</v>
      </c>
      <c r="G75" s="506">
        <f t="shared" si="48"/>
        <v>167304</v>
      </c>
      <c r="H75" s="506">
        <f t="shared" si="48"/>
        <v>172891</v>
      </c>
      <c r="I75" s="506">
        <f t="shared" si="48"/>
        <v>184456</v>
      </c>
      <c r="J75" s="506">
        <f t="shared" si="48"/>
        <v>4085</v>
      </c>
      <c r="K75" s="506"/>
      <c r="L75" s="506"/>
      <c r="M75" s="4042"/>
      <c r="N75" s="4042"/>
      <c r="O75" s="4234"/>
    </row>
    <row r="76" spans="1:77" s="310" customFormat="1" ht="13.5" customHeight="1" thickBot="1">
      <c r="A76" s="4231"/>
      <c r="B76" s="3359" t="s">
        <v>35</v>
      </c>
      <c r="C76" s="4240"/>
      <c r="D76" s="454">
        <f>F76+G76+H76+I76+J76+K76+L76</f>
        <v>528736</v>
      </c>
      <c r="E76" s="452"/>
      <c r="F76" s="3360">
        <v>0</v>
      </c>
      <c r="G76" s="3360">
        <v>167304</v>
      </c>
      <c r="H76" s="3360">
        <v>172891</v>
      </c>
      <c r="I76" s="3360">
        <v>184456</v>
      </c>
      <c r="J76" s="3360">
        <v>4085</v>
      </c>
      <c r="K76" s="3360"/>
      <c r="L76" s="3360"/>
      <c r="M76" s="4043"/>
      <c r="N76" s="4043"/>
      <c r="O76" s="4235"/>
    </row>
    <row r="77" spans="1:77" s="310" customFormat="1" ht="27.75" customHeight="1">
      <c r="A77" s="4229" t="s">
        <v>115</v>
      </c>
      <c r="B77" s="499" t="s">
        <v>544</v>
      </c>
      <c r="C77" s="3175" t="s">
        <v>81</v>
      </c>
      <c r="D77" s="3178"/>
      <c r="E77" s="380"/>
      <c r="F77" s="380"/>
      <c r="G77" s="380"/>
      <c r="H77" s="380"/>
      <c r="I77" s="380"/>
      <c r="J77" s="380"/>
      <c r="K77" s="380"/>
      <c r="L77" s="1388"/>
      <c r="M77" s="508"/>
      <c r="N77" s="508"/>
      <c r="O77" s="4233" t="s">
        <v>487</v>
      </c>
    </row>
    <row r="78" spans="1:77" s="310" customFormat="1" ht="13.5" customHeight="1">
      <c r="A78" s="4230"/>
      <c r="B78" s="462" t="s">
        <v>10</v>
      </c>
      <c r="C78" s="3357"/>
      <c r="D78" s="489">
        <f>D79+D82</f>
        <v>2392705</v>
      </c>
      <c r="E78" s="489">
        <v>0</v>
      </c>
      <c r="F78" s="489">
        <f>+F79+F82</f>
        <v>0</v>
      </c>
      <c r="G78" s="489">
        <f>+G79+G82</f>
        <v>12887</v>
      </c>
      <c r="H78" s="489">
        <f>+H79+H82</f>
        <v>1348850</v>
      </c>
      <c r="I78" s="489">
        <f>+I79+I82</f>
        <v>1030968</v>
      </c>
      <c r="J78" s="489"/>
      <c r="K78" s="489"/>
      <c r="L78" s="489"/>
      <c r="M78" s="492">
        <f>+M79</f>
        <v>204260</v>
      </c>
      <c r="N78" s="492">
        <f>+N79</f>
        <v>358905</v>
      </c>
      <c r="O78" s="4234"/>
      <c r="Q78" s="175"/>
    </row>
    <row r="79" spans="1:77" s="310" customFormat="1" ht="13.5" customHeight="1">
      <c r="A79" s="4230"/>
      <c r="B79" s="493" t="s">
        <v>24</v>
      </c>
      <c r="C79" s="4223" t="s">
        <v>161</v>
      </c>
      <c r="D79" s="455">
        <f>D80+D81</f>
        <v>358905</v>
      </c>
      <c r="E79" s="455">
        <v>0</v>
      </c>
      <c r="F79" s="455">
        <f>F81+F80</f>
        <v>0</v>
      </c>
      <c r="G79" s="455">
        <f>G81+G80</f>
        <v>1933</v>
      </c>
      <c r="H79" s="455">
        <f>H81+H80</f>
        <v>202327</v>
      </c>
      <c r="I79" s="455">
        <f>I81+I80</f>
        <v>154645</v>
      </c>
      <c r="J79" s="455"/>
      <c r="K79" s="455"/>
      <c r="L79" s="455"/>
      <c r="M79" s="494">
        <f>+M81</f>
        <v>204260</v>
      </c>
      <c r="N79" s="494">
        <f>+N81</f>
        <v>358905</v>
      </c>
      <c r="O79" s="4234"/>
    </row>
    <row r="80" spans="1:77" s="310" customFormat="1" ht="13.5" hidden="1" customHeight="1">
      <c r="A80" s="4230"/>
      <c r="B80" s="3353" t="s">
        <v>32</v>
      </c>
      <c r="C80" s="4224"/>
      <c r="D80" s="454">
        <f>G80+H80+I80+J80+K80+L80</f>
        <v>0</v>
      </c>
      <c r="E80" s="452"/>
      <c r="F80" s="3361">
        <v>0</v>
      </c>
      <c r="G80" s="3361">
        <v>0</v>
      </c>
      <c r="H80" s="3361">
        <v>0</v>
      </c>
      <c r="I80" s="3361">
        <v>0</v>
      </c>
      <c r="J80" s="3361"/>
      <c r="K80" s="3361"/>
      <c r="L80" s="3361"/>
      <c r="M80" s="505" t="s">
        <v>61</v>
      </c>
      <c r="N80" s="505" t="s">
        <v>61</v>
      </c>
      <c r="O80" s="4234"/>
    </row>
    <row r="81" spans="1:17" s="310" customFormat="1" ht="16.5" customHeight="1">
      <c r="A81" s="4230"/>
      <c r="B81" s="509" t="s">
        <v>121</v>
      </c>
      <c r="C81" s="3956"/>
      <c r="D81" s="454">
        <f>G81+H81+I81+J81+K81+L81</f>
        <v>358905</v>
      </c>
      <c r="E81" s="454">
        <v>0</v>
      </c>
      <c r="F81" s="3362">
        <v>0</v>
      </c>
      <c r="G81" s="3362">
        <v>1933</v>
      </c>
      <c r="H81" s="3362">
        <v>202327</v>
      </c>
      <c r="I81" s="3362">
        <v>154645</v>
      </c>
      <c r="J81" s="3362"/>
      <c r="K81" s="3362"/>
      <c r="L81" s="3362"/>
      <c r="M81" s="464">
        <f>SUM(E81:H81)</f>
        <v>204260</v>
      </c>
      <c r="N81" s="464">
        <f>SUM(F81:I81)</f>
        <v>358905</v>
      </c>
      <c r="O81" s="4234"/>
    </row>
    <row r="82" spans="1:17" s="310" customFormat="1" ht="15" customHeight="1">
      <c r="A82" s="4230"/>
      <c r="B82" s="3363" t="s">
        <v>18</v>
      </c>
      <c r="C82" s="4239" t="s">
        <v>23</v>
      </c>
      <c r="D82" s="3364">
        <f>D83</f>
        <v>2033800</v>
      </c>
      <c r="E82" s="3364">
        <v>0</v>
      </c>
      <c r="F82" s="3364">
        <f t="shared" ref="F82:N82" si="49">+F83</f>
        <v>0</v>
      </c>
      <c r="G82" s="3364">
        <f t="shared" si="49"/>
        <v>10954</v>
      </c>
      <c r="H82" s="3364">
        <f t="shared" si="49"/>
        <v>1146523</v>
      </c>
      <c r="I82" s="3364">
        <f t="shared" si="49"/>
        <v>876323</v>
      </c>
      <c r="J82" s="497"/>
      <c r="K82" s="497"/>
      <c r="L82" s="497"/>
      <c r="M82" s="501" t="str">
        <f t="shared" si="49"/>
        <v>x</v>
      </c>
      <c r="N82" s="501" t="str">
        <f t="shared" si="49"/>
        <v>x</v>
      </c>
      <c r="O82" s="4234"/>
    </row>
    <row r="83" spans="1:17" s="310" customFormat="1" ht="14.25" customHeight="1">
      <c r="A83" s="4230"/>
      <c r="B83" s="3365" t="s">
        <v>35</v>
      </c>
      <c r="C83" s="4240"/>
      <c r="D83" s="454">
        <f>G83+H83+I83+J83+K83+L83</f>
        <v>2033800</v>
      </c>
      <c r="E83" s="454"/>
      <c r="F83" s="3362">
        <v>0</v>
      </c>
      <c r="G83" s="3362">
        <v>10954</v>
      </c>
      <c r="H83" s="3362">
        <v>1146523</v>
      </c>
      <c r="I83" s="3362">
        <v>876323</v>
      </c>
      <c r="J83" s="3361"/>
      <c r="K83" s="3361"/>
      <c r="L83" s="3361"/>
      <c r="M83" s="505" t="s">
        <v>61</v>
      </c>
      <c r="N83" s="3366" t="s">
        <v>61</v>
      </c>
      <c r="O83" s="4246"/>
    </row>
    <row r="84" spans="1:17" s="310" customFormat="1" ht="13.5" customHeight="1">
      <c r="A84" s="4230"/>
      <c r="B84" s="462" t="s">
        <v>22</v>
      </c>
      <c r="C84" s="3357"/>
      <c r="D84" s="489">
        <f>D85+D87</f>
        <v>2033800</v>
      </c>
      <c r="E84" s="489">
        <v>0</v>
      </c>
      <c r="F84" s="489">
        <f>+F85+F87</f>
        <v>0</v>
      </c>
      <c r="G84" s="489">
        <f>+G85+G87</f>
        <v>10954</v>
      </c>
      <c r="H84" s="489">
        <f>+H85+H87</f>
        <v>1146523</v>
      </c>
      <c r="I84" s="489">
        <f>+I85+I87</f>
        <v>876323</v>
      </c>
      <c r="J84" s="489"/>
      <c r="K84" s="489"/>
      <c r="L84" s="489"/>
      <c r="M84" s="4221" t="s">
        <v>61</v>
      </c>
      <c r="N84" s="4222" t="s">
        <v>61</v>
      </c>
      <c r="O84" s="4247"/>
    </row>
    <row r="85" spans="1:17" s="310" customFormat="1" ht="13.5" hidden="1" customHeight="1">
      <c r="A85" s="4230"/>
      <c r="B85" s="493" t="s">
        <v>24</v>
      </c>
      <c r="C85" s="4225" t="s">
        <v>161</v>
      </c>
      <c r="D85" s="3367"/>
      <c r="E85" s="3367">
        <v>0</v>
      </c>
      <c r="F85" s="3367">
        <f t="shared" ref="F85:I85" si="50">+F86</f>
        <v>0</v>
      </c>
      <c r="G85" s="3367">
        <f t="shared" si="50"/>
        <v>0</v>
      </c>
      <c r="H85" s="3367">
        <f t="shared" si="50"/>
        <v>0</v>
      </c>
      <c r="I85" s="3367">
        <f t="shared" si="50"/>
        <v>0</v>
      </c>
      <c r="J85" s="3367"/>
      <c r="K85" s="3367"/>
      <c r="L85" s="3367"/>
      <c r="M85" s="4042"/>
      <c r="N85" s="4044"/>
      <c r="O85" s="4247"/>
    </row>
    <row r="86" spans="1:17" s="310" customFormat="1" ht="13.5" hidden="1" customHeight="1">
      <c r="A86" s="4230"/>
      <c r="B86" s="3353" t="s">
        <v>138</v>
      </c>
      <c r="C86" s="4226"/>
      <c r="D86" s="454"/>
      <c r="E86" s="452"/>
      <c r="F86" s="3361">
        <v>0</v>
      </c>
      <c r="G86" s="3361">
        <v>0</v>
      </c>
      <c r="H86" s="3361">
        <v>0</v>
      </c>
      <c r="I86" s="3361">
        <v>0</v>
      </c>
      <c r="J86" s="3361"/>
      <c r="K86" s="3361"/>
      <c r="L86" s="3361"/>
      <c r="M86" s="4042"/>
      <c r="N86" s="4044"/>
      <c r="O86" s="4247"/>
      <c r="Q86" s="175">
        <v>-1488145</v>
      </c>
    </row>
    <row r="87" spans="1:17" s="310" customFormat="1" ht="13.5" customHeight="1">
      <c r="A87" s="4230"/>
      <c r="B87" s="3368" t="s">
        <v>18</v>
      </c>
      <c r="C87" s="4227" t="s">
        <v>23</v>
      </c>
      <c r="D87" s="1457">
        <f>D88</f>
        <v>2033800</v>
      </c>
      <c r="E87" s="1457">
        <v>0</v>
      </c>
      <c r="F87" s="455">
        <f t="shared" ref="F87:I87" si="51">+F88</f>
        <v>0</v>
      </c>
      <c r="G87" s="455">
        <f t="shared" si="51"/>
        <v>10954</v>
      </c>
      <c r="H87" s="455">
        <f t="shared" si="51"/>
        <v>1146523</v>
      </c>
      <c r="I87" s="455">
        <f t="shared" si="51"/>
        <v>876323</v>
      </c>
      <c r="J87" s="455"/>
      <c r="K87" s="455"/>
      <c r="L87" s="455"/>
      <c r="M87" s="4042"/>
      <c r="N87" s="4044"/>
      <c r="O87" s="4247"/>
    </row>
    <row r="88" spans="1:17" s="310" customFormat="1" ht="15" customHeight="1" thickBot="1">
      <c r="A88" s="4023"/>
      <c r="B88" s="3369" t="s">
        <v>35</v>
      </c>
      <c r="C88" s="4228"/>
      <c r="D88" s="1579">
        <f>G88+H88+I88+J88+K88+L88</f>
        <v>2033800</v>
      </c>
      <c r="E88" s="1727">
        <v>0</v>
      </c>
      <c r="F88" s="495">
        <v>0</v>
      </c>
      <c r="G88" s="495">
        <v>10954</v>
      </c>
      <c r="H88" s="495">
        <v>1146523</v>
      </c>
      <c r="I88" s="495">
        <v>876323</v>
      </c>
      <c r="J88" s="495"/>
      <c r="K88" s="495"/>
      <c r="L88" s="495"/>
      <c r="M88" s="4043"/>
      <c r="N88" s="4045"/>
      <c r="O88" s="4248"/>
    </row>
    <row r="89" spans="1:17" s="310" customFormat="1" ht="30.75" customHeight="1">
      <c r="A89" s="4284" t="s">
        <v>87</v>
      </c>
      <c r="B89" s="499" t="s">
        <v>486</v>
      </c>
      <c r="C89" s="3175" t="s">
        <v>81</v>
      </c>
      <c r="D89" s="3176"/>
      <c r="E89" s="380"/>
      <c r="F89" s="380"/>
      <c r="G89" s="380"/>
      <c r="H89" s="380"/>
      <c r="I89" s="380"/>
      <c r="J89" s="380"/>
      <c r="K89" s="380"/>
      <c r="L89" s="1388"/>
      <c r="M89" s="508"/>
      <c r="N89" s="508"/>
      <c r="O89" s="4293" t="s">
        <v>487</v>
      </c>
    </row>
    <row r="90" spans="1:17" s="310" customFormat="1" ht="13.5" customHeight="1">
      <c r="A90" s="4285"/>
      <c r="B90" s="1572" t="s">
        <v>10</v>
      </c>
      <c r="C90" s="2273"/>
      <c r="D90" s="1472">
        <f>+D91+D95</f>
        <v>647500</v>
      </c>
      <c r="E90" s="1472">
        <f t="shared" ref="E90:G90" si="52">+E91+E95</f>
        <v>0</v>
      </c>
      <c r="F90" s="1472">
        <f t="shared" si="52"/>
        <v>0</v>
      </c>
      <c r="G90" s="1472">
        <f t="shared" si="52"/>
        <v>207500</v>
      </c>
      <c r="H90" s="1472">
        <f>+H91+H95</f>
        <v>440000</v>
      </c>
      <c r="I90" s="1472">
        <f>+I91+I95</f>
        <v>0</v>
      </c>
      <c r="J90" s="1472">
        <f t="shared" ref="J90:K90" si="53">+J91+J95</f>
        <v>0</v>
      </c>
      <c r="K90" s="1472">
        <f t="shared" si="53"/>
        <v>0</v>
      </c>
      <c r="L90" s="1472"/>
      <c r="M90" s="1573">
        <f>+M91</f>
        <v>300000</v>
      </c>
      <c r="N90" s="3009">
        <f>+N91</f>
        <v>300000</v>
      </c>
      <c r="O90" s="4294"/>
    </row>
    <row r="91" spans="1:17" s="310" customFormat="1" ht="13.5" customHeight="1">
      <c r="A91" s="4285"/>
      <c r="B91" s="2274" t="s">
        <v>24</v>
      </c>
      <c r="C91" s="4244" t="s">
        <v>161</v>
      </c>
      <c r="D91" s="1457">
        <f>D93+D92+D94</f>
        <v>647500</v>
      </c>
      <c r="E91" s="1457">
        <f t="shared" ref="E91:L91" si="54">E93+E92+E94</f>
        <v>0</v>
      </c>
      <c r="F91" s="1457">
        <f t="shared" si="54"/>
        <v>0</v>
      </c>
      <c r="G91" s="1457">
        <f t="shared" si="54"/>
        <v>207500</v>
      </c>
      <c r="H91" s="1457">
        <f t="shared" si="54"/>
        <v>440000</v>
      </c>
      <c r="I91" s="1457">
        <f t="shared" si="54"/>
        <v>0</v>
      </c>
      <c r="J91" s="1457">
        <f t="shared" si="54"/>
        <v>0</v>
      </c>
      <c r="K91" s="1457">
        <f t="shared" si="54"/>
        <v>0</v>
      </c>
      <c r="L91" s="1457">
        <f t="shared" si="54"/>
        <v>0</v>
      </c>
      <c r="M91" s="1429">
        <f>+M93</f>
        <v>300000</v>
      </c>
      <c r="N91" s="3010">
        <f>+N93</f>
        <v>300000</v>
      </c>
      <c r="O91" s="4294"/>
    </row>
    <row r="92" spans="1:17" s="310" customFormat="1" ht="13.5" customHeight="1">
      <c r="A92" s="4285"/>
      <c r="B92" s="2275" t="s">
        <v>32</v>
      </c>
      <c r="C92" s="4237"/>
      <c r="D92" s="1406">
        <f>E92+F92+G92+H92+I92+J92+K92+L92</f>
        <v>47500</v>
      </c>
      <c r="E92" s="1440"/>
      <c r="F92" s="2276"/>
      <c r="G92" s="2276">
        <v>7500</v>
      </c>
      <c r="H92" s="2276">
        <v>40000</v>
      </c>
      <c r="I92" s="2276">
        <v>0</v>
      </c>
      <c r="J92" s="2255"/>
      <c r="K92" s="2255"/>
      <c r="L92" s="2255"/>
      <c r="M92" s="501" t="s">
        <v>61</v>
      </c>
      <c r="N92" s="2842" t="s">
        <v>61</v>
      </c>
      <c r="O92" s="4294"/>
    </row>
    <row r="93" spans="1:17" s="310" customFormat="1" ht="13.5" customHeight="1">
      <c r="A93" s="4285"/>
      <c r="B93" s="2277" t="s">
        <v>121</v>
      </c>
      <c r="C93" s="4238"/>
      <c r="D93" s="1406">
        <f>E93+F93+G93+H93+I93+J93+K93+L93</f>
        <v>300000</v>
      </c>
      <c r="E93" s="1440"/>
      <c r="F93" s="2278"/>
      <c r="G93" s="2278">
        <v>100000</v>
      </c>
      <c r="H93" s="2278">
        <v>200000</v>
      </c>
      <c r="I93" s="2278"/>
      <c r="J93" s="2278"/>
      <c r="K93" s="2278"/>
      <c r="L93" s="2278"/>
      <c r="M93" s="1574">
        <f>SUM(F93:K93)</f>
        <v>300000</v>
      </c>
      <c r="N93" s="3573">
        <f>SUM(G93:L93)</f>
        <v>300000</v>
      </c>
      <c r="O93" s="4294"/>
    </row>
    <row r="94" spans="1:17" s="310" customFormat="1" ht="13.5" customHeight="1">
      <c r="A94" s="4285"/>
      <c r="B94" s="3148" t="s">
        <v>413</v>
      </c>
      <c r="C94" s="4227" t="s">
        <v>23</v>
      </c>
      <c r="D94" s="1406">
        <f>E94+F94+G94+H94+I94+J94+K94+L94</f>
        <v>300000</v>
      </c>
      <c r="E94" s="3096"/>
      <c r="F94" s="3097"/>
      <c r="G94" s="3097">
        <v>100000</v>
      </c>
      <c r="H94" s="3097">
        <v>200000</v>
      </c>
      <c r="I94" s="3097"/>
      <c r="J94" s="3097"/>
      <c r="K94" s="3097"/>
      <c r="L94" s="3098"/>
      <c r="M94" s="3099"/>
      <c r="N94" s="491"/>
      <c r="O94" s="4294"/>
    </row>
    <row r="95" spans="1:17" s="310" customFormat="1" ht="13.5" hidden="1" customHeight="1">
      <c r="A95" s="4285"/>
      <c r="B95" s="3149" t="s">
        <v>18</v>
      </c>
      <c r="C95" s="4277"/>
      <c r="D95" s="3100">
        <f>+D96</f>
        <v>0</v>
      </c>
      <c r="E95" s="3100">
        <f t="shared" ref="E95:N95" si="55">+E96</f>
        <v>0</v>
      </c>
      <c r="F95" s="3100">
        <f t="shared" si="55"/>
        <v>0</v>
      </c>
      <c r="G95" s="3100">
        <f t="shared" si="55"/>
        <v>0</v>
      </c>
      <c r="H95" s="3100">
        <f t="shared" si="55"/>
        <v>0</v>
      </c>
      <c r="I95" s="3100">
        <f t="shared" si="55"/>
        <v>0</v>
      </c>
      <c r="J95" s="3100">
        <f t="shared" si="55"/>
        <v>0</v>
      </c>
      <c r="K95" s="3100">
        <f t="shared" si="55"/>
        <v>0</v>
      </c>
      <c r="L95" s="3100"/>
      <c r="M95" s="3101" t="str">
        <f t="shared" si="55"/>
        <v>x</v>
      </c>
      <c r="N95" s="3102" t="str">
        <f t="shared" si="55"/>
        <v>x</v>
      </c>
      <c r="O95" s="4294"/>
    </row>
    <row r="96" spans="1:17" s="310" customFormat="1" ht="13.5" hidden="1" customHeight="1">
      <c r="A96" s="4285"/>
      <c r="B96" s="2277" t="s">
        <v>35</v>
      </c>
      <c r="C96" s="4240"/>
      <c r="D96" s="1406">
        <f>E96+F96+G96+H96+I96+J96+K96+L96</f>
        <v>0</v>
      </c>
      <c r="E96" s="1440">
        <v>0</v>
      </c>
      <c r="F96" s="1575"/>
      <c r="G96" s="1575"/>
      <c r="H96" s="1575"/>
      <c r="I96" s="1575"/>
      <c r="J96" s="2263"/>
      <c r="K96" s="2263"/>
      <c r="L96" s="2263"/>
      <c r="M96" s="2264" t="s">
        <v>61</v>
      </c>
      <c r="N96" s="2843" t="s">
        <v>61</v>
      </c>
      <c r="O96" s="4294"/>
    </row>
    <row r="97" spans="1:17" s="310" customFormat="1" ht="13.5" customHeight="1" thickBot="1">
      <c r="A97" s="4285"/>
      <c r="B97" s="3127" t="s">
        <v>22</v>
      </c>
      <c r="C97" s="2720"/>
      <c r="D97" s="2721">
        <f>D101+D98</f>
        <v>300000</v>
      </c>
      <c r="E97" s="2721">
        <f t="shared" ref="E97:G97" si="56">E101+E98</f>
        <v>0</v>
      </c>
      <c r="F97" s="2721">
        <f t="shared" si="56"/>
        <v>0</v>
      </c>
      <c r="G97" s="2721">
        <f t="shared" si="56"/>
        <v>100000</v>
      </c>
      <c r="H97" s="2721">
        <f>H101+H98</f>
        <v>200000</v>
      </c>
      <c r="I97" s="2721">
        <f>I101+I98</f>
        <v>0</v>
      </c>
      <c r="J97" s="2721">
        <f t="shared" ref="J97:K97" si="57">J101+J98</f>
        <v>0</v>
      </c>
      <c r="K97" s="2721">
        <f t="shared" si="57"/>
        <v>0</v>
      </c>
      <c r="L97" s="2721"/>
      <c r="M97" s="4278" t="s">
        <v>61</v>
      </c>
      <c r="N97" s="4290" t="s">
        <v>61</v>
      </c>
      <c r="O97" s="4294"/>
    </row>
    <row r="98" spans="1:17" s="310" customFormat="1" ht="13.5" customHeight="1" thickBot="1">
      <c r="A98" s="4285"/>
      <c r="B98" s="1576" t="s">
        <v>24</v>
      </c>
      <c r="C98" s="4287" t="s">
        <v>61</v>
      </c>
      <c r="D98" s="1563">
        <f>+D99+D100</f>
        <v>300000</v>
      </c>
      <c r="E98" s="1563">
        <f t="shared" ref="E98:K98" si="58">+E99+E100</f>
        <v>0</v>
      </c>
      <c r="F98" s="1563">
        <f t="shared" si="58"/>
        <v>0</v>
      </c>
      <c r="G98" s="1563">
        <f t="shared" si="58"/>
        <v>100000</v>
      </c>
      <c r="H98" s="1563">
        <f t="shared" si="58"/>
        <v>200000</v>
      </c>
      <c r="I98" s="1563">
        <f t="shared" si="58"/>
        <v>0</v>
      </c>
      <c r="J98" s="1563">
        <f t="shared" si="58"/>
        <v>0</v>
      </c>
      <c r="K98" s="1563">
        <f t="shared" si="58"/>
        <v>0</v>
      </c>
      <c r="L98" s="1563"/>
      <c r="M98" s="4279"/>
      <c r="N98" s="4291"/>
      <c r="O98" s="4294"/>
    </row>
    <row r="99" spans="1:17" s="310" customFormat="1" ht="13.5" hidden="1" customHeight="1">
      <c r="A99" s="4285"/>
      <c r="B99" s="3095" t="s">
        <v>146</v>
      </c>
      <c r="C99" s="4288"/>
      <c r="D99" s="1453">
        <f>E99+F99+G99+H99+I99+J99+K99+L99</f>
        <v>0</v>
      </c>
      <c r="E99" s="1440">
        <v>0</v>
      </c>
      <c r="F99" s="2278"/>
      <c r="G99" s="2278"/>
      <c r="H99" s="2278"/>
      <c r="I99" s="2278"/>
      <c r="J99" s="2278"/>
      <c r="K99" s="2278"/>
      <c r="L99" s="2278"/>
      <c r="M99" s="4279"/>
      <c r="N99" s="4291"/>
      <c r="O99" s="4294"/>
    </row>
    <row r="100" spans="1:17" s="310" customFormat="1" ht="13.5" customHeight="1">
      <c r="A100" s="4285"/>
      <c r="B100" s="2277" t="s">
        <v>413</v>
      </c>
      <c r="C100" s="4288"/>
      <c r="D100" s="892">
        <f>E100+F100+G100+H100+I100+J100+K100+L100</f>
        <v>300000</v>
      </c>
      <c r="E100" s="2270"/>
      <c r="F100" s="2285"/>
      <c r="G100" s="2285">
        <v>100000</v>
      </c>
      <c r="H100" s="2285">
        <v>200000</v>
      </c>
      <c r="I100" s="2285"/>
      <c r="J100" s="2285"/>
      <c r="K100" s="2285"/>
      <c r="L100" s="2285"/>
      <c r="M100" s="4280"/>
      <c r="N100" s="4291"/>
      <c r="O100" s="4294"/>
    </row>
    <row r="101" spans="1:17" s="310" customFormat="1" ht="13.5" customHeight="1" thickBot="1">
      <c r="A101" s="4286"/>
      <c r="B101" s="2953" t="s">
        <v>18</v>
      </c>
      <c r="C101" s="4289"/>
      <c r="D101" s="2962">
        <f>+D102</f>
        <v>0</v>
      </c>
      <c r="E101" s="2962">
        <f t="shared" ref="E101:K101" si="59">+E102</f>
        <v>0</v>
      </c>
      <c r="F101" s="2962">
        <f t="shared" si="59"/>
        <v>0</v>
      </c>
      <c r="G101" s="2962">
        <f t="shared" si="59"/>
        <v>0</v>
      </c>
      <c r="H101" s="2962">
        <f t="shared" si="59"/>
        <v>0</v>
      </c>
      <c r="I101" s="2962">
        <f t="shared" si="59"/>
        <v>0</v>
      </c>
      <c r="J101" s="2962">
        <f t="shared" si="59"/>
        <v>0</v>
      </c>
      <c r="K101" s="2962">
        <f t="shared" si="59"/>
        <v>0</v>
      </c>
      <c r="L101" s="2962"/>
      <c r="M101" s="4243"/>
      <c r="N101" s="4292"/>
      <c r="O101" s="4295"/>
    </row>
    <row r="102" spans="1:17" s="310" customFormat="1" ht="13.5" hidden="1" customHeight="1" thickBot="1">
      <c r="A102" s="3581"/>
      <c r="B102" s="3582" t="s">
        <v>35</v>
      </c>
      <c r="C102" s="3583"/>
      <c r="D102" s="3574">
        <f>E102+F102+G102+H102+I102+J102+K102+L102</f>
        <v>0</v>
      </c>
      <c r="E102" s="3575">
        <v>0</v>
      </c>
      <c r="F102" s="3576">
        <v>0</v>
      </c>
      <c r="G102" s="3576"/>
      <c r="H102" s="3576"/>
      <c r="I102" s="3576"/>
      <c r="J102" s="3576"/>
      <c r="K102" s="3576"/>
      <c r="L102" s="3576"/>
      <c r="M102" s="4243"/>
      <c r="N102" s="3585"/>
      <c r="O102" s="3584"/>
    </row>
    <row r="103" spans="1:17" s="310" customFormat="1" ht="29.25" customHeight="1" thickBot="1">
      <c r="A103" s="4281" t="s">
        <v>88</v>
      </c>
      <c r="B103" s="499" t="s">
        <v>445</v>
      </c>
      <c r="C103" s="3577" t="s">
        <v>81</v>
      </c>
      <c r="D103" s="3178"/>
      <c r="E103" s="380"/>
      <c r="F103" s="380"/>
      <c r="G103" s="380"/>
      <c r="H103" s="380"/>
      <c r="I103" s="380"/>
      <c r="J103" s="380"/>
      <c r="K103" s="380"/>
      <c r="L103" s="1388"/>
      <c r="M103" s="3578"/>
      <c r="N103" s="3579"/>
      <c r="O103" s="4296" t="s">
        <v>162</v>
      </c>
    </row>
    <row r="104" spans="1:17" s="361" customFormat="1" ht="16.5" customHeight="1">
      <c r="A104" s="4282"/>
      <c r="B104" s="1304" t="s">
        <v>10</v>
      </c>
      <c r="C104" s="3134"/>
      <c r="D104" s="1303">
        <f>D105+D108</f>
        <v>24869527</v>
      </c>
      <c r="E104" s="1303">
        <f>E105+E108</f>
        <v>645627</v>
      </c>
      <c r="F104" s="1303">
        <f t="shared" ref="F104:G104" si="60">+F105+F108</f>
        <v>23900</v>
      </c>
      <c r="G104" s="1303">
        <f t="shared" si="60"/>
        <v>1315000</v>
      </c>
      <c r="H104" s="1303">
        <f>+H105+H108</f>
        <v>8165000</v>
      </c>
      <c r="I104" s="1303">
        <f>+I105+I108</f>
        <v>14720000</v>
      </c>
      <c r="J104" s="1303"/>
      <c r="K104" s="1303"/>
      <c r="L104" s="1303"/>
      <c r="M104" s="3135">
        <f>+M105</f>
        <v>9600727</v>
      </c>
      <c r="N104" s="3136">
        <f>+N105</f>
        <v>24200000</v>
      </c>
      <c r="O104" s="4297"/>
    </row>
    <row r="105" spans="1:17" s="310" customFormat="1" ht="13.5" customHeight="1">
      <c r="A105" s="4282"/>
      <c r="B105" s="3130" t="s">
        <v>24</v>
      </c>
      <c r="C105" s="3767" t="s">
        <v>163</v>
      </c>
      <c r="D105" s="1457">
        <f>D106+D107</f>
        <v>24344627</v>
      </c>
      <c r="E105" s="1457">
        <f t="shared" ref="E105:F105" si="61">E106+E107</f>
        <v>120727</v>
      </c>
      <c r="F105" s="1457">
        <f t="shared" si="61"/>
        <v>23900</v>
      </c>
      <c r="G105" s="1457">
        <f t="shared" ref="G105:I105" si="62">G107</f>
        <v>1315000</v>
      </c>
      <c r="H105" s="1457">
        <f t="shared" si="62"/>
        <v>8165000</v>
      </c>
      <c r="I105" s="1457">
        <f t="shared" si="62"/>
        <v>14720000</v>
      </c>
      <c r="J105" s="1457"/>
      <c r="K105" s="1457"/>
      <c r="L105" s="1457"/>
      <c r="M105" s="3132">
        <f>+M107</f>
        <v>9600727</v>
      </c>
      <c r="N105" s="3133">
        <f>+N107</f>
        <v>24200000</v>
      </c>
      <c r="O105" s="4297"/>
    </row>
    <row r="106" spans="1:17" s="310" customFormat="1" ht="13.5" customHeight="1" thickBot="1">
      <c r="A106" s="4283"/>
      <c r="B106" s="2269" t="s">
        <v>32</v>
      </c>
      <c r="C106" s="4301"/>
      <c r="D106" s="2263">
        <f>E106+F106+G106+H106+I106+J106+K106+L106</f>
        <v>23900</v>
      </c>
      <c r="E106" s="2270"/>
      <c r="F106" s="2270">
        <v>23900</v>
      </c>
      <c r="G106" s="497"/>
      <c r="H106" s="497"/>
      <c r="I106" s="497"/>
      <c r="J106" s="497"/>
      <c r="K106" s="497"/>
      <c r="L106" s="497"/>
      <c r="M106" s="2903">
        <v>0</v>
      </c>
      <c r="N106" s="2903">
        <v>0</v>
      </c>
      <c r="O106" s="4298"/>
    </row>
    <row r="107" spans="1:17" s="310" customFormat="1" ht="13.5" customHeight="1" thickBot="1">
      <c r="A107" s="4281"/>
      <c r="B107" s="3128" t="s">
        <v>121</v>
      </c>
      <c r="C107" s="4302"/>
      <c r="D107" s="1575">
        <f>E107+F107+G107+H107+I107+J107+K107+L107</f>
        <v>24320727</v>
      </c>
      <c r="E107" s="1440">
        <v>120727</v>
      </c>
      <c r="F107" s="1440">
        <v>0</v>
      </c>
      <c r="G107" s="1440">
        <v>1315000</v>
      </c>
      <c r="H107" s="1440">
        <v>8165000</v>
      </c>
      <c r="I107" s="1440">
        <v>14720000</v>
      </c>
      <c r="J107" s="1440"/>
      <c r="K107" s="1440"/>
      <c r="L107" s="1440"/>
      <c r="M107" s="1574">
        <f>SUM(E107:H107)</f>
        <v>9600727</v>
      </c>
      <c r="N107" s="1574">
        <f>SUM(G107:I107)</f>
        <v>24200000</v>
      </c>
      <c r="O107" s="4299"/>
    </row>
    <row r="108" spans="1:17" s="310" customFormat="1" ht="13.5" customHeight="1" thickBot="1">
      <c r="A108" s="4281"/>
      <c r="B108" s="3129" t="s">
        <v>18</v>
      </c>
      <c r="C108" s="4303" t="s">
        <v>23</v>
      </c>
      <c r="D108" s="1457">
        <f>D109</f>
        <v>524900</v>
      </c>
      <c r="E108" s="1457">
        <f>E109</f>
        <v>524900</v>
      </c>
      <c r="F108" s="1457">
        <f t="shared" ref="F108:N108" si="63">+F109</f>
        <v>0</v>
      </c>
      <c r="G108" s="1457">
        <f t="shared" si="63"/>
        <v>0</v>
      </c>
      <c r="H108" s="1457">
        <f t="shared" si="63"/>
        <v>0</v>
      </c>
      <c r="I108" s="1457">
        <f t="shared" si="63"/>
        <v>0</v>
      </c>
      <c r="J108" s="497"/>
      <c r="K108" s="497"/>
      <c r="L108" s="497"/>
      <c r="M108" s="501" t="str">
        <f t="shared" si="63"/>
        <v>x</v>
      </c>
      <c r="N108" s="501" t="str">
        <f t="shared" si="63"/>
        <v>x</v>
      </c>
      <c r="O108" s="4299"/>
    </row>
    <row r="109" spans="1:17" s="310" customFormat="1" ht="13.5" customHeight="1" thickBot="1">
      <c r="A109" s="4281"/>
      <c r="B109" s="3128" t="s">
        <v>35</v>
      </c>
      <c r="C109" s="4304"/>
      <c r="D109" s="1575">
        <f>E109+F109+G109+H109+J109+K109+L109</f>
        <v>524900</v>
      </c>
      <c r="E109" s="1440">
        <v>524900</v>
      </c>
      <c r="F109" s="1440">
        <v>0</v>
      </c>
      <c r="G109" s="1440">
        <v>0</v>
      </c>
      <c r="H109" s="1440">
        <v>0</v>
      </c>
      <c r="I109" s="1440">
        <v>0</v>
      </c>
      <c r="J109" s="2270"/>
      <c r="K109" s="2270"/>
      <c r="L109" s="2270"/>
      <c r="M109" s="501" t="s">
        <v>61</v>
      </c>
      <c r="N109" s="501" t="s">
        <v>61</v>
      </c>
      <c r="O109" s="4299"/>
    </row>
    <row r="110" spans="1:17" s="361" customFormat="1" ht="16.5" customHeight="1" thickBot="1">
      <c r="A110" s="4281"/>
      <c r="B110" s="1572" t="s">
        <v>22</v>
      </c>
      <c r="C110" s="3126"/>
      <c r="D110" s="1467">
        <f>D111+D113</f>
        <v>1002816</v>
      </c>
      <c r="E110" s="1467">
        <f>E111+E113</f>
        <v>644420</v>
      </c>
      <c r="F110" s="1467">
        <f t="shared" ref="F110:G110" si="64">F113+F111</f>
        <v>0</v>
      </c>
      <c r="G110" s="1467">
        <f t="shared" si="64"/>
        <v>19475</v>
      </c>
      <c r="H110" s="1467">
        <f>H113+H111</f>
        <v>120921</v>
      </c>
      <c r="I110" s="1467">
        <f>I113+I111</f>
        <v>218000</v>
      </c>
      <c r="J110" s="1467"/>
      <c r="K110" s="1467"/>
      <c r="L110" s="1467"/>
      <c r="M110" s="4052" t="s">
        <v>61</v>
      </c>
      <c r="N110" s="4052" t="s">
        <v>61</v>
      </c>
      <c r="O110" s="4299"/>
    </row>
    <row r="111" spans="1:17" s="310" customFormat="1" ht="13.5" customHeight="1" thickBot="1">
      <c r="A111" s="4281"/>
      <c r="B111" s="3130" t="s">
        <v>24</v>
      </c>
      <c r="C111" s="4305" t="s">
        <v>163</v>
      </c>
      <c r="D111" s="3580">
        <f>D112</f>
        <v>477916</v>
      </c>
      <c r="E111" s="3580">
        <f>E112</f>
        <v>119520</v>
      </c>
      <c r="F111" s="3580">
        <f t="shared" ref="F111:I111" si="65">+F112</f>
        <v>0</v>
      </c>
      <c r="G111" s="3580">
        <f t="shared" si="65"/>
        <v>19475</v>
      </c>
      <c r="H111" s="3580">
        <f t="shared" si="65"/>
        <v>120921</v>
      </c>
      <c r="I111" s="3580">
        <f t="shared" si="65"/>
        <v>218000</v>
      </c>
      <c r="J111" s="3580"/>
      <c r="K111" s="3580"/>
      <c r="L111" s="3580"/>
      <c r="M111" s="4042"/>
      <c r="N111" s="4042"/>
      <c r="O111" s="4299"/>
      <c r="Q111" s="175">
        <v>-4922063</v>
      </c>
    </row>
    <row r="112" spans="1:17" s="310" customFormat="1" ht="13.5" customHeight="1" thickBot="1">
      <c r="A112" s="4281"/>
      <c r="B112" s="3128" t="s">
        <v>146</v>
      </c>
      <c r="C112" s="4302"/>
      <c r="D112" s="1575">
        <f>E112+F112+G112+H112+I112+J112+K112+L112</f>
        <v>477916</v>
      </c>
      <c r="E112" s="1440">
        <v>119520</v>
      </c>
      <c r="F112" s="2276">
        <v>0</v>
      </c>
      <c r="G112" s="2276">
        <v>19475</v>
      </c>
      <c r="H112" s="2276">
        <v>120921</v>
      </c>
      <c r="I112" s="2276">
        <v>218000</v>
      </c>
      <c r="J112" s="2276"/>
      <c r="K112" s="2276"/>
      <c r="L112" s="2276"/>
      <c r="M112" s="4042"/>
      <c r="N112" s="4042"/>
      <c r="O112" s="4299"/>
    </row>
    <row r="113" spans="1:15" s="310" customFormat="1" ht="13.5" customHeight="1" thickBot="1">
      <c r="A113" s="4281"/>
      <c r="B113" s="3129" t="s">
        <v>18</v>
      </c>
      <c r="C113" s="4303" t="s">
        <v>23</v>
      </c>
      <c r="D113" s="1457">
        <f>D114</f>
        <v>524900</v>
      </c>
      <c r="E113" s="1457">
        <f>E114</f>
        <v>524900</v>
      </c>
      <c r="F113" s="1457">
        <f t="shared" ref="F113:I113" si="66">+F114</f>
        <v>0</v>
      </c>
      <c r="G113" s="1457">
        <f t="shared" si="66"/>
        <v>0</v>
      </c>
      <c r="H113" s="1457">
        <f t="shared" si="66"/>
        <v>0</v>
      </c>
      <c r="I113" s="1457">
        <f t="shared" si="66"/>
        <v>0</v>
      </c>
      <c r="J113" s="1457"/>
      <c r="K113" s="1457"/>
      <c r="L113" s="1457"/>
      <c r="M113" s="4042"/>
      <c r="N113" s="4042"/>
      <c r="O113" s="4299"/>
    </row>
    <row r="114" spans="1:15" s="310" customFormat="1" ht="13.5" customHeight="1" thickBot="1">
      <c r="A114" s="4281"/>
      <c r="B114" s="3131" t="s">
        <v>35</v>
      </c>
      <c r="C114" s="4306"/>
      <c r="D114" s="1579">
        <f>E114+F114+G114+H114+I114+J114+K114+L114</f>
        <v>524900</v>
      </c>
      <c r="E114" s="1727">
        <v>524900</v>
      </c>
      <c r="F114" s="1727">
        <v>0</v>
      </c>
      <c r="G114" s="1727">
        <v>0</v>
      </c>
      <c r="H114" s="1727">
        <v>0</v>
      </c>
      <c r="I114" s="1727">
        <v>0</v>
      </c>
      <c r="J114" s="1727"/>
      <c r="K114" s="1727"/>
      <c r="L114" s="1727"/>
      <c r="M114" s="4043"/>
      <c r="N114" s="4194"/>
      <c r="O114" s="4300"/>
    </row>
    <row r="115" spans="1:15" s="310" customFormat="1" ht="29.25" customHeight="1">
      <c r="A115" s="4229" t="s">
        <v>89</v>
      </c>
      <c r="B115" s="3370" t="s">
        <v>489</v>
      </c>
      <c r="C115" s="3175" t="s">
        <v>81</v>
      </c>
      <c r="D115" s="3176"/>
      <c r="E115" s="380"/>
      <c r="F115" s="380"/>
      <c r="G115" s="380"/>
      <c r="H115" s="380"/>
      <c r="I115" s="380"/>
      <c r="J115" s="380"/>
      <c r="K115" s="380"/>
      <c r="L115" s="1388"/>
      <c r="M115" s="508"/>
      <c r="N115" s="491"/>
      <c r="O115" s="4233" t="s">
        <v>319</v>
      </c>
    </row>
    <row r="116" spans="1:15" s="310" customFormat="1" ht="13.5" customHeight="1">
      <c r="A116" s="4230"/>
      <c r="B116" s="1572" t="s">
        <v>10</v>
      </c>
      <c r="C116" s="2273"/>
      <c r="D116" s="1472">
        <f>+D117+D120</f>
        <v>4039797</v>
      </c>
      <c r="E116" s="1472">
        <f t="shared" ref="E116" si="67">+E117+E120</f>
        <v>4560</v>
      </c>
      <c r="F116" s="1472">
        <f t="shared" ref="F116:G116" si="68">+F117+F120</f>
        <v>14370</v>
      </c>
      <c r="G116" s="1472">
        <f t="shared" si="68"/>
        <v>4020867</v>
      </c>
      <c r="H116" s="1472">
        <f>+H117+H120</f>
        <v>0</v>
      </c>
      <c r="I116" s="1472">
        <f>+I117+I120</f>
        <v>0</v>
      </c>
      <c r="J116" s="1472">
        <f t="shared" ref="J116:K116" si="69">+J117+J120</f>
        <v>0</v>
      </c>
      <c r="K116" s="1472">
        <f t="shared" si="69"/>
        <v>0</v>
      </c>
      <c r="L116" s="1472"/>
      <c r="M116" s="1573">
        <f>+M117</f>
        <v>1261265</v>
      </c>
      <c r="N116" s="1573">
        <f>+N117</f>
        <v>1261265</v>
      </c>
      <c r="O116" s="4234"/>
    </row>
    <row r="117" spans="1:15" s="310" customFormat="1" ht="12">
      <c r="A117" s="4230"/>
      <c r="B117" s="2274" t="s">
        <v>24</v>
      </c>
      <c r="C117" s="4244" t="s">
        <v>318</v>
      </c>
      <c r="D117" s="1457">
        <f>D119+D118</f>
        <v>1308937</v>
      </c>
      <c r="E117" s="1457">
        <f t="shared" ref="E117" si="70">E119+E118</f>
        <v>4560</v>
      </c>
      <c r="F117" s="1457">
        <f t="shared" ref="F117:K117" si="71">F119+F118</f>
        <v>2988</v>
      </c>
      <c r="G117" s="1457">
        <f>G119+G118</f>
        <v>1301389</v>
      </c>
      <c r="H117" s="1457">
        <f t="shared" si="71"/>
        <v>0</v>
      </c>
      <c r="I117" s="1457">
        <f t="shared" si="71"/>
        <v>0</v>
      </c>
      <c r="J117" s="1457">
        <f t="shared" si="71"/>
        <v>0</v>
      </c>
      <c r="K117" s="1457">
        <f t="shared" si="71"/>
        <v>0</v>
      </c>
      <c r="L117" s="1457"/>
      <c r="M117" s="1429">
        <f>+M119</f>
        <v>1261265</v>
      </c>
      <c r="N117" s="1429">
        <f>+N119</f>
        <v>1261265</v>
      </c>
      <c r="O117" s="4234"/>
    </row>
    <row r="118" spans="1:15" s="310" customFormat="1" ht="12">
      <c r="A118" s="4230"/>
      <c r="B118" s="2275" t="s">
        <v>32</v>
      </c>
      <c r="C118" s="4237"/>
      <c r="D118" s="1406">
        <f>E118+F118+G118+H118+I118+J118+K118+L118</f>
        <v>47672</v>
      </c>
      <c r="E118" s="1440">
        <v>4560</v>
      </c>
      <c r="F118" s="2276">
        <f>12454-9466</f>
        <v>2988</v>
      </c>
      <c r="G118" s="2276">
        <f>17251+44906-22033</f>
        <v>40124</v>
      </c>
      <c r="H118" s="2276">
        <v>0</v>
      </c>
      <c r="I118" s="2276">
        <v>0</v>
      </c>
      <c r="J118" s="2255"/>
      <c r="K118" s="2255"/>
      <c r="L118" s="2255"/>
      <c r="M118" s="501" t="s">
        <v>61</v>
      </c>
      <c r="N118" s="501" t="s">
        <v>61</v>
      </c>
      <c r="O118" s="4234"/>
    </row>
    <row r="119" spans="1:15" s="310" customFormat="1" ht="12">
      <c r="A119" s="4230"/>
      <c r="B119" s="2277" t="s">
        <v>121</v>
      </c>
      <c r="C119" s="4238"/>
      <c r="D119" s="1406">
        <f>E119+F119+G119+H119+I119+J119+K119+L119</f>
        <v>1261265</v>
      </c>
      <c r="E119" s="1440">
        <v>0</v>
      </c>
      <c r="F119" s="2278">
        <f>62454-62454</f>
        <v>0</v>
      </c>
      <c r="G119" s="2278">
        <f>1469763-267251+58753</f>
        <v>1261265</v>
      </c>
      <c r="H119" s="2278"/>
      <c r="I119" s="2278"/>
      <c r="J119" s="2278"/>
      <c r="K119" s="2278"/>
      <c r="L119" s="2278"/>
      <c r="M119" s="1574">
        <f>SUM(F119:K119)</f>
        <v>1261265</v>
      </c>
      <c r="N119" s="1574">
        <f>SUM(G119:L119)</f>
        <v>1261265</v>
      </c>
      <c r="O119" s="4234"/>
    </row>
    <row r="120" spans="1:15" s="310" customFormat="1" ht="13.5" customHeight="1">
      <c r="A120" s="4230"/>
      <c r="B120" s="2279" t="s">
        <v>18</v>
      </c>
      <c r="C120" s="4227" t="s">
        <v>23</v>
      </c>
      <c r="D120" s="1557">
        <f>+D121</f>
        <v>2730860</v>
      </c>
      <c r="E120" s="1557">
        <f t="shared" ref="E120:N120" si="72">+E121</f>
        <v>0</v>
      </c>
      <c r="F120" s="1557">
        <f t="shared" si="72"/>
        <v>11382</v>
      </c>
      <c r="G120" s="1557">
        <f t="shared" si="72"/>
        <v>2719478</v>
      </c>
      <c r="H120" s="1557">
        <f t="shared" si="72"/>
        <v>0</v>
      </c>
      <c r="I120" s="1557">
        <f t="shared" si="72"/>
        <v>0</v>
      </c>
      <c r="J120" s="1557">
        <f t="shared" si="72"/>
        <v>0</v>
      </c>
      <c r="K120" s="1557">
        <f t="shared" si="72"/>
        <v>0</v>
      </c>
      <c r="L120" s="2261"/>
      <c r="M120" s="2262" t="str">
        <f t="shared" si="72"/>
        <v>x</v>
      </c>
      <c r="N120" s="2262" t="str">
        <f t="shared" si="72"/>
        <v>x</v>
      </c>
      <c r="O120" s="4234"/>
    </row>
    <row r="121" spans="1:15" s="310" customFormat="1" ht="12">
      <c r="A121" s="4230"/>
      <c r="B121" s="2277" t="s">
        <v>35</v>
      </c>
      <c r="C121" s="4240"/>
      <c r="D121" s="1406">
        <f>E121+F121+G121+H121+I121+J121+K121+L121</f>
        <v>2730860</v>
      </c>
      <c r="E121" s="1440">
        <v>0</v>
      </c>
      <c r="F121" s="1575">
        <f>22355-10973</f>
        <v>11382</v>
      </c>
      <c r="G121" s="1575">
        <f>2718650+828</f>
        <v>2719478</v>
      </c>
      <c r="H121" s="1575"/>
      <c r="I121" s="1575"/>
      <c r="J121" s="2263"/>
      <c r="K121" s="2263"/>
      <c r="L121" s="2263"/>
      <c r="M121" s="2264" t="s">
        <v>61</v>
      </c>
      <c r="N121" s="2264" t="s">
        <v>61</v>
      </c>
      <c r="O121" s="4234"/>
    </row>
    <row r="122" spans="1:15" s="310" customFormat="1" ht="13.5" customHeight="1">
      <c r="A122" s="4230"/>
      <c r="B122" s="1572" t="s">
        <v>22</v>
      </c>
      <c r="C122" s="2280"/>
      <c r="D122" s="1467">
        <f>D125+D123</f>
        <v>2730860</v>
      </c>
      <c r="E122" s="1467">
        <f t="shared" ref="E122" si="73">E125+E123</f>
        <v>0</v>
      </c>
      <c r="F122" s="1467">
        <f t="shared" ref="F122:G122" si="74">F125+F123</f>
        <v>10200</v>
      </c>
      <c r="G122" s="1467">
        <f t="shared" si="74"/>
        <v>2720660</v>
      </c>
      <c r="H122" s="1467">
        <f>H125+H123</f>
        <v>0</v>
      </c>
      <c r="I122" s="1467">
        <f>I125+I123</f>
        <v>0</v>
      </c>
      <c r="J122" s="1467">
        <f t="shared" ref="J122:K122" si="75">J125+J123</f>
        <v>0</v>
      </c>
      <c r="K122" s="1467">
        <f t="shared" si="75"/>
        <v>0</v>
      </c>
      <c r="L122" s="1467"/>
      <c r="M122" s="4245" t="s">
        <v>61</v>
      </c>
      <c r="N122" s="4245" t="s">
        <v>61</v>
      </c>
      <c r="O122" s="4234"/>
    </row>
    <row r="123" spans="1:15" s="310" customFormat="1" ht="13.5" hidden="1" customHeight="1">
      <c r="A123" s="4230"/>
      <c r="B123" s="1576" t="s">
        <v>24</v>
      </c>
      <c r="C123" s="4244" t="s">
        <v>318</v>
      </c>
      <c r="D123" s="1563">
        <f>+D124</f>
        <v>0</v>
      </c>
      <c r="E123" s="1563">
        <f t="shared" ref="E123:K123" si="76">+E124</f>
        <v>0</v>
      </c>
      <c r="F123" s="1563">
        <f t="shared" si="76"/>
        <v>0</v>
      </c>
      <c r="G123" s="1563">
        <f t="shared" si="76"/>
        <v>0</v>
      </c>
      <c r="H123" s="1563">
        <f t="shared" si="76"/>
        <v>0</v>
      </c>
      <c r="I123" s="1563">
        <f t="shared" si="76"/>
        <v>0</v>
      </c>
      <c r="J123" s="1563">
        <f t="shared" si="76"/>
        <v>0</v>
      </c>
      <c r="K123" s="1563">
        <f t="shared" si="76"/>
        <v>0</v>
      </c>
      <c r="L123" s="1563"/>
      <c r="M123" s="4242"/>
      <c r="N123" s="4242"/>
      <c r="O123" s="4234"/>
    </row>
    <row r="124" spans="1:15" s="310" customFormat="1" ht="12" hidden="1">
      <c r="A124" s="4230"/>
      <c r="B124" s="2277" t="s">
        <v>138</v>
      </c>
      <c r="C124" s="4237"/>
      <c r="D124" s="1406">
        <f>E124+F124+G124+H124+I124+J124+K124+L124</f>
        <v>0</v>
      </c>
      <c r="E124" s="2278"/>
      <c r="F124" s="2278"/>
      <c r="G124" s="2278"/>
      <c r="H124" s="2278"/>
      <c r="I124" s="2278"/>
      <c r="J124" s="2278"/>
      <c r="K124" s="2278"/>
      <c r="L124" s="2278"/>
      <c r="M124" s="4242"/>
      <c r="N124" s="4242"/>
      <c r="O124" s="4234"/>
    </row>
    <row r="125" spans="1:15" s="310" customFormat="1" ht="13.5" customHeight="1">
      <c r="A125" s="4230"/>
      <c r="B125" s="2279" t="s">
        <v>18</v>
      </c>
      <c r="C125" s="4227" t="s">
        <v>23</v>
      </c>
      <c r="D125" s="1557">
        <f>+D126</f>
        <v>2730860</v>
      </c>
      <c r="E125" s="1557">
        <f t="shared" ref="E125:K125" si="77">+E126</f>
        <v>0</v>
      </c>
      <c r="F125" s="1557">
        <f t="shared" si="77"/>
        <v>10200</v>
      </c>
      <c r="G125" s="1557">
        <f t="shared" si="77"/>
        <v>2720660</v>
      </c>
      <c r="H125" s="1557">
        <f t="shared" si="77"/>
        <v>0</v>
      </c>
      <c r="I125" s="1557">
        <f t="shared" si="77"/>
        <v>0</v>
      </c>
      <c r="J125" s="1557">
        <f t="shared" si="77"/>
        <v>0</v>
      </c>
      <c r="K125" s="1557">
        <f t="shared" si="77"/>
        <v>0</v>
      </c>
      <c r="L125" s="1557"/>
      <c r="M125" s="4242"/>
      <c r="N125" s="4242"/>
      <c r="O125" s="4234"/>
    </row>
    <row r="126" spans="1:15" s="310" customFormat="1" ht="12.75" thickBot="1">
      <c r="A126" s="4231"/>
      <c r="B126" s="1577" t="s">
        <v>35</v>
      </c>
      <c r="C126" s="4228"/>
      <c r="D126" s="2283">
        <f>E126+F126+G126+H126+I126+J126+K126+L126</f>
        <v>2730860</v>
      </c>
      <c r="E126" s="1727">
        <v>0</v>
      </c>
      <c r="F126" s="1579">
        <f>22355-12155</f>
        <v>10200</v>
      </c>
      <c r="G126" s="1579">
        <f>2718650+2010</f>
        <v>2720660</v>
      </c>
      <c r="H126" s="1579"/>
      <c r="I126" s="1579"/>
      <c r="J126" s="1579"/>
      <c r="K126" s="1579"/>
      <c r="L126" s="1579"/>
      <c r="M126" s="4243"/>
      <c r="N126" s="4243"/>
      <c r="O126" s="4235"/>
    </row>
    <row r="127" spans="1:15" s="310" customFormat="1" ht="30" customHeight="1">
      <c r="A127" s="4229" t="s">
        <v>90</v>
      </c>
      <c r="B127" s="499" t="s">
        <v>366</v>
      </c>
      <c r="C127" s="3175" t="s">
        <v>81</v>
      </c>
      <c r="D127" s="3176"/>
      <c r="E127" s="380"/>
      <c r="F127" s="380"/>
      <c r="G127" s="380"/>
      <c r="H127" s="380"/>
      <c r="I127" s="380"/>
      <c r="J127" s="380"/>
      <c r="K127" s="380"/>
      <c r="L127" s="1388"/>
      <c r="M127" s="508"/>
      <c r="N127" s="508"/>
      <c r="O127" s="4233" t="s">
        <v>319</v>
      </c>
    </row>
    <row r="128" spans="1:15" s="310" customFormat="1" ht="12">
      <c r="A128" s="4230"/>
      <c r="B128" s="1572" t="s">
        <v>10</v>
      </c>
      <c r="C128" s="2273"/>
      <c r="D128" s="1472">
        <f>+D129+D132</f>
        <v>300000</v>
      </c>
      <c r="E128" s="1472">
        <f t="shared" ref="E128" si="78">+E129+E132</f>
        <v>0</v>
      </c>
      <c r="F128" s="1472">
        <f t="shared" ref="F128:G128" si="79">+F129+F132</f>
        <v>16000</v>
      </c>
      <c r="G128" s="1472">
        <f t="shared" si="79"/>
        <v>284000</v>
      </c>
      <c r="H128" s="1472">
        <f>+H129+H132</f>
        <v>0</v>
      </c>
      <c r="I128" s="1472">
        <f>+I129+I132</f>
        <v>0</v>
      </c>
      <c r="J128" s="1472">
        <f t="shared" ref="J128:K128" si="80">+J129+J132</f>
        <v>0</v>
      </c>
      <c r="K128" s="1472">
        <f t="shared" si="80"/>
        <v>0</v>
      </c>
      <c r="L128" s="1472"/>
      <c r="M128" s="1573">
        <f>+M129</f>
        <v>300000</v>
      </c>
      <c r="N128" s="1573">
        <f>+N129</f>
        <v>284000</v>
      </c>
      <c r="O128" s="4234"/>
    </row>
    <row r="129" spans="1:15" s="310" customFormat="1" ht="12">
      <c r="A129" s="4230"/>
      <c r="B129" s="2274" t="s">
        <v>24</v>
      </c>
      <c r="C129" s="4244" t="s">
        <v>318</v>
      </c>
      <c r="D129" s="1457">
        <f>D131+D130</f>
        <v>300000</v>
      </c>
      <c r="E129" s="1457">
        <f t="shared" ref="E129" si="81">E131+E130</f>
        <v>0</v>
      </c>
      <c r="F129" s="1457">
        <f t="shared" ref="F129:K129" si="82">F131+F130</f>
        <v>16000</v>
      </c>
      <c r="G129" s="1457">
        <f t="shared" si="82"/>
        <v>284000</v>
      </c>
      <c r="H129" s="1457">
        <f t="shared" si="82"/>
        <v>0</v>
      </c>
      <c r="I129" s="1457">
        <f t="shared" si="82"/>
        <v>0</v>
      </c>
      <c r="J129" s="1457">
        <f t="shared" si="82"/>
        <v>0</v>
      </c>
      <c r="K129" s="1457">
        <f t="shared" si="82"/>
        <v>0</v>
      </c>
      <c r="L129" s="1457"/>
      <c r="M129" s="1429">
        <f>+M131</f>
        <v>300000</v>
      </c>
      <c r="N129" s="1429">
        <f>+N131</f>
        <v>284000</v>
      </c>
      <c r="O129" s="4234"/>
    </row>
    <row r="130" spans="1:15" s="310" customFormat="1" ht="13.5" hidden="1" customHeight="1">
      <c r="A130" s="4230"/>
      <c r="B130" s="2275" t="s">
        <v>32</v>
      </c>
      <c r="C130" s="4237"/>
      <c r="D130" s="839">
        <f>E130+F130+G130+H130+I130+J130+K130+L130</f>
        <v>0</v>
      </c>
      <c r="E130" s="2159"/>
      <c r="F130" s="2276">
        <v>0</v>
      </c>
      <c r="G130" s="2276">
        <v>0</v>
      </c>
      <c r="H130" s="2276">
        <v>0</v>
      </c>
      <c r="I130" s="2276">
        <v>0</v>
      </c>
      <c r="J130" s="2255"/>
      <c r="K130" s="2255"/>
      <c r="L130" s="2255"/>
      <c r="M130" s="501" t="s">
        <v>61</v>
      </c>
      <c r="N130" s="501" t="s">
        <v>61</v>
      </c>
      <c r="O130" s="4234"/>
    </row>
    <row r="131" spans="1:15" s="310" customFormat="1" ht="13.5" customHeight="1" thickBot="1">
      <c r="A131" s="4230"/>
      <c r="B131" s="2277" t="s">
        <v>121</v>
      </c>
      <c r="C131" s="4238"/>
      <c r="D131" s="839">
        <f>E131+F131+G131+H131+I131+J131+K131+L131</f>
        <v>300000</v>
      </c>
      <c r="E131" s="1727">
        <v>0</v>
      </c>
      <c r="F131" s="2340">
        <f>50000-34000</f>
        <v>16000</v>
      </c>
      <c r="G131" s="2340">
        <f>250000+34000</f>
        <v>284000</v>
      </c>
      <c r="H131" s="2340"/>
      <c r="I131" s="2340"/>
      <c r="J131" s="2340"/>
      <c r="K131" s="2340"/>
      <c r="L131" s="2340"/>
      <c r="M131" s="2341">
        <f>SUM(F131:K131)</f>
        <v>300000</v>
      </c>
      <c r="N131" s="1574">
        <f>SUM(G131:L131)</f>
        <v>284000</v>
      </c>
      <c r="O131" s="4234"/>
    </row>
    <row r="132" spans="1:15" s="310" customFormat="1" ht="13.5" hidden="1" customHeight="1">
      <c r="A132" s="4230"/>
      <c r="B132" s="2279" t="s">
        <v>18</v>
      </c>
      <c r="C132" s="4227" t="s">
        <v>23</v>
      </c>
      <c r="D132" s="1557">
        <f>+D133</f>
        <v>0</v>
      </c>
      <c r="E132" s="2281">
        <f t="shared" ref="E132:N132" si="83">+E133</f>
        <v>0</v>
      </c>
      <c r="F132" s="2261">
        <f t="shared" si="83"/>
        <v>0</v>
      </c>
      <c r="G132" s="2261">
        <f t="shared" si="83"/>
        <v>0</v>
      </c>
      <c r="H132" s="2261">
        <f t="shared" si="83"/>
        <v>0</v>
      </c>
      <c r="I132" s="2261">
        <f t="shared" si="83"/>
        <v>0</v>
      </c>
      <c r="J132" s="2261">
        <f t="shared" si="83"/>
        <v>0</v>
      </c>
      <c r="K132" s="2261">
        <f t="shared" si="83"/>
        <v>0</v>
      </c>
      <c r="L132" s="2261"/>
      <c r="M132" s="2262" t="str">
        <f t="shared" si="83"/>
        <v>x</v>
      </c>
      <c r="N132" s="2262" t="str">
        <f t="shared" si="83"/>
        <v>x</v>
      </c>
      <c r="O132" s="4234"/>
    </row>
    <row r="133" spans="1:15" s="310" customFormat="1" ht="13.5" hidden="1" customHeight="1">
      <c r="A133" s="4230"/>
      <c r="B133" s="2277" t="s">
        <v>35</v>
      </c>
      <c r="C133" s="4240"/>
      <c r="D133" s="839">
        <f>E133+F133+G133+H133+I133+J133+K133+L133</f>
        <v>0</v>
      </c>
      <c r="E133" s="2322"/>
      <c r="F133" s="1575">
        <v>0</v>
      </c>
      <c r="G133" s="1575">
        <v>0</v>
      </c>
      <c r="H133" s="1575"/>
      <c r="I133" s="1575"/>
      <c r="J133" s="2263"/>
      <c r="K133" s="2263"/>
      <c r="L133" s="2263"/>
      <c r="M133" s="2264" t="s">
        <v>61</v>
      </c>
      <c r="N133" s="2264" t="s">
        <v>61</v>
      </c>
      <c r="O133" s="4234"/>
    </row>
    <row r="134" spans="1:15" s="310" customFormat="1" ht="13.5" hidden="1" customHeight="1">
      <c r="A134" s="4230"/>
      <c r="B134" s="1572" t="s">
        <v>22</v>
      </c>
      <c r="C134" s="2280"/>
      <c r="D134" s="1467">
        <f>D137+D135</f>
        <v>0</v>
      </c>
      <c r="E134" s="2282">
        <f>E137+E135</f>
        <v>0</v>
      </c>
      <c r="F134" s="1467">
        <f t="shared" ref="F134:G134" si="84">F137+F135</f>
        <v>0</v>
      </c>
      <c r="G134" s="1467">
        <f t="shared" si="84"/>
        <v>0</v>
      </c>
      <c r="H134" s="1467">
        <f>H137+H135</f>
        <v>0</v>
      </c>
      <c r="I134" s="1467">
        <f>I137+I135</f>
        <v>0</v>
      </c>
      <c r="J134" s="1467">
        <f t="shared" ref="J134:K134" si="85">J137+J135</f>
        <v>0</v>
      </c>
      <c r="K134" s="1467">
        <f t="shared" si="85"/>
        <v>0</v>
      </c>
      <c r="L134" s="1467"/>
      <c r="M134" s="4245" t="s">
        <v>61</v>
      </c>
      <c r="N134" s="4245" t="s">
        <v>61</v>
      </c>
      <c r="O134" s="4234"/>
    </row>
    <row r="135" spans="1:15" s="310" customFormat="1" ht="13.5" hidden="1" customHeight="1">
      <c r="A135" s="4230"/>
      <c r="B135" s="1576" t="s">
        <v>24</v>
      </c>
      <c r="C135" s="4244" t="s">
        <v>318</v>
      </c>
      <c r="D135" s="1563">
        <f>+D136</f>
        <v>0</v>
      </c>
      <c r="E135" s="2342">
        <f t="shared" ref="E135:K135" si="86">+E136</f>
        <v>0</v>
      </c>
      <c r="F135" s="1563">
        <f t="shared" si="86"/>
        <v>0</v>
      </c>
      <c r="G135" s="1563">
        <f t="shared" si="86"/>
        <v>0</v>
      </c>
      <c r="H135" s="1563">
        <f t="shared" si="86"/>
        <v>0</v>
      </c>
      <c r="I135" s="1563">
        <f t="shared" si="86"/>
        <v>0</v>
      </c>
      <c r="J135" s="1563">
        <f t="shared" si="86"/>
        <v>0</v>
      </c>
      <c r="K135" s="1563">
        <f t="shared" si="86"/>
        <v>0</v>
      </c>
      <c r="L135" s="1563"/>
      <c r="M135" s="4242"/>
      <c r="N135" s="4242"/>
      <c r="O135" s="4234"/>
    </row>
    <row r="136" spans="1:15" s="310" customFormat="1" ht="13.5" hidden="1" customHeight="1">
      <c r="A136" s="4230"/>
      <c r="B136" s="2277" t="s">
        <v>138</v>
      </c>
      <c r="C136" s="4237"/>
      <c r="D136" s="839">
        <f>E136+F136+G136+H136+I136+J136+K136+L136</f>
        <v>0</v>
      </c>
      <c r="E136" s="2322"/>
      <c r="F136" s="2278"/>
      <c r="G136" s="2278"/>
      <c r="H136" s="2278"/>
      <c r="I136" s="2278"/>
      <c r="J136" s="2278"/>
      <c r="K136" s="2278"/>
      <c r="L136" s="2278"/>
      <c r="M136" s="4242"/>
      <c r="N136" s="4242"/>
      <c r="O136" s="4234"/>
    </row>
    <row r="137" spans="1:15" s="310" customFormat="1" ht="13.5" hidden="1" customHeight="1">
      <c r="A137" s="4230"/>
      <c r="B137" s="2279" t="s">
        <v>18</v>
      </c>
      <c r="C137" s="4227" t="s">
        <v>23</v>
      </c>
      <c r="D137" s="1557">
        <f>+D138</f>
        <v>0</v>
      </c>
      <c r="E137" s="2281">
        <f t="shared" ref="E137:K137" si="87">+E138</f>
        <v>0</v>
      </c>
      <c r="F137" s="1557">
        <f t="shared" si="87"/>
        <v>0</v>
      </c>
      <c r="G137" s="1557">
        <f t="shared" si="87"/>
        <v>0</v>
      </c>
      <c r="H137" s="1557">
        <f t="shared" si="87"/>
        <v>0</v>
      </c>
      <c r="I137" s="1557">
        <f t="shared" si="87"/>
        <v>0</v>
      </c>
      <c r="J137" s="1557">
        <f t="shared" si="87"/>
        <v>0</v>
      </c>
      <c r="K137" s="1557">
        <f t="shared" si="87"/>
        <v>0</v>
      </c>
      <c r="L137" s="1557"/>
      <c r="M137" s="4242"/>
      <c r="N137" s="4242"/>
      <c r="O137" s="4234"/>
    </row>
    <row r="138" spans="1:15" s="310" customFormat="1" ht="13.5" hidden="1" customHeight="1" thickBot="1">
      <c r="A138" s="4231"/>
      <c r="B138" s="1577" t="s">
        <v>35</v>
      </c>
      <c r="C138" s="4228"/>
      <c r="D138" s="2283">
        <f>E138+F138+G138+H138+I138+J138+K138+L138</f>
        <v>0</v>
      </c>
      <c r="E138" s="2284"/>
      <c r="F138" s="1579">
        <v>0</v>
      </c>
      <c r="G138" s="1579">
        <v>0</v>
      </c>
      <c r="H138" s="1579"/>
      <c r="I138" s="1579"/>
      <c r="J138" s="1579"/>
      <c r="K138" s="1579"/>
      <c r="L138" s="1579"/>
      <c r="M138" s="4243"/>
      <c r="N138" s="4243"/>
      <c r="O138" s="4235"/>
    </row>
    <row r="139" spans="1:15" s="310" customFormat="1" ht="39.75" customHeight="1">
      <c r="A139" s="4229" t="s">
        <v>91</v>
      </c>
      <c r="B139" s="499" t="s">
        <v>459</v>
      </c>
      <c r="C139" s="3175" t="s">
        <v>81</v>
      </c>
      <c r="D139" s="3176"/>
      <c r="E139" s="380"/>
      <c r="F139" s="380"/>
      <c r="G139" s="380"/>
      <c r="H139" s="380"/>
      <c r="I139" s="380"/>
      <c r="J139" s="380"/>
      <c r="K139" s="380"/>
      <c r="L139" s="1388"/>
      <c r="M139" s="508"/>
      <c r="N139" s="508"/>
      <c r="O139" s="4233" t="s">
        <v>416</v>
      </c>
    </row>
    <row r="140" spans="1:15" s="310" customFormat="1" ht="13.5" customHeight="1">
      <c r="A140" s="4230"/>
      <c r="B140" s="1572" t="s">
        <v>10</v>
      </c>
      <c r="C140" s="2273"/>
      <c r="D140" s="1472">
        <f>+D141+D145</f>
        <v>3503619</v>
      </c>
      <c r="E140" s="1472">
        <f t="shared" ref="E140:G140" si="88">+E141+E145</f>
        <v>0</v>
      </c>
      <c r="F140" s="1472">
        <f t="shared" si="88"/>
        <v>41820</v>
      </c>
      <c r="G140" s="1472">
        <f t="shared" si="88"/>
        <v>1268301</v>
      </c>
      <c r="H140" s="1472">
        <f>+H141+H145</f>
        <v>2193498</v>
      </c>
      <c r="I140" s="1472">
        <f>+I141+I145</f>
        <v>0</v>
      </c>
      <c r="J140" s="1472">
        <f t="shared" ref="J140:K140" si="89">+J141+J145</f>
        <v>0</v>
      </c>
      <c r="K140" s="1472">
        <f t="shared" si="89"/>
        <v>0</v>
      </c>
      <c r="L140" s="1472"/>
      <c r="M140" s="1573">
        <f>+M141</f>
        <v>606910</v>
      </c>
      <c r="N140" s="1573">
        <f>+N141</f>
        <v>606910</v>
      </c>
      <c r="O140" s="4234"/>
    </row>
    <row r="141" spans="1:15" s="310" customFormat="1" ht="13.5" customHeight="1">
      <c r="A141" s="4230"/>
      <c r="B141" s="2274" t="s">
        <v>24</v>
      </c>
      <c r="C141" s="4244" t="s">
        <v>159</v>
      </c>
      <c r="D141" s="1457">
        <f>D143+D142+D144</f>
        <v>1052313</v>
      </c>
      <c r="E141" s="1457">
        <f t="shared" ref="E141:L141" si="90">E143+E142+E144</f>
        <v>0</v>
      </c>
      <c r="F141" s="1457">
        <f t="shared" si="90"/>
        <v>17170</v>
      </c>
      <c r="G141" s="1457">
        <f t="shared" si="90"/>
        <v>374349</v>
      </c>
      <c r="H141" s="1457">
        <f t="shared" si="90"/>
        <v>660794</v>
      </c>
      <c r="I141" s="1457">
        <f t="shared" si="90"/>
        <v>0</v>
      </c>
      <c r="J141" s="1457">
        <f t="shared" si="90"/>
        <v>0</v>
      </c>
      <c r="K141" s="1457">
        <f t="shared" si="90"/>
        <v>0</v>
      </c>
      <c r="L141" s="1457">
        <f t="shared" si="90"/>
        <v>0</v>
      </c>
      <c r="M141" s="1429">
        <f>+M143</f>
        <v>606910</v>
      </c>
      <c r="N141" s="1429">
        <f>+N143</f>
        <v>606910</v>
      </c>
      <c r="O141" s="4234"/>
    </row>
    <row r="142" spans="1:15" s="310" customFormat="1" ht="12">
      <c r="A142" s="4230"/>
      <c r="B142" s="2275" t="s">
        <v>32</v>
      </c>
      <c r="C142" s="4237"/>
      <c r="D142" s="1406">
        <f>E142+F142+G142+H142+I142+J142+K142+L142</f>
        <v>12820</v>
      </c>
      <c r="E142" s="1440"/>
      <c r="F142" s="2276">
        <v>12820</v>
      </c>
      <c r="G142" s="2276">
        <v>0</v>
      </c>
      <c r="H142" s="2276">
        <v>0</v>
      </c>
      <c r="I142" s="2276">
        <v>0</v>
      </c>
      <c r="J142" s="2255"/>
      <c r="K142" s="2255"/>
      <c r="L142" s="2255"/>
      <c r="M142" s="501" t="s">
        <v>61</v>
      </c>
      <c r="N142" s="501" t="s">
        <v>61</v>
      </c>
      <c r="O142" s="4234"/>
    </row>
    <row r="143" spans="1:15" s="310" customFormat="1" ht="12">
      <c r="A143" s="4230"/>
      <c r="B143" s="2277" t="s">
        <v>121</v>
      </c>
      <c r="C143" s="4238"/>
      <c r="D143" s="1406">
        <f>E143+F143+G143+H143+I143+J143+K143+L143</f>
        <v>606910</v>
      </c>
      <c r="E143" s="1440"/>
      <c r="F143" s="2278">
        <v>0</v>
      </c>
      <c r="G143" s="2278">
        <f>308599-92006</f>
        <v>216593</v>
      </c>
      <c r="H143" s="2278">
        <f>298311+92006</f>
        <v>390317</v>
      </c>
      <c r="I143" s="2278"/>
      <c r="J143" s="2278"/>
      <c r="K143" s="2278"/>
      <c r="L143" s="2278"/>
      <c r="M143" s="1574">
        <f>SUM(F143:K143)</f>
        <v>606910</v>
      </c>
      <c r="N143" s="1574">
        <f>SUM(G143:L143)</f>
        <v>606910</v>
      </c>
      <c r="O143" s="4234"/>
    </row>
    <row r="144" spans="1:15" s="310" customFormat="1" ht="12.75" customHeight="1">
      <c r="A144" s="4230"/>
      <c r="B144" s="2277" t="s">
        <v>413</v>
      </c>
      <c r="C144" s="4227" t="s">
        <v>23</v>
      </c>
      <c r="D144" s="1406">
        <f>E144+F144+G144+H144+I144+J144+K144+L144</f>
        <v>432583</v>
      </c>
      <c r="E144" s="1440"/>
      <c r="F144" s="2278">
        <v>4350</v>
      </c>
      <c r="G144" s="2278">
        <f>222704-64948</f>
        <v>157756</v>
      </c>
      <c r="H144" s="2278">
        <f>205529+64948</f>
        <v>270477</v>
      </c>
      <c r="I144" s="2278"/>
      <c r="J144" s="2278"/>
      <c r="K144" s="2278"/>
      <c r="L144" s="2285"/>
      <c r="M144" s="2286"/>
      <c r="N144" s="2286"/>
      <c r="O144" s="4234"/>
    </row>
    <row r="145" spans="1:76" s="310" customFormat="1" ht="13.5" customHeight="1">
      <c r="A145" s="4230"/>
      <c r="B145" s="2279" t="s">
        <v>18</v>
      </c>
      <c r="C145" s="4249"/>
      <c r="D145" s="1557">
        <f>+D146</f>
        <v>2451306</v>
      </c>
      <c r="E145" s="1557">
        <f t="shared" ref="E145:N145" si="91">+E146</f>
        <v>0</v>
      </c>
      <c r="F145" s="1557">
        <f t="shared" si="91"/>
        <v>24650</v>
      </c>
      <c r="G145" s="1557">
        <f t="shared" si="91"/>
        <v>893952</v>
      </c>
      <c r="H145" s="1557">
        <f t="shared" si="91"/>
        <v>1532704</v>
      </c>
      <c r="I145" s="1557">
        <f t="shared" si="91"/>
        <v>0</v>
      </c>
      <c r="J145" s="1557">
        <f t="shared" si="91"/>
        <v>0</v>
      </c>
      <c r="K145" s="1557">
        <f t="shared" si="91"/>
        <v>0</v>
      </c>
      <c r="L145" s="2261"/>
      <c r="M145" s="2262" t="str">
        <f t="shared" si="91"/>
        <v>x</v>
      </c>
      <c r="N145" s="2262" t="str">
        <f t="shared" si="91"/>
        <v>x</v>
      </c>
      <c r="O145" s="4234"/>
    </row>
    <row r="146" spans="1:76" s="310" customFormat="1" ht="13.5" customHeight="1">
      <c r="A146" s="4230"/>
      <c r="B146" s="2277" t="s">
        <v>35</v>
      </c>
      <c r="C146" s="4240"/>
      <c r="D146" s="1406">
        <f>E146+F146+G146+H146+I146+J146+K146+L146</f>
        <v>2451306</v>
      </c>
      <c r="E146" s="1440">
        <v>0</v>
      </c>
      <c r="F146" s="1575">
        <v>24650</v>
      </c>
      <c r="G146" s="1575">
        <f>1261991-368039</f>
        <v>893952</v>
      </c>
      <c r="H146" s="1575">
        <f>1164665+368039</f>
        <v>1532704</v>
      </c>
      <c r="I146" s="1575"/>
      <c r="J146" s="2263"/>
      <c r="K146" s="2263"/>
      <c r="L146" s="2263"/>
      <c r="M146" s="2264" t="s">
        <v>61</v>
      </c>
      <c r="N146" s="2264" t="s">
        <v>61</v>
      </c>
      <c r="O146" s="4234"/>
    </row>
    <row r="147" spans="1:76" s="310" customFormat="1" ht="13.5" customHeight="1">
      <c r="A147" s="4230"/>
      <c r="B147" s="1572" t="s">
        <v>22</v>
      </c>
      <c r="C147" s="2280"/>
      <c r="D147" s="1467">
        <f>D151+D148</f>
        <v>3490799</v>
      </c>
      <c r="E147" s="1467">
        <f t="shared" ref="E147:G147" si="92">E151+E148</f>
        <v>0</v>
      </c>
      <c r="F147" s="1467">
        <f t="shared" si="92"/>
        <v>0</v>
      </c>
      <c r="G147" s="1467">
        <f t="shared" si="92"/>
        <v>1180538</v>
      </c>
      <c r="H147" s="1467">
        <f>H151+H148</f>
        <v>2310261</v>
      </c>
      <c r="I147" s="1467">
        <f>I151+I148</f>
        <v>0</v>
      </c>
      <c r="J147" s="1467">
        <f t="shared" ref="J147:K147" si="93">J151+J148</f>
        <v>0</v>
      </c>
      <c r="K147" s="1467">
        <f t="shared" si="93"/>
        <v>0</v>
      </c>
      <c r="L147" s="1467"/>
      <c r="M147" s="4245" t="s">
        <v>61</v>
      </c>
      <c r="N147" s="4245" t="s">
        <v>61</v>
      </c>
      <c r="O147" s="4234"/>
    </row>
    <row r="148" spans="1:76" s="310" customFormat="1" ht="13.5" customHeight="1">
      <c r="A148" s="4230"/>
      <c r="B148" s="1576" t="s">
        <v>24</v>
      </c>
      <c r="C148" s="4244" t="s">
        <v>159</v>
      </c>
      <c r="D148" s="1563">
        <f>+D149+D150</f>
        <v>1039493</v>
      </c>
      <c r="E148" s="1563">
        <f t="shared" ref="E148:K148" si="94">+E149+E150</f>
        <v>0</v>
      </c>
      <c r="F148" s="1563">
        <f t="shared" si="94"/>
        <v>0</v>
      </c>
      <c r="G148" s="1563">
        <f t="shared" si="94"/>
        <v>292287</v>
      </c>
      <c r="H148" s="1563">
        <f t="shared" si="94"/>
        <v>747206</v>
      </c>
      <c r="I148" s="1563">
        <f t="shared" si="94"/>
        <v>0</v>
      </c>
      <c r="J148" s="1563">
        <f t="shared" si="94"/>
        <v>0</v>
      </c>
      <c r="K148" s="1563">
        <f t="shared" si="94"/>
        <v>0</v>
      </c>
      <c r="L148" s="1563"/>
      <c r="M148" s="4242"/>
      <c r="N148" s="4242"/>
      <c r="O148" s="4234"/>
    </row>
    <row r="149" spans="1:76" s="310" customFormat="1" ht="12">
      <c r="A149" s="4230"/>
      <c r="B149" s="2277" t="s">
        <v>146</v>
      </c>
      <c r="C149" s="4237"/>
      <c r="D149" s="1406">
        <f>E149+F149+G149+H149+I149+J149+K149+L149</f>
        <v>606910</v>
      </c>
      <c r="E149" s="1440">
        <v>0</v>
      </c>
      <c r="F149" s="2278"/>
      <c r="G149" s="2278">
        <f>308599-173062</f>
        <v>135537</v>
      </c>
      <c r="H149" s="2278">
        <f>298311+173062</f>
        <v>471373</v>
      </c>
      <c r="I149" s="2278"/>
      <c r="J149" s="2278"/>
      <c r="K149" s="2278"/>
      <c r="L149" s="2278"/>
      <c r="M149" s="4242"/>
      <c r="N149" s="4242"/>
      <c r="O149" s="4234"/>
    </row>
    <row r="150" spans="1:76" s="310" customFormat="1" ht="12">
      <c r="A150" s="4230"/>
      <c r="B150" s="2277" t="s">
        <v>413</v>
      </c>
      <c r="C150" s="3088"/>
      <c r="D150" s="1406">
        <f>E150+F150+G150+H150+I150+J150+K150+L150</f>
        <v>432583</v>
      </c>
      <c r="E150" s="1440"/>
      <c r="F150" s="2278"/>
      <c r="G150" s="2278">
        <f>227054-70304</f>
        <v>156750</v>
      </c>
      <c r="H150" s="2278">
        <f>205529+70304</f>
        <v>275833</v>
      </c>
      <c r="I150" s="2278"/>
      <c r="J150" s="2278"/>
      <c r="K150" s="2278"/>
      <c r="L150" s="2278"/>
      <c r="M150" s="4242"/>
      <c r="N150" s="4242"/>
      <c r="O150" s="4234"/>
    </row>
    <row r="151" spans="1:76" ht="14.25" customHeight="1">
      <c r="A151" s="4230"/>
      <c r="B151" s="2279" t="s">
        <v>18</v>
      </c>
      <c r="C151" s="4227" t="s">
        <v>23</v>
      </c>
      <c r="D151" s="1557">
        <f>+D152</f>
        <v>2451306</v>
      </c>
      <c r="E151" s="1557">
        <f t="shared" ref="E151:K151" si="95">+E152</f>
        <v>0</v>
      </c>
      <c r="F151" s="1557">
        <f t="shared" si="95"/>
        <v>0</v>
      </c>
      <c r="G151" s="1557">
        <f t="shared" si="95"/>
        <v>888251</v>
      </c>
      <c r="H151" s="1557">
        <f t="shared" si="95"/>
        <v>1563055</v>
      </c>
      <c r="I151" s="1557">
        <f t="shared" si="95"/>
        <v>0</v>
      </c>
      <c r="J151" s="1557">
        <f t="shared" si="95"/>
        <v>0</v>
      </c>
      <c r="K151" s="1557">
        <f t="shared" si="95"/>
        <v>0</v>
      </c>
      <c r="L151" s="1557"/>
      <c r="M151" s="4242"/>
      <c r="N151" s="4242"/>
      <c r="O151" s="4234"/>
      <c r="P151" s="310"/>
      <c r="Q151" s="310"/>
      <c r="R151" s="310"/>
      <c r="S151" s="310"/>
      <c r="T151" s="310"/>
      <c r="U151" s="310"/>
      <c r="V151" s="310"/>
      <c r="W151" s="310"/>
      <c r="X151" s="310"/>
      <c r="Y151" s="310"/>
      <c r="Z151" s="310"/>
      <c r="AA151" s="310"/>
      <c r="AB151" s="310"/>
      <c r="AC151" s="310"/>
      <c r="AD151" s="310"/>
      <c r="AE151" s="310"/>
      <c r="AF151" s="310"/>
      <c r="AG151" s="310"/>
      <c r="AH151" s="310"/>
      <c r="AI151" s="310"/>
      <c r="AJ151" s="310"/>
      <c r="AK151" s="310"/>
      <c r="AL151" s="310"/>
      <c r="AM151" s="310"/>
      <c r="AN151" s="310"/>
      <c r="AO151" s="310"/>
      <c r="AP151" s="310"/>
      <c r="AQ151" s="310"/>
      <c r="AR151" s="310"/>
      <c r="AS151" s="310"/>
      <c r="AT151" s="310"/>
      <c r="AU151" s="310"/>
      <c r="AV151" s="310"/>
      <c r="AW151" s="310"/>
      <c r="AX151" s="310"/>
      <c r="AY151" s="310"/>
      <c r="AZ151" s="310"/>
      <c r="BA151" s="310"/>
      <c r="BB151" s="310"/>
      <c r="BC151" s="310"/>
      <c r="BD151" s="310"/>
      <c r="BE151" s="310"/>
      <c r="BF151" s="310"/>
      <c r="BG151" s="310"/>
      <c r="BH151" s="310"/>
      <c r="BI151" s="310"/>
      <c r="BJ151" s="310"/>
      <c r="BK151" s="310"/>
      <c r="BL151" s="310"/>
      <c r="BM151" s="310"/>
      <c r="BN151" s="310"/>
      <c r="BO151" s="310"/>
      <c r="BP151" s="310"/>
      <c r="BQ151" s="310"/>
      <c r="BR151" s="310"/>
      <c r="BS151" s="310"/>
      <c r="BT151" s="310"/>
      <c r="BU151" s="310"/>
      <c r="BV151" s="310"/>
      <c r="BW151" s="310"/>
      <c r="BX151" s="310"/>
    </row>
    <row r="152" spans="1:76" ht="12.75" thickBot="1">
      <c r="A152" s="4231"/>
      <c r="B152" s="1577" t="s">
        <v>35</v>
      </c>
      <c r="C152" s="4228"/>
      <c r="D152" s="1766">
        <f>E152+F152+G152+H152+I152+J152+K152+L152</f>
        <v>2451306</v>
      </c>
      <c r="E152" s="1727">
        <v>0</v>
      </c>
      <c r="F152" s="1579">
        <v>0</v>
      </c>
      <c r="G152" s="1579">
        <f>1286641-398390</f>
        <v>888251</v>
      </c>
      <c r="H152" s="1579">
        <f>1164665+398390</f>
        <v>1563055</v>
      </c>
      <c r="I152" s="1579"/>
      <c r="J152" s="1579"/>
      <c r="K152" s="1579"/>
      <c r="L152" s="1579"/>
      <c r="M152" s="4243"/>
      <c r="N152" s="4243"/>
      <c r="O152" s="4235"/>
    </row>
    <row r="153" spans="1:76" ht="28.5" customHeight="1">
      <c r="A153" s="4229" t="s">
        <v>92</v>
      </c>
      <c r="B153" s="499" t="s">
        <v>516</v>
      </c>
      <c r="C153" s="3175" t="s">
        <v>109</v>
      </c>
      <c r="D153" s="3176"/>
      <c r="E153" s="380"/>
      <c r="F153" s="380"/>
      <c r="G153" s="380"/>
      <c r="H153" s="380"/>
      <c r="I153" s="380"/>
      <c r="J153" s="380"/>
      <c r="K153" s="380"/>
      <c r="L153" s="1388"/>
      <c r="M153" s="491"/>
      <c r="N153" s="491"/>
      <c r="O153" s="4233" t="s">
        <v>158</v>
      </c>
    </row>
    <row r="154" spans="1:76" ht="14.25" customHeight="1">
      <c r="A154" s="4230"/>
      <c r="B154" s="1572" t="s">
        <v>10</v>
      </c>
      <c r="C154" s="2273"/>
      <c r="D154" s="1472">
        <f>+D155+D158</f>
        <v>5273902</v>
      </c>
      <c r="E154" s="1472">
        <f t="shared" ref="E154:G154" si="96">+E155+E158</f>
        <v>6055</v>
      </c>
      <c r="F154" s="1472">
        <f t="shared" si="96"/>
        <v>1200</v>
      </c>
      <c r="G154" s="1472">
        <f t="shared" si="96"/>
        <v>1388715</v>
      </c>
      <c r="H154" s="1472">
        <f>+H155+H158</f>
        <v>2671444</v>
      </c>
      <c r="I154" s="1472">
        <f>+I155+I158</f>
        <v>1206488</v>
      </c>
      <c r="J154" s="1472">
        <f t="shared" ref="J154:K154" si="97">+J155+J158</f>
        <v>0</v>
      </c>
      <c r="K154" s="1472">
        <f t="shared" si="97"/>
        <v>0</v>
      </c>
      <c r="L154" s="1472"/>
      <c r="M154" s="1573">
        <f>+M155</f>
        <v>1473150</v>
      </c>
      <c r="N154" s="1573">
        <f>+N155</f>
        <v>1473150</v>
      </c>
      <c r="O154" s="4234"/>
    </row>
    <row r="155" spans="1:76" ht="12">
      <c r="A155" s="4230"/>
      <c r="B155" s="2274" t="s">
        <v>24</v>
      </c>
      <c r="C155" s="4244" t="s">
        <v>159</v>
      </c>
      <c r="D155" s="1457">
        <f>D157+D156</f>
        <v>1480405</v>
      </c>
      <c r="E155" s="1457">
        <f t="shared" ref="E155:K155" si="98">E157+E156</f>
        <v>6055</v>
      </c>
      <c r="F155" s="1457">
        <f t="shared" si="98"/>
        <v>1200</v>
      </c>
      <c r="G155" s="1457">
        <f t="shared" si="98"/>
        <v>370622</v>
      </c>
      <c r="H155" s="1457">
        <f t="shared" si="98"/>
        <v>778267</v>
      </c>
      <c r="I155" s="1457">
        <f t="shared" si="98"/>
        <v>324261</v>
      </c>
      <c r="J155" s="1457">
        <f t="shared" si="98"/>
        <v>0</v>
      </c>
      <c r="K155" s="1457">
        <f t="shared" si="98"/>
        <v>0</v>
      </c>
      <c r="L155" s="1457"/>
      <c r="M155" s="1429">
        <f>+M157</f>
        <v>1473150</v>
      </c>
      <c r="N155" s="1429">
        <f>+N157</f>
        <v>1473150</v>
      </c>
      <c r="O155" s="4234"/>
    </row>
    <row r="156" spans="1:76" ht="12">
      <c r="A156" s="4230"/>
      <c r="B156" s="2275" t="s">
        <v>32</v>
      </c>
      <c r="C156" s="4237"/>
      <c r="D156" s="1406">
        <f>E156+F156+G156+H156+I156+J156+K156+L156</f>
        <v>7255</v>
      </c>
      <c r="E156" s="1440">
        <f>2279+3776</f>
        <v>6055</v>
      </c>
      <c r="F156" s="2276">
        <v>1200</v>
      </c>
      <c r="G156" s="2276">
        <v>0</v>
      </c>
      <c r="H156" s="2276">
        <v>0</v>
      </c>
      <c r="I156" s="2276">
        <v>0</v>
      </c>
      <c r="J156" s="2255"/>
      <c r="K156" s="2255"/>
      <c r="L156" s="2255"/>
      <c r="M156" s="501" t="s">
        <v>61</v>
      </c>
      <c r="N156" s="501" t="s">
        <v>61</v>
      </c>
      <c r="O156" s="4234"/>
    </row>
    <row r="157" spans="1:76" ht="12">
      <c r="A157" s="4230"/>
      <c r="B157" s="2277" t="s">
        <v>121</v>
      </c>
      <c r="C157" s="4238"/>
      <c r="D157" s="1406">
        <f>E157+F157+G157+H157+I157+J157+K157+L157</f>
        <v>1473150</v>
      </c>
      <c r="E157" s="1440"/>
      <c r="F157" s="2278">
        <v>0</v>
      </c>
      <c r="G157" s="2278">
        <f>453927-83305</f>
        <v>370622</v>
      </c>
      <c r="H157" s="2278">
        <f>614097+164170</f>
        <v>778267</v>
      </c>
      <c r="I157" s="2278">
        <f>278912+45349</f>
        <v>324261</v>
      </c>
      <c r="J157" s="2278"/>
      <c r="K157" s="2278"/>
      <c r="L157" s="2278"/>
      <c r="M157" s="1574">
        <f>SUM(F157:K157)</f>
        <v>1473150</v>
      </c>
      <c r="N157" s="1574">
        <f>SUM(G157:L157)</f>
        <v>1473150</v>
      </c>
      <c r="O157" s="4234"/>
    </row>
    <row r="158" spans="1:76" ht="12">
      <c r="A158" s="4230"/>
      <c r="B158" s="2279" t="s">
        <v>18</v>
      </c>
      <c r="C158" s="4227" t="s">
        <v>23</v>
      </c>
      <c r="D158" s="1557">
        <f>+D159</f>
        <v>3793497</v>
      </c>
      <c r="E158" s="1557">
        <f t="shared" ref="E158:N158" si="99">+E159</f>
        <v>0</v>
      </c>
      <c r="F158" s="1557">
        <f t="shared" si="99"/>
        <v>0</v>
      </c>
      <c r="G158" s="1557">
        <f t="shared" si="99"/>
        <v>1018093</v>
      </c>
      <c r="H158" s="1557">
        <f t="shared" si="99"/>
        <v>1893177</v>
      </c>
      <c r="I158" s="1557">
        <f t="shared" si="99"/>
        <v>882227</v>
      </c>
      <c r="J158" s="1557">
        <f t="shared" si="99"/>
        <v>0</v>
      </c>
      <c r="K158" s="1557">
        <f t="shared" si="99"/>
        <v>0</v>
      </c>
      <c r="L158" s="2261"/>
      <c r="M158" s="2262" t="str">
        <f t="shared" si="99"/>
        <v>x</v>
      </c>
      <c r="N158" s="2262" t="str">
        <f t="shared" si="99"/>
        <v>x</v>
      </c>
      <c r="O158" s="4234"/>
    </row>
    <row r="159" spans="1:76" ht="12">
      <c r="A159" s="4230"/>
      <c r="B159" s="2277" t="s">
        <v>35</v>
      </c>
      <c r="C159" s="4240"/>
      <c r="D159" s="1406">
        <f>E159+F159+G159+H159+I159+J159+K159+L159</f>
        <v>3793497</v>
      </c>
      <c r="E159" s="1440">
        <v>0</v>
      </c>
      <c r="F159" s="1575">
        <v>0</v>
      </c>
      <c r="G159" s="1575">
        <f>1197070-178977</f>
        <v>1018093</v>
      </c>
      <c r="H159" s="1575">
        <f>1496559+396618</f>
        <v>1893177</v>
      </c>
      <c r="I159" s="1575">
        <f>729656+152571</f>
        <v>882227</v>
      </c>
      <c r="J159" s="2263"/>
      <c r="K159" s="2263"/>
      <c r="L159" s="2263"/>
      <c r="M159" s="2264" t="s">
        <v>61</v>
      </c>
      <c r="N159" s="2264" t="s">
        <v>61</v>
      </c>
      <c r="O159" s="4234"/>
    </row>
    <row r="160" spans="1:76" ht="13.5" customHeight="1">
      <c r="A160" s="4230"/>
      <c r="B160" s="1572" t="s">
        <v>22</v>
      </c>
      <c r="C160" s="2280"/>
      <c r="D160" s="1467">
        <f>D163+D161</f>
        <v>4604546</v>
      </c>
      <c r="E160" s="1467">
        <f t="shared" ref="E160:G160" si="100">E163+E161</f>
        <v>0</v>
      </c>
      <c r="F160" s="1467">
        <f t="shared" si="100"/>
        <v>0</v>
      </c>
      <c r="G160" s="1467">
        <f t="shared" si="100"/>
        <v>1021307</v>
      </c>
      <c r="H160" s="1467">
        <f>H163+H161</f>
        <v>2197354</v>
      </c>
      <c r="I160" s="1467">
        <f>I163+I161</f>
        <v>1385885</v>
      </c>
      <c r="J160" s="1467">
        <f t="shared" ref="J160:K160" si="101">J163+J161</f>
        <v>0</v>
      </c>
      <c r="K160" s="1467">
        <f t="shared" si="101"/>
        <v>0</v>
      </c>
      <c r="L160" s="1467"/>
      <c r="M160" s="4245" t="s">
        <v>61</v>
      </c>
      <c r="N160" s="4245" t="s">
        <v>61</v>
      </c>
      <c r="O160" s="4234"/>
    </row>
    <row r="161" spans="1:15" ht="12">
      <c r="A161" s="4230"/>
      <c r="B161" s="1576" t="s">
        <v>24</v>
      </c>
      <c r="C161" s="4244" t="s">
        <v>159</v>
      </c>
      <c r="D161" s="1563">
        <f>+D162</f>
        <v>811049</v>
      </c>
      <c r="E161" s="1563">
        <f t="shared" ref="E161:K161" si="102">+E162</f>
        <v>0</v>
      </c>
      <c r="F161" s="1563">
        <f t="shared" si="102"/>
        <v>0</v>
      </c>
      <c r="G161" s="1563">
        <f t="shared" si="102"/>
        <v>153214</v>
      </c>
      <c r="H161" s="1563">
        <f t="shared" si="102"/>
        <v>424177</v>
      </c>
      <c r="I161" s="1563">
        <f t="shared" si="102"/>
        <v>233658</v>
      </c>
      <c r="J161" s="1563">
        <f t="shared" si="102"/>
        <v>0</v>
      </c>
      <c r="K161" s="1563">
        <f t="shared" si="102"/>
        <v>0</v>
      </c>
      <c r="L161" s="1563"/>
      <c r="M161" s="4242"/>
      <c r="N161" s="4242"/>
      <c r="O161" s="4234"/>
    </row>
    <row r="162" spans="1:15" ht="12">
      <c r="A162" s="4230"/>
      <c r="B162" s="2277" t="s">
        <v>146</v>
      </c>
      <c r="C162" s="4237"/>
      <c r="D162" s="1406">
        <f>E162+F162+G162+H162+I162+J162+K162+L162</f>
        <v>811049</v>
      </c>
      <c r="E162" s="1440">
        <v>0</v>
      </c>
      <c r="F162" s="2278"/>
      <c r="G162" s="2278">
        <f>253104-99890</f>
        <v>153214</v>
      </c>
      <c r="H162" s="2278">
        <f>349998+74179</f>
        <v>424177</v>
      </c>
      <c r="I162" s="2278">
        <f>147063+86595</f>
        <v>233658</v>
      </c>
      <c r="J162" s="2278"/>
      <c r="K162" s="2278"/>
      <c r="L162" s="2278"/>
      <c r="M162" s="4242"/>
      <c r="N162" s="4242"/>
      <c r="O162" s="4234"/>
    </row>
    <row r="163" spans="1:15" ht="12">
      <c r="A163" s="4230"/>
      <c r="B163" s="2279" t="s">
        <v>18</v>
      </c>
      <c r="C163" s="4227" t="s">
        <v>23</v>
      </c>
      <c r="D163" s="1557">
        <f>+D164</f>
        <v>3793497</v>
      </c>
      <c r="E163" s="1557">
        <f t="shared" ref="E163:K163" si="103">+E164</f>
        <v>0</v>
      </c>
      <c r="F163" s="1557">
        <f t="shared" si="103"/>
        <v>0</v>
      </c>
      <c r="G163" s="1557">
        <f t="shared" si="103"/>
        <v>868093</v>
      </c>
      <c r="H163" s="1557">
        <f t="shared" si="103"/>
        <v>1773177</v>
      </c>
      <c r="I163" s="1557">
        <f t="shared" si="103"/>
        <v>1152227</v>
      </c>
      <c r="J163" s="1557">
        <f t="shared" si="103"/>
        <v>0</v>
      </c>
      <c r="K163" s="1557">
        <f t="shared" si="103"/>
        <v>0</v>
      </c>
      <c r="L163" s="1557"/>
      <c r="M163" s="4242"/>
      <c r="N163" s="4242"/>
      <c r="O163" s="4234"/>
    </row>
    <row r="164" spans="1:15" ht="12.75" thickBot="1">
      <c r="A164" s="4231"/>
      <c r="B164" s="1577" t="s">
        <v>35</v>
      </c>
      <c r="C164" s="4228"/>
      <c r="D164" s="1578">
        <f>E164+F164+G164+H164+I164+J164+K164+L164</f>
        <v>3793497</v>
      </c>
      <c r="E164" s="1727">
        <v>0</v>
      </c>
      <c r="F164" s="1579">
        <v>0</v>
      </c>
      <c r="G164" s="1579">
        <f>1197070-328977</f>
        <v>868093</v>
      </c>
      <c r="H164" s="1579">
        <f>1496559+276618</f>
        <v>1773177</v>
      </c>
      <c r="I164" s="1579">
        <f>729656+422571</f>
        <v>1152227</v>
      </c>
      <c r="J164" s="1579"/>
      <c r="K164" s="1579"/>
      <c r="L164" s="1579"/>
      <c r="M164" s="4243"/>
      <c r="N164" s="4243"/>
      <c r="O164" s="4235"/>
    </row>
    <row r="165" spans="1:15" ht="29.25" customHeight="1">
      <c r="A165" s="4229" t="s">
        <v>93</v>
      </c>
      <c r="B165" s="499" t="s">
        <v>517</v>
      </c>
      <c r="C165" s="3175" t="s">
        <v>81</v>
      </c>
      <c r="D165" s="3176"/>
      <c r="E165" s="380"/>
      <c r="F165" s="380"/>
      <c r="G165" s="380"/>
      <c r="H165" s="380"/>
      <c r="I165" s="380"/>
      <c r="J165" s="380"/>
      <c r="K165" s="380"/>
      <c r="L165" s="1388"/>
      <c r="M165" s="491"/>
      <c r="N165" s="491"/>
      <c r="O165" s="4233" t="s">
        <v>416</v>
      </c>
    </row>
    <row r="166" spans="1:15" ht="14.25" customHeight="1">
      <c r="A166" s="4230"/>
      <c r="B166" s="462" t="s">
        <v>10</v>
      </c>
      <c r="C166" s="500"/>
      <c r="D166" s="489">
        <f>+D167+D170</f>
        <v>2223195</v>
      </c>
      <c r="E166" s="489">
        <f t="shared" ref="E166:F166" si="104">+E167+E170</f>
        <v>6118</v>
      </c>
      <c r="F166" s="489">
        <f t="shared" si="104"/>
        <v>0</v>
      </c>
      <c r="G166" s="489">
        <f>+G167+G170</f>
        <v>281943</v>
      </c>
      <c r="H166" s="489">
        <f>+H167+H170</f>
        <v>1935134</v>
      </c>
      <c r="I166" s="489">
        <f>+I167+I170</f>
        <v>0</v>
      </c>
      <c r="J166" s="489">
        <f t="shared" ref="J166:K166" si="105">+J167+J170</f>
        <v>0</v>
      </c>
      <c r="K166" s="489">
        <f t="shared" si="105"/>
        <v>0</v>
      </c>
      <c r="L166" s="489"/>
      <c r="M166" s="492">
        <f>+M167</f>
        <v>779597</v>
      </c>
      <c r="N166" s="492">
        <f>+N167</f>
        <v>779597</v>
      </c>
      <c r="O166" s="4234"/>
    </row>
    <row r="167" spans="1:15" ht="12" customHeight="1">
      <c r="A167" s="4230"/>
      <c r="B167" s="3371" t="s">
        <v>24</v>
      </c>
      <c r="C167" s="4236" t="s">
        <v>159</v>
      </c>
      <c r="D167" s="455">
        <f>D169+D168</f>
        <v>785715</v>
      </c>
      <c r="E167" s="455">
        <f t="shared" ref="E167:K167" si="106">E169+E168</f>
        <v>6118</v>
      </c>
      <c r="F167" s="455">
        <f t="shared" si="106"/>
        <v>0</v>
      </c>
      <c r="G167" s="455">
        <f t="shared" si="106"/>
        <v>76540</v>
      </c>
      <c r="H167" s="455">
        <f t="shared" si="106"/>
        <v>703057</v>
      </c>
      <c r="I167" s="455">
        <f t="shared" si="106"/>
        <v>0</v>
      </c>
      <c r="J167" s="455">
        <f t="shared" si="106"/>
        <v>0</v>
      </c>
      <c r="K167" s="455">
        <f t="shared" si="106"/>
        <v>0</v>
      </c>
      <c r="L167" s="455"/>
      <c r="M167" s="494">
        <f>+M169</f>
        <v>779597</v>
      </c>
      <c r="N167" s="494">
        <f>+N169</f>
        <v>779597</v>
      </c>
      <c r="O167" s="4234"/>
    </row>
    <row r="168" spans="1:15" ht="12">
      <c r="A168" s="4230"/>
      <c r="B168" s="3354" t="s">
        <v>32</v>
      </c>
      <c r="C168" s="4237"/>
      <c r="D168" s="239">
        <f>E168+F168+G168+H168+I168+J168+K168+L168</f>
        <v>6118</v>
      </c>
      <c r="E168" s="452">
        <v>6118</v>
      </c>
      <c r="F168" s="3361">
        <v>0</v>
      </c>
      <c r="G168" s="3361">
        <v>0</v>
      </c>
      <c r="H168" s="3361">
        <v>0</v>
      </c>
      <c r="I168" s="3361">
        <v>0</v>
      </c>
      <c r="J168" s="2255"/>
      <c r="K168" s="2255"/>
      <c r="L168" s="2255"/>
      <c r="M168" s="501" t="s">
        <v>61</v>
      </c>
      <c r="N168" s="501" t="s">
        <v>61</v>
      </c>
      <c r="O168" s="4234"/>
    </row>
    <row r="169" spans="1:15" ht="12">
      <c r="A169" s="4230"/>
      <c r="B169" s="2244" t="s">
        <v>121</v>
      </c>
      <c r="C169" s="4238"/>
      <c r="D169" s="239">
        <f>E169+F169+G169+H169+I169+J169+K169+L169</f>
        <v>779597</v>
      </c>
      <c r="E169" s="452"/>
      <c r="F169" s="3362"/>
      <c r="G169" s="3362">
        <f>198520-121980</f>
        <v>76540</v>
      </c>
      <c r="H169" s="3362">
        <f>594337-43525+152245</f>
        <v>703057</v>
      </c>
      <c r="I169" s="3362"/>
      <c r="J169" s="3362"/>
      <c r="K169" s="3362"/>
      <c r="L169" s="3362"/>
      <c r="M169" s="488">
        <f>SUM(F169:K169)</f>
        <v>779597</v>
      </c>
      <c r="N169" s="488">
        <f>SUM(G169:L169)</f>
        <v>779597</v>
      </c>
      <c r="O169" s="4234"/>
    </row>
    <row r="170" spans="1:15" ht="12">
      <c r="A170" s="4230"/>
      <c r="B170" s="3372" t="s">
        <v>18</v>
      </c>
      <c r="C170" s="4239" t="s">
        <v>23</v>
      </c>
      <c r="D170" s="3364">
        <f>+D171</f>
        <v>1437480</v>
      </c>
      <c r="E170" s="3364">
        <f t="shared" ref="E170:N170" si="107">+E171</f>
        <v>0</v>
      </c>
      <c r="F170" s="3364">
        <f t="shared" si="107"/>
        <v>0</v>
      </c>
      <c r="G170" s="3364">
        <f t="shared" si="107"/>
        <v>205403</v>
      </c>
      <c r="H170" s="3364">
        <f t="shared" si="107"/>
        <v>1232077</v>
      </c>
      <c r="I170" s="3364">
        <f t="shared" si="107"/>
        <v>0</v>
      </c>
      <c r="J170" s="3364">
        <f t="shared" si="107"/>
        <v>0</v>
      </c>
      <c r="K170" s="3364">
        <f t="shared" si="107"/>
        <v>0</v>
      </c>
      <c r="L170" s="2261"/>
      <c r="M170" s="2262" t="str">
        <f t="shared" si="107"/>
        <v>x</v>
      </c>
      <c r="N170" s="2262" t="str">
        <f t="shared" si="107"/>
        <v>x</v>
      </c>
      <c r="O170" s="4234"/>
    </row>
    <row r="171" spans="1:15" ht="12">
      <c r="A171" s="4230"/>
      <c r="B171" s="2244" t="s">
        <v>35</v>
      </c>
      <c r="C171" s="4240"/>
      <c r="D171" s="239">
        <f>E171+F171+G171+H171+I171+J171+K171+L171</f>
        <v>1437480</v>
      </c>
      <c r="E171" s="452">
        <v>0</v>
      </c>
      <c r="F171" s="454">
        <v>0</v>
      </c>
      <c r="G171" s="454">
        <f>478253-272850</f>
        <v>205403</v>
      </c>
      <c r="H171" s="454">
        <f>1329439-97362</f>
        <v>1232077</v>
      </c>
      <c r="I171" s="454"/>
      <c r="J171" s="2263"/>
      <c r="K171" s="2263"/>
      <c r="L171" s="2263"/>
      <c r="M171" s="2264" t="s">
        <v>61</v>
      </c>
      <c r="N171" s="2264" t="s">
        <v>61</v>
      </c>
      <c r="O171" s="4234"/>
    </row>
    <row r="172" spans="1:15" ht="13.5" customHeight="1">
      <c r="A172" s="4230"/>
      <c r="B172" s="462" t="s">
        <v>22</v>
      </c>
      <c r="C172" s="3373"/>
      <c r="D172" s="3374">
        <f>D175+D173</f>
        <v>1845661</v>
      </c>
      <c r="E172" s="3374">
        <f t="shared" ref="E172:G172" si="108">E175+E173</f>
        <v>0</v>
      </c>
      <c r="F172" s="3374">
        <f t="shared" si="108"/>
        <v>0</v>
      </c>
      <c r="G172" s="3374">
        <f t="shared" si="108"/>
        <v>126730</v>
      </c>
      <c r="H172" s="3374">
        <f>H175+H173</f>
        <v>1328931</v>
      </c>
      <c r="I172" s="3374">
        <f>I175+I173</f>
        <v>390000</v>
      </c>
      <c r="J172" s="3374">
        <f t="shared" ref="J172:K172" si="109">J175+J173</f>
        <v>0</v>
      </c>
      <c r="K172" s="3374">
        <f t="shared" si="109"/>
        <v>0</v>
      </c>
      <c r="L172" s="3374"/>
      <c r="M172" s="4241" t="s">
        <v>61</v>
      </c>
      <c r="N172" s="4241" t="s">
        <v>61</v>
      </c>
      <c r="O172" s="4234"/>
    </row>
    <row r="173" spans="1:15" ht="12" customHeight="1">
      <c r="A173" s="4230"/>
      <c r="B173" s="2243" t="s">
        <v>24</v>
      </c>
      <c r="C173" s="4236" t="s">
        <v>159</v>
      </c>
      <c r="D173" s="3375">
        <f>+D174</f>
        <v>408181</v>
      </c>
      <c r="E173" s="3375">
        <f t="shared" ref="E173:K173" si="110">+E174</f>
        <v>0</v>
      </c>
      <c r="F173" s="3375">
        <f t="shared" si="110"/>
        <v>0</v>
      </c>
      <c r="G173" s="3375">
        <f t="shared" si="110"/>
        <v>26327</v>
      </c>
      <c r="H173" s="3375">
        <f t="shared" si="110"/>
        <v>341854</v>
      </c>
      <c r="I173" s="3375">
        <f t="shared" si="110"/>
        <v>40000</v>
      </c>
      <c r="J173" s="3375">
        <f t="shared" si="110"/>
        <v>0</v>
      </c>
      <c r="K173" s="3375">
        <f t="shared" si="110"/>
        <v>0</v>
      </c>
      <c r="L173" s="3375"/>
      <c r="M173" s="4242"/>
      <c r="N173" s="4242"/>
      <c r="O173" s="4234"/>
    </row>
    <row r="174" spans="1:15" ht="12">
      <c r="A174" s="4230"/>
      <c r="B174" s="2244" t="s">
        <v>146</v>
      </c>
      <c r="C174" s="4237"/>
      <c r="D174" s="239">
        <f>E174+F174+G174+H174+I174+J174+K174+L174</f>
        <v>408181</v>
      </c>
      <c r="E174" s="452">
        <v>0</v>
      </c>
      <c r="F174" s="3362"/>
      <c r="G174" s="3362">
        <f>120157-93830</f>
        <v>26327</v>
      </c>
      <c r="H174" s="3362">
        <f>359731-46345+28468</f>
        <v>341854</v>
      </c>
      <c r="I174" s="3362">
        <v>40000</v>
      </c>
      <c r="J174" s="3362"/>
      <c r="K174" s="3362"/>
      <c r="L174" s="3362"/>
      <c r="M174" s="4242"/>
      <c r="N174" s="4242"/>
      <c r="O174" s="4234"/>
    </row>
    <row r="175" spans="1:15" ht="12.75" thickBot="1">
      <c r="A175" s="4231"/>
      <c r="B175" s="3372" t="s">
        <v>18</v>
      </c>
      <c r="C175" s="4239" t="s">
        <v>23</v>
      </c>
      <c r="D175" s="3364">
        <f>+D176</f>
        <v>1437480</v>
      </c>
      <c r="E175" s="3364">
        <f t="shared" ref="E175:K175" si="111">+E176</f>
        <v>0</v>
      </c>
      <c r="F175" s="3364">
        <f t="shared" si="111"/>
        <v>0</v>
      </c>
      <c r="G175" s="3364">
        <f t="shared" si="111"/>
        <v>100403</v>
      </c>
      <c r="H175" s="3364">
        <f t="shared" si="111"/>
        <v>987077</v>
      </c>
      <c r="I175" s="3364">
        <f t="shared" si="111"/>
        <v>350000</v>
      </c>
      <c r="J175" s="3364">
        <f t="shared" si="111"/>
        <v>0</v>
      </c>
      <c r="K175" s="3364">
        <f t="shared" si="111"/>
        <v>0</v>
      </c>
      <c r="L175" s="3364"/>
      <c r="M175" s="4242"/>
      <c r="N175" s="4242"/>
      <c r="O175" s="4234"/>
    </row>
    <row r="176" spans="1:15" ht="12.75" thickBot="1">
      <c r="A176" s="4232"/>
      <c r="B176" s="2102" t="s">
        <v>35</v>
      </c>
      <c r="C176" s="4228"/>
      <c r="D176" s="1766">
        <f>E176+F176+G176+H176+I176+J176+K176+L176</f>
        <v>1437480</v>
      </c>
      <c r="E176" s="495">
        <v>0</v>
      </c>
      <c r="F176" s="504">
        <v>0</v>
      </c>
      <c r="G176" s="504">
        <f>478253-342850-35000</f>
        <v>100403</v>
      </c>
      <c r="H176" s="504">
        <f>1329439-377362+35000</f>
        <v>987077</v>
      </c>
      <c r="I176" s="504">
        <v>350000</v>
      </c>
      <c r="J176" s="504"/>
      <c r="K176" s="504"/>
      <c r="L176" s="504"/>
      <c r="M176" s="4243"/>
      <c r="N176" s="4243"/>
      <c r="O176" s="4235"/>
    </row>
    <row r="177" spans="1:15" ht="12" hidden="1" thickBot="1">
      <c r="A177" s="2789"/>
      <c r="O177" s="3092"/>
    </row>
    <row r="178" spans="1:15" ht="12" hidden="1" thickBot="1">
      <c r="A178" s="2789"/>
      <c r="O178" s="3092"/>
    </row>
    <row r="179" spans="1:15" ht="12" hidden="1" thickBot="1">
      <c r="A179" s="2789"/>
      <c r="O179" s="3092"/>
    </row>
    <row r="180" spans="1:15" ht="12" hidden="1" thickBot="1">
      <c r="A180" s="2789" t="s">
        <v>414</v>
      </c>
      <c r="O180" s="3092"/>
    </row>
    <row r="181" spans="1:15" ht="12" hidden="1" thickBot="1">
      <c r="A181" s="2789"/>
      <c r="O181" s="3092"/>
    </row>
    <row r="182" spans="1:15" ht="12" hidden="1" thickBot="1">
      <c r="A182" s="2789"/>
      <c r="D182" s="467"/>
      <c r="G182" s="467">
        <f>G166+G154+G140+G128+G116+G42+G33+G24</f>
        <v>22016484</v>
      </c>
      <c r="O182" s="3092"/>
    </row>
    <row r="183" spans="1:15" ht="12" hidden="1" thickBot="1">
      <c r="A183" s="2789"/>
      <c r="G183" s="467">
        <f>G182-G10</f>
        <v>-2452500</v>
      </c>
      <c r="O183" s="3092"/>
    </row>
    <row r="184" spans="1:15" ht="12" hidden="1" thickBot="1">
      <c r="A184" s="2789"/>
      <c r="O184" s="3092"/>
    </row>
    <row r="185" spans="1:15" ht="12" hidden="1" thickBot="1">
      <c r="A185" s="2789"/>
      <c r="D185" s="467">
        <f>D169+D157+D143+D131+D119+D45+D35+D26</f>
        <v>44671388</v>
      </c>
      <c r="O185" s="3092"/>
    </row>
    <row r="186" spans="1:15" ht="12" hidden="1" thickBot="1">
      <c r="A186" s="2789"/>
      <c r="B186" s="518"/>
      <c r="D186" s="467">
        <f>D7-D185</f>
        <v>88473770</v>
      </c>
      <c r="O186" s="3092"/>
    </row>
    <row r="187" spans="1:15" ht="12" hidden="1" thickBot="1">
      <c r="A187" s="2789"/>
      <c r="B187" s="512"/>
      <c r="O187" s="3092"/>
    </row>
    <row r="188" spans="1:15" ht="12" hidden="1" thickBot="1">
      <c r="A188" s="2789"/>
      <c r="O188" s="3092"/>
    </row>
    <row r="189" spans="1:15" ht="12" hidden="1" thickBot="1">
      <c r="A189" s="2789"/>
      <c r="O189" s="3092"/>
    </row>
    <row r="190" spans="1:15" ht="12" hidden="1" thickBot="1">
      <c r="A190" s="2789"/>
      <c r="O190" s="3092"/>
    </row>
    <row r="191" spans="1:15" ht="12" hidden="1" thickBot="1">
      <c r="A191" s="2789"/>
      <c r="O191" s="3092"/>
    </row>
    <row r="192" spans="1:15" ht="12" hidden="1" thickBot="1">
      <c r="A192" s="2789"/>
      <c r="O192" s="3092"/>
    </row>
    <row r="193" spans="1:15" ht="12" hidden="1" thickBot="1">
      <c r="A193" s="2789"/>
      <c r="O193" s="3092"/>
    </row>
    <row r="194" spans="1:15" ht="12" hidden="1" thickBot="1">
      <c r="A194" s="2789"/>
      <c r="O194" s="3092"/>
    </row>
    <row r="195" spans="1:15" ht="12" hidden="1" thickBot="1">
      <c r="A195" s="2789"/>
      <c r="O195" s="3092"/>
    </row>
    <row r="196" spans="1:15" ht="12" hidden="1" thickBot="1">
      <c r="A196" s="2789"/>
      <c r="O196" s="3092"/>
    </row>
    <row r="197" spans="1:15" ht="12" hidden="1" thickBot="1">
      <c r="A197" s="2789"/>
      <c r="O197" s="3092"/>
    </row>
    <row r="198" spans="1:15" ht="12" hidden="1" thickBot="1">
      <c r="A198" s="2789"/>
      <c r="O198" s="3092"/>
    </row>
    <row r="199" spans="1:15" ht="12" hidden="1" thickBot="1">
      <c r="A199" s="2789"/>
      <c r="O199" s="3092"/>
    </row>
    <row r="200" spans="1:15" ht="12" hidden="1" thickBot="1">
      <c r="A200" s="2789"/>
      <c r="N200" s="518"/>
      <c r="O200" s="2754"/>
    </row>
    <row r="201" spans="1:15" ht="12" hidden="1" thickBot="1">
      <c r="A201" s="2789"/>
      <c r="C201" s="518"/>
      <c r="N201" s="2769"/>
      <c r="O201" s="2755"/>
    </row>
    <row r="202" spans="1:15" ht="12" hidden="1" thickBot="1">
      <c r="A202" s="2789"/>
      <c r="C202" s="2769"/>
      <c r="N202" s="2769"/>
      <c r="O202" s="2755"/>
    </row>
    <row r="203" spans="1:15" ht="12" hidden="1" thickBot="1">
      <c r="A203" s="2789"/>
      <c r="C203" s="2769"/>
      <c r="N203" s="2769"/>
      <c r="O203" s="2755"/>
    </row>
    <row r="204" spans="1:15" ht="12" hidden="1" thickBot="1">
      <c r="A204" s="2790"/>
      <c r="C204" s="2769"/>
      <c r="D204" s="518"/>
      <c r="E204" s="518"/>
      <c r="F204" s="518"/>
      <c r="G204" s="518"/>
      <c r="H204" s="518"/>
      <c r="I204" s="518"/>
      <c r="J204" s="518"/>
      <c r="K204" s="518"/>
      <c r="L204" s="518"/>
      <c r="N204" s="2769"/>
      <c r="O204" s="2755"/>
    </row>
    <row r="205" spans="1:15" ht="12" hidden="1" thickBot="1">
      <c r="C205" s="512"/>
      <c r="D205" s="512"/>
      <c r="E205" s="512"/>
      <c r="F205" s="512"/>
      <c r="G205" s="512"/>
      <c r="H205" s="512"/>
      <c r="I205" s="512"/>
      <c r="J205" s="512"/>
      <c r="K205" s="512"/>
      <c r="L205" s="512"/>
      <c r="N205" s="512"/>
      <c r="O205" s="2755"/>
    </row>
    <row r="206" spans="1:15" ht="12" hidden="1" thickBot="1">
      <c r="O206" s="2755"/>
    </row>
    <row r="207" spans="1:15" ht="12" hidden="1" thickBot="1">
      <c r="O207" s="2755"/>
    </row>
    <row r="208" spans="1:15" ht="12" hidden="1" thickBot="1">
      <c r="O208" s="2755"/>
    </row>
    <row r="209" spans="15:15" ht="12" hidden="1" thickBot="1">
      <c r="O209" s="2755"/>
    </row>
    <row r="210" spans="15:15" ht="12" hidden="1" thickBot="1">
      <c r="O210" s="2755"/>
    </row>
    <row r="211" spans="15:15" ht="12" hidden="1" thickBot="1">
      <c r="O211" s="2755"/>
    </row>
    <row r="212" spans="15:15" ht="12" hidden="1" thickBot="1">
      <c r="O212" s="2755"/>
    </row>
    <row r="213" spans="15:15" ht="12" hidden="1" thickBot="1">
      <c r="O213" s="2755"/>
    </row>
    <row r="214" spans="15:15" hidden="1">
      <c r="O214" s="2756"/>
    </row>
    <row r="215" spans="15:15" hidden="1">
      <c r="O215" s="3092"/>
    </row>
    <row r="216" spans="15:15" hidden="1">
      <c r="O216" s="3092"/>
    </row>
    <row r="217" spans="15:15" hidden="1">
      <c r="O217" s="3092"/>
    </row>
    <row r="218" spans="15:15">
      <c r="O218" s="3092"/>
    </row>
    <row r="219" spans="15:15">
      <c r="O219" s="3092"/>
    </row>
    <row r="220" spans="15:15">
      <c r="O220" s="3092"/>
    </row>
    <row r="221" spans="15:15">
      <c r="O221" s="3092"/>
    </row>
    <row r="222" spans="15:15">
      <c r="O222" s="3092"/>
    </row>
    <row r="223" spans="15:15">
      <c r="O223" s="3092"/>
    </row>
    <row r="224" spans="15:15">
      <c r="O224" s="3092"/>
    </row>
    <row r="225" spans="15:15">
      <c r="O225" s="3092"/>
    </row>
    <row r="226" spans="15:15">
      <c r="O226" s="3092"/>
    </row>
    <row r="227" spans="15:15">
      <c r="O227" s="3092"/>
    </row>
    <row r="228" spans="15:15">
      <c r="O228" s="3092"/>
    </row>
    <row r="229" spans="15:15">
      <c r="O229" s="3092"/>
    </row>
    <row r="230" spans="15:15">
      <c r="O230" s="3092"/>
    </row>
    <row r="231" spans="15:15">
      <c r="O231" s="3092"/>
    </row>
    <row r="232" spans="15:15">
      <c r="O232" s="3092"/>
    </row>
    <row r="233" spans="15:15">
      <c r="O233" s="3092"/>
    </row>
    <row r="234" spans="15:15">
      <c r="O234" s="3092"/>
    </row>
    <row r="235" spans="15:15">
      <c r="O235" s="3092"/>
    </row>
    <row r="236" spans="15:15">
      <c r="O236" s="3092"/>
    </row>
    <row r="237" spans="15:15">
      <c r="O237" s="3092"/>
    </row>
    <row r="238" spans="15:15">
      <c r="O238" s="3092"/>
    </row>
    <row r="239" spans="15:15">
      <c r="O239" s="3092"/>
    </row>
    <row r="240" spans="15:15">
      <c r="O240" s="3092"/>
    </row>
    <row r="241" spans="15:15">
      <c r="O241" s="3092"/>
    </row>
    <row r="242" spans="15:15">
      <c r="O242" s="3092"/>
    </row>
    <row r="243" spans="15:15">
      <c r="O243" s="3092"/>
    </row>
    <row r="244" spans="15:15">
      <c r="O244" s="3092"/>
    </row>
    <row r="245" spans="15:15">
      <c r="O245" s="3092"/>
    </row>
    <row r="246" spans="15:15">
      <c r="O246" s="3092"/>
    </row>
    <row r="247" spans="15:15">
      <c r="O247" s="3092"/>
    </row>
    <row r="248" spans="15:15" ht="12" thickBot="1">
      <c r="O248" s="2754"/>
    </row>
    <row r="249" spans="15:15" ht="12" thickBot="1">
      <c r="O249" s="2755"/>
    </row>
    <row r="250" spans="15:15" ht="12" thickBot="1">
      <c r="O250" s="2755"/>
    </row>
    <row r="251" spans="15:15" ht="12" thickBot="1">
      <c r="O251" s="2755"/>
    </row>
    <row r="252" spans="15:15" ht="12" thickBot="1">
      <c r="O252" s="2755"/>
    </row>
    <row r="253" spans="15:15" ht="12" thickBot="1">
      <c r="O253" s="2755"/>
    </row>
    <row r="254" spans="15:15" ht="12" thickBot="1">
      <c r="O254" s="2755"/>
    </row>
    <row r="255" spans="15:15" ht="12" thickBot="1">
      <c r="O255" s="2755"/>
    </row>
    <row r="256" spans="15:15" ht="12" thickBot="1">
      <c r="O256" s="2755"/>
    </row>
    <row r="257" spans="15:15" ht="12" thickBot="1">
      <c r="O257" s="2755"/>
    </row>
    <row r="258" spans="15:15" ht="12" thickBot="1">
      <c r="O258" s="2755"/>
    </row>
    <row r="259" spans="15:15" ht="12" thickBot="1">
      <c r="O259" s="2755"/>
    </row>
    <row r="260" spans="15:15" ht="12" thickBot="1">
      <c r="O260" s="2755"/>
    </row>
    <row r="261" spans="15:15" ht="12" thickBot="1">
      <c r="O261" s="2755"/>
    </row>
    <row r="262" spans="15:15">
      <c r="O262" s="2756"/>
    </row>
    <row r="263" spans="15:15">
      <c r="O263" s="3092"/>
    </row>
    <row r="264" spans="15:15">
      <c r="O264" s="3092"/>
    </row>
    <row r="265" spans="15:15">
      <c r="O265" s="3092"/>
    </row>
    <row r="266" spans="15:15">
      <c r="O266" s="3092"/>
    </row>
    <row r="267" spans="15:15">
      <c r="O267" s="3092"/>
    </row>
    <row r="268" spans="15:15">
      <c r="O268" s="3092"/>
    </row>
    <row r="269" spans="15:15">
      <c r="O269" s="3092"/>
    </row>
    <row r="270" spans="15:15">
      <c r="O270" s="3092"/>
    </row>
    <row r="271" spans="15:15">
      <c r="O271" s="3092"/>
    </row>
    <row r="272" spans="15:15">
      <c r="O272" s="3092"/>
    </row>
    <row r="273" spans="15:15">
      <c r="O273" s="3092"/>
    </row>
    <row r="274" spans="15:15">
      <c r="O274" s="3092"/>
    </row>
    <row r="275" spans="15:15">
      <c r="O275" s="3092"/>
    </row>
    <row r="276" spans="15:15">
      <c r="O276" s="3092"/>
    </row>
    <row r="277" spans="15:15">
      <c r="O277" s="3092"/>
    </row>
    <row r="278" spans="15:15">
      <c r="O278" s="3092"/>
    </row>
    <row r="279" spans="15:15">
      <c r="O279" s="3092"/>
    </row>
    <row r="280" spans="15:15">
      <c r="O280" s="3092"/>
    </row>
    <row r="281" spans="15:15">
      <c r="O281" s="3092"/>
    </row>
    <row r="282" spans="15:15">
      <c r="O282" s="3092"/>
    </row>
    <row r="283" spans="15:15">
      <c r="O283" s="3092"/>
    </row>
    <row r="284" spans="15:15">
      <c r="O284" s="3092"/>
    </row>
    <row r="285" spans="15:15">
      <c r="O285" s="3092"/>
    </row>
    <row r="286" spans="15:15">
      <c r="O286" s="3092"/>
    </row>
    <row r="287" spans="15:15">
      <c r="O287" s="3092"/>
    </row>
    <row r="288" spans="15:15">
      <c r="O288" s="3092"/>
    </row>
    <row r="289" spans="15:15">
      <c r="O289" s="3092"/>
    </row>
    <row r="290" spans="15:15">
      <c r="O290" s="3092"/>
    </row>
    <row r="291" spans="15:15">
      <c r="O291" s="3092"/>
    </row>
    <row r="292" spans="15:15">
      <c r="O292" s="3092"/>
    </row>
    <row r="293" spans="15:15">
      <c r="O293" s="3092"/>
    </row>
    <row r="294" spans="15:15">
      <c r="O294" s="3092"/>
    </row>
    <row r="295" spans="15:15">
      <c r="O295" s="3092"/>
    </row>
    <row r="296" spans="15:15">
      <c r="O296" s="3092"/>
    </row>
    <row r="297" spans="15:15">
      <c r="O297" s="3092"/>
    </row>
    <row r="298" spans="15:15">
      <c r="O298" s="3092"/>
    </row>
    <row r="299" spans="15:15">
      <c r="O299" s="3092"/>
    </row>
    <row r="300" spans="15:15">
      <c r="O300" s="3092"/>
    </row>
    <row r="301" spans="15:15">
      <c r="O301" s="3092"/>
    </row>
    <row r="302" spans="15:15">
      <c r="O302" s="3092"/>
    </row>
    <row r="401" spans="1:15" ht="12" thickBot="1">
      <c r="A401" s="2788"/>
    </row>
    <row r="402" spans="1:15" ht="12" thickBot="1">
      <c r="A402" s="2789"/>
    </row>
    <row r="403" spans="1:15" ht="12" thickBot="1">
      <c r="A403" s="2789"/>
    </row>
    <row r="404" spans="1:15" ht="12" thickBot="1">
      <c r="A404" s="2789"/>
    </row>
    <row r="405" spans="1:15" ht="12" thickBot="1">
      <c r="A405" s="2789"/>
    </row>
    <row r="406" spans="1:15" ht="12" thickBot="1">
      <c r="A406" s="2789"/>
    </row>
    <row r="407" spans="1:15" ht="12" thickBot="1">
      <c r="A407" s="2789"/>
      <c r="N407" s="518"/>
      <c r="O407" s="2372"/>
    </row>
    <row r="408" spans="1:15" ht="12" thickBot="1">
      <c r="A408" s="2789"/>
      <c r="C408" s="518"/>
      <c r="N408" s="2769"/>
      <c r="O408" s="2752"/>
    </row>
    <row r="409" spans="1:15" ht="12" thickBot="1">
      <c r="A409" s="2789"/>
      <c r="C409" s="2769"/>
      <c r="D409" s="518"/>
      <c r="E409" s="518"/>
      <c r="F409" s="518"/>
      <c r="G409" s="518"/>
      <c r="H409" s="518"/>
      <c r="I409" s="518"/>
      <c r="J409" s="518"/>
      <c r="K409" s="518"/>
      <c r="L409" s="518"/>
      <c r="N409" s="2769"/>
      <c r="O409" s="2752"/>
    </row>
    <row r="410" spans="1:15" ht="12" thickBot="1">
      <c r="A410" s="2789"/>
      <c r="C410" s="512"/>
      <c r="D410" s="512"/>
      <c r="E410" s="512"/>
      <c r="F410" s="512"/>
      <c r="G410" s="512"/>
      <c r="H410" s="512"/>
      <c r="I410" s="512"/>
      <c r="J410" s="512"/>
      <c r="K410" s="512"/>
      <c r="L410" s="512"/>
      <c r="N410" s="512"/>
      <c r="O410" s="2752"/>
    </row>
    <row r="411" spans="1:15" ht="12" thickBot="1">
      <c r="A411" s="2789"/>
      <c r="O411" s="2752"/>
    </row>
    <row r="412" spans="1:15" ht="12" thickBot="1">
      <c r="A412" s="2789"/>
      <c r="O412" s="2752"/>
    </row>
    <row r="413" spans="1:15" ht="12" thickBot="1">
      <c r="A413" s="2789"/>
      <c r="O413" s="2752"/>
    </row>
    <row r="414" spans="1:15" ht="12" thickBot="1">
      <c r="A414" s="2789"/>
      <c r="O414" s="2752"/>
    </row>
    <row r="415" spans="1:15" ht="12" thickBot="1">
      <c r="A415" s="2789"/>
      <c r="O415" s="2753"/>
    </row>
    <row r="416" spans="1:15" ht="12" thickBot="1">
      <c r="A416" s="2789"/>
    </row>
    <row r="417" spans="1:1" ht="12" thickBot="1">
      <c r="A417" s="2789"/>
    </row>
    <row r="418" spans="1:1">
      <c r="A418" s="2790"/>
    </row>
    <row r="507" spans="1:15" ht="12" thickBot="1"/>
    <row r="508" spans="1:15" ht="33.75">
      <c r="A508" s="511"/>
      <c r="B508" s="372" t="s">
        <v>69</v>
      </c>
      <c r="C508" s="372"/>
      <c r="D508" s="512"/>
      <c r="E508" s="513"/>
      <c r="F508" s="513"/>
      <c r="G508" s="513"/>
      <c r="H508" s="513"/>
      <c r="I508" s="513"/>
      <c r="J508" s="513"/>
      <c r="K508" s="513"/>
      <c r="L508" s="513"/>
      <c r="M508" s="513"/>
      <c r="N508" s="513"/>
      <c r="O508" s="514"/>
    </row>
    <row r="509" spans="1:15">
      <c r="A509" s="515"/>
      <c r="E509" s="473"/>
      <c r="F509" s="473"/>
      <c r="G509" s="473"/>
      <c r="H509" s="473"/>
      <c r="I509" s="473"/>
      <c r="J509" s="473"/>
      <c r="K509" s="473"/>
      <c r="L509" s="473"/>
      <c r="M509" s="473"/>
      <c r="N509" s="473"/>
      <c r="O509" s="516"/>
    </row>
    <row r="510" spans="1:15">
      <c r="A510" s="515"/>
      <c r="E510" s="473"/>
      <c r="F510" s="473"/>
      <c r="G510" s="473"/>
      <c r="H510" s="473"/>
      <c r="I510" s="473"/>
      <c r="J510" s="473"/>
      <c r="K510" s="473"/>
      <c r="L510" s="473"/>
      <c r="M510" s="473"/>
      <c r="N510" s="473"/>
      <c r="O510" s="516"/>
    </row>
    <row r="511" spans="1:15">
      <c r="A511" s="515"/>
      <c r="E511" s="473"/>
      <c r="F511" s="473"/>
      <c r="G511" s="473"/>
      <c r="H511" s="473"/>
      <c r="I511" s="473"/>
      <c r="J511" s="473"/>
      <c r="K511" s="473"/>
      <c r="L511" s="473"/>
      <c r="M511" s="473"/>
      <c r="N511" s="473"/>
      <c r="O511" s="516"/>
    </row>
    <row r="512" spans="1:15">
      <c r="A512" s="515"/>
      <c r="E512" s="473"/>
      <c r="F512" s="473"/>
      <c r="G512" s="473"/>
      <c r="H512" s="473"/>
      <c r="I512" s="473"/>
      <c r="J512" s="473"/>
      <c r="K512" s="473"/>
      <c r="L512" s="473"/>
      <c r="M512" s="473"/>
      <c r="N512" s="473"/>
      <c r="O512" s="516"/>
    </row>
    <row r="513" spans="1:15">
      <c r="A513" s="515"/>
      <c r="E513" s="473"/>
      <c r="F513" s="473"/>
      <c r="G513" s="473"/>
      <c r="H513" s="473"/>
      <c r="I513" s="473"/>
      <c r="J513" s="473"/>
      <c r="K513" s="473"/>
      <c r="L513" s="473"/>
      <c r="M513" s="473"/>
      <c r="N513" s="473"/>
      <c r="O513" s="516"/>
    </row>
    <row r="514" spans="1:15">
      <c r="A514" s="515"/>
      <c r="E514" s="473"/>
      <c r="F514" s="473"/>
      <c r="G514" s="473"/>
      <c r="H514" s="473"/>
      <c r="I514" s="473"/>
      <c r="J514" s="473"/>
      <c r="K514" s="473"/>
      <c r="L514" s="473"/>
      <c r="M514" s="473"/>
      <c r="N514" s="473"/>
      <c r="O514" s="516"/>
    </row>
    <row r="515" spans="1:15">
      <c r="A515" s="515"/>
      <c r="E515" s="473"/>
      <c r="F515" s="473"/>
      <c r="G515" s="473"/>
      <c r="H515" s="473"/>
      <c r="I515" s="473"/>
      <c r="J515" s="473"/>
      <c r="K515" s="473"/>
      <c r="L515" s="473"/>
      <c r="M515" s="473"/>
      <c r="N515" s="473"/>
      <c r="O515" s="516"/>
    </row>
    <row r="516" spans="1:15" ht="12" thickBot="1">
      <c r="A516" s="515"/>
      <c r="E516" s="473"/>
      <c r="F516" s="473"/>
      <c r="G516" s="473"/>
      <c r="H516" s="473"/>
      <c r="I516" s="473"/>
      <c r="J516" s="473"/>
      <c r="K516" s="473"/>
      <c r="L516" s="473"/>
      <c r="M516" s="473"/>
      <c r="N516" s="473"/>
      <c r="O516" s="520"/>
    </row>
    <row r="517" spans="1:15" ht="12" thickBot="1">
      <c r="A517" s="515"/>
      <c r="E517" s="473"/>
      <c r="F517" s="473"/>
      <c r="G517" s="473"/>
      <c r="H517" s="473"/>
      <c r="I517" s="473"/>
      <c r="J517" s="473"/>
      <c r="K517" s="473"/>
      <c r="L517" s="473"/>
      <c r="M517" s="473"/>
      <c r="N517" s="473"/>
      <c r="O517" s="2800"/>
    </row>
    <row r="518" spans="1:15" ht="12" thickBot="1">
      <c r="A518" s="515"/>
      <c r="E518" s="473"/>
      <c r="F518" s="473"/>
      <c r="G518" s="473"/>
      <c r="H518" s="473"/>
      <c r="I518" s="473"/>
      <c r="J518" s="473"/>
      <c r="K518" s="473"/>
      <c r="L518" s="473"/>
      <c r="M518" s="473"/>
      <c r="N518" s="473"/>
      <c r="O518" s="2800"/>
    </row>
    <row r="519" spans="1:15" ht="12" thickBot="1">
      <c r="A519" s="517"/>
      <c r="B519" s="518"/>
      <c r="C519" s="518"/>
      <c r="D519" s="518"/>
      <c r="E519" s="519"/>
      <c r="F519" s="519"/>
      <c r="G519" s="519"/>
      <c r="H519" s="519"/>
      <c r="I519" s="519"/>
      <c r="J519" s="519"/>
      <c r="K519" s="519"/>
      <c r="L519" s="519"/>
      <c r="M519" s="519"/>
      <c r="N519" s="519"/>
      <c r="O519" s="2800"/>
    </row>
    <row r="520" spans="1:15" ht="12" thickBot="1">
      <c r="N520" s="518"/>
      <c r="O520" s="2752"/>
    </row>
    <row r="521" spans="1:15" ht="12" thickBot="1">
      <c r="N521" s="2769"/>
      <c r="O521" s="2752"/>
    </row>
    <row r="522" spans="1:15" ht="12" thickBot="1">
      <c r="N522" s="2769"/>
      <c r="O522" s="2752"/>
    </row>
    <row r="523" spans="1:15" ht="12" thickBot="1">
      <c r="N523" s="2769"/>
      <c r="O523" s="2752"/>
    </row>
    <row r="524" spans="1:15" ht="12" thickBot="1">
      <c r="N524" s="2769"/>
      <c r="O524" s="2752"/>
    </row>
    <row r="525" spans="1:15" ht="12" thickBot="1">
      <c r="A525" s="2788"/>
      <c r="B525" s="518"/>
      <c r="C525" s="518"/>
      <c r="D525" s="518"/>
      <c r="E525" s="518"/>
      <c r="F525" s="518"/>
      <c r="G525" s="518"/>
      <c r="H525" s="518"/>
      <c r="I525" s="518"/>
      <c r="J525" s="518"/>
      <c r="K525" s="518"/>
      <c r="L525" s="518"/>
      <c r="N525" s="2769"/>
      <c r="O525" s="2752"/>
    </row>
    <row r="526" spans="1:15" ht="12" thickBot="1">
      <c r="A526" s="2789"/>
      <c r="B526" s="512"/>
      <c r="C526" s="512"/>
      <c r="D526" s="512"/>
      <c r="E526" s="512"/>
      <c r="F526" s="512"/>
      <c r="G526" s="512"/>
      <c r="H526" s="512"/>
      <c r="I526" s="512"/>
      <c r="J526" s="512"/>
      <c r="K526" s="512"/>
      <c r="L526" s="512"/>
      <c r="N526" s="512"/>
      <c r="O526" s="2752"/>
    </row>
    <row r="527" spans="1:15" ht="12" thickBot="1">
      <c r="A527" s="2789"/>
      <c r="O527" s="2752"/>
    </row>
    <row r="528" spans="1:15" ht="12" thickBot="1">
      <c r="A528" s="2789"/>
      <c r="O528" s="2752"/>
    </row>
    <row r="529" spans="1:15" ht="12" thickBot="1">
      <c r="A529" s="2789"/>
      <c r="O529" s="2752"/>
    </row>
    <row r="530" spans="1:15" ht="12" thickBot="1">
      <c r="A530" s="2789"/>
      <c r="O530" s="2752"/>
    </row>
    <row r="531" spans="1:15" ht="12" thickBot="1">
      <c r="A531" s="2789"/>
      <c r="O531" s="2752"/>
    </row>
    <row r="532" spans="1:15" ht="12" thickBot="1">
      <c r="A532" s="2789"/>
      <c r="O532" s="2752"/>
    </row>
    <row r="533" spans="1:15">
      <c r="A533" s="2790"/>
      <c r="O533" s="2753"/>
    </row>
  </sheetData>
  <mergeCells count="109">
    <mergeCell ref="A115:A126"/>
    <mergeCell ref="O115:O126"/>
    <mergeCell ref="C117:C119"/>
    <mergeCell ref="C120:C121"/>
    <mergeCell ref="N122:N126"/>
    <mergeCell ref="A89:A101"/>
    <mergeCell ref="C98:C101"/>
    <mergeCell ref="N97:N101"/>
    <mergeCell ref="O89:O101"/>
    <mergeCell ref="O103:O114"/>
    <mergeCell ref="C105:C107"/>
    <mergeCell ref="C108:C109"/>
    <mergeCell ref="C111:C112"/>
    <mergeCell ref="C113:C114"/>
    <mergeCell ref="N110:N114"/>
    <mergeCell ref="M110:M114"/>
    <mergeCell ref="C125:C126"/>
    <mergeCell ref="M122:M126"/>
    <mergeCell ref="C82:C83"/>
    <mergeCell ref="A53:A64"/>
    <mergeCell ref="O53:O64"/>
    <mergeCell ref="C55:C56"/>
    <mergeCell ref="C144:C146"/>
    <mergeCell ref="A127:A138"/>
    <mergeCell ref="O127:O138"/>
    <mergeCell ref="C129:C131"/>
    <mergeCell ref="C132:C133"/>
    <mergeCell ref="N134:N138"/>
    <mergeCell ref="C135:C136"/>
    <mergeCell ref="C137:C138"/>
    <mergeCell ref="M134:M138"/>
    <mergeCell ref="A139:A152"/>
    <mergeCell ref="O139:O152"/>
    <mergeCell ref="M147:M152"/>
    <mergeCell ref="N147:N152"/>
    <mergeCell ref="C148:C149"/>
    <mergeCell ref="C151:C152"/>
    <mergeCell ref="C91:C93"/>
    <mergeCell ref="C94:C96"/>
    <mergeCell ref="M97:M102"/>
    <mergeCell ref="C141:C143"/>
    <mergeCell ref="A103:A114"/>
    <mergeCell ref="M38:M40"/>
    <mergeCell ref="N38:N40"/>
    <mergeCell ref="C43:C47"/>
    <mergeCell ref="C49:C52"/>
    <mergeCell ref="O23:O31"/>
    <mergeCell ref="A41:A52"/>
    <mergeCell ref="O41:O52"/>
    <mergeCell ref="N48:N52"/>
    <mergeCell ref="A23:A31"/>
    <mergeCell ref="N29:N31"/>
    <mergeCell ref="C25:C31"/>
    <mergeCell ref="M29:M31"/>
    <mergeCell ref="M48:M52"/>
    <mergeCell ref="A32:A40"/>
    <mergeCell ref="O32:O40"/>
    <mergeCell ref="C34:C40"/>
    <mergeCell ref="B4:B5"/>
    <mergeCell ref="C4:C5"/>
    <mergeCell ref="D4:D5"/>
    <mergeCell ref="O4:O5"/>
    <mergeCell ref="O10:O22"/>
    <mergeCell ref="C11:C16"/>
    <mergeCell ref="C18:C22"/>
    <mergeCell ref="N4:N5"/>
    <mergeCell ref="N17:N22"/>
    <mergeCell ref="E4:E5"/>
    <mergeCell ref="F4:F5"/>
    <mergeCell ref="G4:L4"/>
    <mergeCell ref="M4:M5"/>
    <mergeCell ref="M17:M22"/>
    <mergeCell ref="C57:C59"/>
    <mergeCell ref="C61:C62"/>
    <mergeCell ref="C63:C64"/>
    <mergeCell ref="N60:N64"/>
    <mergeCell ref="M60:M64"/>
    <mergeCell ref="A65:A76"/>
    <mergeCell ref="O65:O76"/>
    <mergeCell ref="C67:C68"/>
    <mergeCell ref="C70:C71"/>
    <mergeCell ref="C73:C74"/>
    <mergeCell ref="C75:C76"/>
    <mergeCell ref="N72:N76"/>
    <mergeCell ref="M72:M76"/>
    <mergeCell ref="C79:C81"/>
    <mergeCell ref="C85:C86"/>
    <mergeCell ref="C87:C88"/>
    <mergeCell ref="N84:N88"/>
    <mergeCell ref="M84:M88"/>
    <mergeCell ref="A165:A176"/>
    <mergeCell ref="O165:O176"/>
    <mergeCell ref="C167:C169"/>
    <mergeCell ref="C170:C171"/>
    <mergeCell ref="M172:M176"/>
    <mergeCell ref="N172:N176"/>
    <mergeCell ref="C173:C174"/>
    <mergeCell ref="C175:C176"/>
    <mergeCell ref="A153:A164"/>
    <mergeCell ref="O153:O164"/>
    <mergeCell ref="C155:C157"/>
    <mergeCell ref="C158:C159"/>
    <mergeCell ref="M160:M164"/>
    <mergeCell ref="N160:N164"/>
    <mergeCell ref="C161:C162"/>
    <mergeCell ref="C163:C164"/>
    <mergeCell ref="C123:C124"/>
    <mergeCell ref="A77:A88"/>
    <mergeCell ref="O77:O88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8" firstPageNumber="48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______________________________________________________________________________________________________________________________________</oddHeader>
    <oddFooter>&amp;C&amp;8&amp;P</oddFooter>
  </headerFooter>
  <rowBreaks count="3" manualBreakCount="3">
    <brk id="52" max="14" man="1"/>
    <brk id="102" max="14" man="1"/>
    <brk id="152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00B050"/>
  </sheetPr>
  <dimension ref="A1:BN533"/>
  <sheetViews>
    <sheetView showGridLines="0" view="pageBreakPreview" zoomScaleSheetLayoutView="100" workbookViewId="0">
      <pane xSplit="3" ySplit="7" topLeftCell="F8" activePane="bottomRight" state="frozen"/>
      <selection activeCell="D14" sqref="D14"/>
      <selection pane="topRight" activeCell="D14" sqref="D14"/>
      <selection pane="bottomLeft" activeCell="D14" sqref="D14"/>
      <selection pane="bottomRight" activeCell="G143" sqref="G143:G155"/>
    </sheetView>
  </sheetViews>
  <sheetFormatPr defaultColWidth="9.140625" defaultRowHeight="12" outlineLevelRow="1"/>
  <cols>
    <col min="1" max="1" width="3.7109375" style="466" customWidth="1"/>
    <col min="2" max="2" width="59" style="311" customWidth="1"/>
    <col min="3" max="3" width="9.7109375" style="311" customWidth="1"/>
    <col min="4" max="4" width="14.140625" style="311" customWidth="1"/>
    <col min="5" max="5" width="12.5703125" style="311" customWidth="1"/>
    <col min="6" max="12" width="10.85546875" style="311" customWidth="1"/>
    <col min="13" max="13" width="11.7109375" style="311" hidden="1" customWidth="1"/>
    <col min="14" max="14" width="11.7109375" style="311" customWidth="1"/>
    <col min="15" max="15" width="17.42578125" style="470" customWidth="1"/>
    <col min="16" max="16" width="15.140625" style="311" hidden="1" customWidth="1"/>
    <col min="17" max="17" width="11.7109375" style="311" hidden="1" customWidth="1"/>
    <col min="18" max="18" width="0" style="311" hidden="1" customWidth="1"/>
    <col min="19" max="16384" width="9.140625" style="311"/>
  </cols>
  <sheetData>
    <row r="1" spans="1:66" ht="16.5" customHeight="1">
      <c r="F1" s="4319"/>
      <c r="G1" s="4319"/>
      <c r="H1" s="307" t="s">
        <v>403</v>
      </c>
      <c r="I1" s="303"/>
      <c r="J1" s="303"/>
      <c r="K1" s="303"/>
      <c r="L1" s="303"/>
      <c r="M1" s="6"/>
      <c r="N1" s="6"/>
      <c r="O1" s="7"/>
    </row>
    <row r="2" spans="1:66" ht="15" hidden="1" customHeight="1">
      <c r="F2" s="306"/>
      <c r="G2" s="306"/>
      <c r="H2" s="306"/>
      <c r="I2" s="306"/>
      <c r="J2" s="306"/>
      <c r="K2" s="306"/>
      <c r="L2" s="306"/>
      <c r="M2" s="6"/>
      <c r="N2" s="6"/>
      <c r="O2" s="7"/>
    </row>
    <row r="3" spans="1:66" ht="9" customHeight="1">
      <c r="D3" s="467"/>
      <c r="F3" s="308"/>
      <c r="G3" s="308"/>
      <c r="H3" s="308"/>
      <c r="I3" s="308"/>
      <c r="J3" s="308"/>
      <c r="K3" s="308"/>
      <c r="L3" s="308"/>
      <c r="M3" s="6"/>
      <c r="N3" s="6"/>
      <c r="O3" s="7"/>
    </row>
    <row r="4" spans="1:66" s="469" customFormat="1" ht="40.5" customHeight="1" thickBot="1">
      <c r="A4" s="4320" t="s">
        <v>198</v>
      </c>
      <c r="B4" s="4320"/>
      <c r="C4" s="4320"/>
      <c r="D4" s="4320"/>
      <c r="E4" s="4320"/>
      <c r="F4" s="4320"/>
      <c r="G4" s="4320"/>
      <c r="H4" s="4320"/>
      <c r="I4" s="4320"/>
      <c r="J4" s="4320"/>
      <c r="K4" s="4320"/>
      <c r="L4" s="4320"/>
      <c r="M4" s="4320"/>
      <c r="N4" s="4320"/>
      <c r="O4" s="4320"/>
      <c r="P4" s="468"/>
      <c r="Q4" s="468"/>
      <c r="R4" s="468"/>
      <c r="S4" s="468"/>
      <c r="T4" s="468"/>
      <c r="U4" s="468"/>
      <c r="V4" s="468"/>
      <c r="W4" s="468"/>
      <c r="X4" s="468"/>
      <c r="Y4" s="468"/>
      <c r="Z4" s="468"/>
      <c r="AA4" s="468"/>
      <c r="AB4" s="468"/>
      <c r="AC4" s="468"/>
      <c r="AD4" s="468"/>
      <c r="AE4" s="468"/>
      <c r="AF4" s="468"/>
      <c r="AG4" s="468"/>
      <c r="AH4" s="468"/>
      <c r="AI4" s="468"/>
      <c r="AJ4" s="468"/>
      <c r="AK4" s="468"/>
      <c r="AL4" s="310"/>
      <c r="AM4" s="310"/>
      <c r="AN4" s="310"/>
      <c r="AO4" s="310"/>
      <c r="AP4" s="310"/>
      <c r="AQ4" s="310"/>
      <c r="AR4" s="310"/>
      <c r="AS4" s="310"/>
      <c r="AT4" s="310"/>
      <c r="AU4" s="310"/>
      <c r="AV4" s="310"/>
      <c r="AW4" s="310"/>
      <c r="AX4" s="310"/>
      <c r="AY4" s="310"/>
      <c r="AZ4" s="310"/>
      <c r="BA4" s="310"/>
      <c r="BB4" s="310"/>
      <c r="BC4" s="310"/>
      <c r="BD4" s="310"/>
      <c r="BE4" s="310"/>
      <c r="BF4" s="310"/>
      <c r="BG4" s="310"/>
      <c r="BH4" s="310"/>
      <c r="BI4" s="310"/>
      <c r="BJ4" s="310"/>
      <c r="BK4" s="310"/>
      <c r="BL4" s="310"/>
      <c r="BM4" s="310"/>
      <c r="BN4" s="310"/>
    </row>
    <row r="5" spans="1:66" ht="72" customHeight="1">
      <c r="A5" s="2487"/>
      <c r="B5" s="4321" t="s">
        <v>75</v>
      </c>
      <c r="C5" s="4323" t="s">
        <v>71</v>
      </c>
      <c r="D5" s="4325" t="s">
        <v>72</v>
      </c>
      <c r="E5" s="1385" t="s">
        <v>229</v>
      </c>
      <c r="F5" s="3602" t="s">
        <v>436</v>
      </c>
      <c r="G5" s="3791" t="s">
        <v>392</v>
      </c>
      <c r="H5" s="3792"/>
      <c r="I5" s="3792"/>
      <c r="J5" s="3792"/>
      <c r="K5" s="3792"/>
      <c r="L5" s="3793"/>
      <c r="M5" s="4263" t="s">
        <v>406</v>
      </c>
      <c r="N5" s="4263" t="s">
        <v>393</v>
      </c>
      <c r="O5" s="4173" t="s">
        <v>73</v>
      </c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310"/>
      <c r="AG5" s="310"/>
      <c r="AH5" s="310"/>
      <c r="AI5" s="310"/>
      <c r="AJ5" s="310"/>
      <c r="AK5" s="310"/>
      <c r="AL5" s="310"/>
      <c r="AM5" s="310"/>
      <c r="AN5" s="310"/>
      <c r="AO5" s="310"/>
      <c r="AP5" s="310"/>
      <c r="AQ5" s="310"/>
      <c r="AR5" s="310"/>
      <c r="AS5" s="310"/>
      <c r="AT5" s="310"/>
      <c r="AU5" s="310"/>
      <c r="AV5" s="310"/>
      <c r="AW5" s="310"/>
      <c r="AX5" s="310"/>
      <c r="AY5" s="310"/>
      <c r="AZ5" s="310"/>
      <c r="BA5" s="310"/>
      <c r="BB5" s="310"/>
      <c r="BC5" s="310"/>
      <c r="BD5" s="310"/>
      <c r="BE5" s="310"/>
      <c r="BF5" s="310"/>
      <c r="BG5" s="310"/>
      <c r="BH5" s="310"/>
      <c r="BI5" s="310"/>
      <c r="BJ5" s="310"/>
      <c r="BK5" s="310"/>
      <c r="BL5" s="310"/>
      <c r="BM5" s="310"/>
      <c r="BN5" s="310"/>
    </row>
    <row r="6" spans="1:66" ht="21" customHeight="1">
      <c r="A6" s="2488"/>
      <c r="B6" s="4322"/>
      <c r="C6" s="4324"/>
      <c r="D6" s="4326"/>
      <c r="E6" s="1387" t="s">
        <v>381</v>
      </c>
      <c r="F6" s="4332"/>
      <c r="G6" s="3093" t="s">
        <v>6</v>
      </c>
      <c r="H6" s="1523" t="s">
        <v>179</v>
      </c>
      <c r="I6" s="1523" t="s">
        <v>180</v>
      </c>
      <c r="J6" s="1523" t="s">
        <v>222</v>
      </c>
      <c r="K6" s="1523" t="s">
        <v>223</v>
      </c>
      <c r="L6" s="1523" t="s">
        <v>224</v>
      </c>
      <c r="M6" s="4328"/>
      <c r="N6" s="4328"/>
      <c r="O6" s="4327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310"/>
      <c r="AF6" s="310"/>
      <c r="AG6" s="310"/>
      <c r="AH6" s="310"/>
      <c r="AI6" s="310"/>
      <c r="AJ6" s="310"/>
      <c r="AK6" s="310"/>
      <c r="AL6" s="310"/>
      <c r="AM6" s="310"/>
      <c r="AN6" s="310"/>
      <c r="AO6" s="310"/>
      <c r="AP6" s="310"/>
      <c r="AQ6" s="310"/>
      <c r="AR6" s="310"/>
      <c r="AS6" s="310"/>
      <c r="AT6" s="310"/>
      <c r="AU6" s="310"/>
      <c r="AV6" s="310"/>
      <c r="AW6" s="310"/>
      <c r="AX6" s="310"/>
      <c r="AY6" s="310"/>
      <c r="AZ6" s="310"/>
      <c r="BA6" s="310"/>
      <c r="BB6" s="310"/>
      <c r="BC6" s="310"/>
      <c r="BD6" s="310"/>
      <c r="BE6" s="310"/>
      <c r="BF6" s="310"/>
      <c r="BG6" s="310"/>
      <c r="BH6" s="310"/>
      <c r="BI6" s="310"/>
      <c r="BJ6" s="310"/>
      <c r="BK6" s="310"/>
      <c r="BL6" s="310"/>
      <c r="BM6" s="310"/>
      <c r="BN6" s="310"/>
    </row>
    <row r="7" spans="1:66" ht="11.25">
      <c r="A7" s="2489">
        <v>1</v>
      </c>
      <c r="B7" s="2490">
        <v>2</v>
      </c>
      <c r="C7" s="2491" t="s">
        <v>118</v>
      </c>
      <c r="D7" s="2491" t="s">
        <v>119</v>
      </c>
      <c r="E7" s="2491">
        <v>5</v>
      </c>
      <c r="F7" s="1405">
        <v>6</v>
      </c>
      <c r="G7" s="1405">
        <v>7</v>
      </c>
      <c r="H7" s="1405">
        <v>8</v>
      </c>
      <c r="I7" s="1405">
        <v>9</v>
      </c>
      <c r="J7" s="1405">
        <v>10</v>
      </c>
      <c r="K7" s="1405">
        <v>11</v>
      </c>
      <c r="L7" s="1405">
        <v>12</v>
      </c>
      <c r="M7" s="2492">
        <v>13</v>
      </c>
      <c r="N7" s="2492">
        <v>13</v>
      </c>
      <c r="O7" s="2493">
        <v>14</v>
      </c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0"/>
      <c r="AD7" s="310"/>
      <c r="AE7" s="310"/>
      <c r="AF7" s="310"/>
      <c r="AG7" s="310"/>
      <c r="AH7" s="310"/>
      <c r="AI7" s="310"/>
      <c r="AJ7" s="310"/>
      <c r="AK7" s="310"/>
      <c r="AL7" s="310"/>
      <c r="AM7" s="310"/>
      <c r="AN7" s="310"/>
      <c r="AO7" s="310"/>
      <c r="AP7" s="310"/>
      <c r="AQ7" s="310"/>
      <c r="AR7" s="310"/>
      <c r="AS7" s="310"/>
      <c r="AT7" s="310"/>
      <c r="AU7" s="310"/>
      <c r="AV7" s="310"/>
      <c r="AW7" s="310"/>
      <c r="AX7" s="310"/>
      <c r="AY7" s="310"/>
      <c r="AZ7" s="310"/>
      <c r="BA7" s="310"/>
      <c r="BB7" s="310"/>
      <c r="BC7" s="310"/>
      <c r="BD7" s="310"/>
      <c r="BE7" s="310"/>
      <c r="BF7" s="310"/>
      <c r="BG7" s="310"/>
      <c r="BH7" s="310"/>
      <c r="BI7" s="310"/>
      <c r="BJ7" s="310"/>
      <c r="BK7" s="310"/>
      <c r="BL7" s="310"/>
      <c r="BM7" s="310"/>
      <c r="BN7" s="310"/>
    </row>
    <row r="8" spans="1:66" s="1508" customFormat="1" ht="16.5" customHeight="1">
      <c r="A8" s="1203"/>
      <c r="B8" s="621" t="s">
        <v>76</v>
      </c>
      <c r="C8" s="216"/>
      <c r="D8" s="217">
        <f>+D9+D10</f>
        <v>43479650</v>
      </c>
      <c r="E8" s="217">
        <f t="shared" ref="E8:L8" si="0">+E9+E10</f>
        <v>7493703</v>
      </c>
      <c r="F8" s="217">
        <f t="shared" si="0"/>
        <v>4882915</v>
      </c>
      <c r="G8" s="217">
        <f t="shared" si="0"/>
        <v>7310610</v>
      </c>
      <c r="H8" s="217">
        <f t="shared" si="0"/>
        <v>8678868</v>
      </c>
      <c r="I8" s="217">
        <f t="shared" si="0"/>
        <v>8129761</v>
      </c>
      <c r="J8" s="217">
        <f t="shared" si="0"/>
        <v>2668770</v>
      </c>
      <c r="K8" s="217">
        <f t="shared" si="0"/>
        <v>2602467</v>
      </c>
      <c r="L8" s="217">
        <f t="shared" si="0"/>
        <v>1712556</v>
      </c>
      <c r="M8" s="146">
        <f t="shared" ref="M8" si="1">+M9+M10</f>
        <v>35985947</v>
      </c>
      <c r="N8" s="146">
        <f t="shared" ref="N8" si="2">+N9+N10</f>
        <v>31103032</v>
      </c>
      <c r="O8" s="17"/>
      <c r="P8" s="2908">
        <f>+F8+G8+H8+I8+J8+K8+L8</f>
        <v>35985947</v>
      </c>
      <c r="Q8" s="2907"/>
    </row>
    <row r="9" spans="1:66" s="1508" customFormat="1" ht="13.5" customHeight="1">
      <c r="A9" s="625"/>
      <c r="B9" s="621" t="s">
        <v>77</v>
      </c>
      <c r="C9" s="216"/>
      <c r="D9" s="217">
        <f t="shared" ref="D9:L9" si="3">+D44+D78+D87+D58+D96</f>
        <v>42463630</v>
      </c>
      <c r="E9" s="217">
        <f t="shared" si="3"/>
        <v>7444603</v>
      </c>
      <c r="F9" s="217">
        <f t="shared" si="3"/>
        <v>4882915</v>
      </c>
      <c r="G9" s="217">
        <f t="shared" si="3"/>
        <v>7087080</v>
      </c>
      <c r="H9" s="217">
        <f t="shared" si="3"/>
        <v>8113878</v>
      </c>
      <c r="I9" s="217">
        <f t="shared" si="3"/>
        <v>7951361</v>
      </c>
      <c r="J9" s="217">
        <f t="shared" si="3"/>
        <v>2668770</v>
      </c>
      <c r="K9" s="217">
        <f t="shared" si="3"/>
        <v>2602467</v>
      </c>
      <c r="L9" s="217">
        <f t="shared" si="3"/>
        <v>1712556</v>
      </c>
      <c r="M9" s="146">
        <f>SUM(F9:L9)</f>
        <v>35019027</v>
      </c>
      <c r="N9" s="146">
        <f>SUM(G9:L9)</f>
        <v>30136112</v>
      </c>
      <c r="O9" s="17"/>
      <c r="P9" s="2908"/>
      <c r="Q9" s="2907"/>
    </row>
    <row r="10" spans="1:66" s="1508" customFormat="1" ht="13.5" customHeight="1" thickBot="1">
      <c r="A10" s="625"/>
      <c r="B10" s="221" t="s">
        <v>9</v>
      </c>
      <c r="C10" s="577"/>
      <c r="D10" s="219">
        <f t="shared" ref="D10:L10" si="4">+D33+D69</f>
        <v>1016020</v>
      </c>
      <c r="E10" s="219">
        <f t="shared" si="4"/>
        <v>49100</v>
      </c>
      <c r="F10" s="219">
        <f t="shared" si="4"/>
        <v>0</v>
      </c>
      <c r="G10" s="219">
        <f t="shared" si="4"/>
        <v>223530</v>
      </c>
      <c r="H10" s="219">
        <f t="shared" si="4"/>
        <v>564990</v>
      </c>
      <c r="I10" s="219">
        <f t="shared" si="4"/>
        <v>178400</v>
      </c>
      <c r="J10" s="219">
        <f t="shared" si="4"/>
        <v>0</v>
      </c>
      <c r="K10" s="219">
        <f t="shared" si="4"/>
        <v>0</v>
      </c>
      <c r="L10" s="219">
        <f t="shared" si="4"/>
        <v>0</v>
      </c>
      <c r="M10" s="1772">
        <f>SUM(F10:L10)</f>
        <v>966920</v>
      </c>
      <c r="N10" s="148">
        <f>SUM(G10:L10)</f>
        <v>966920</v>
      </c>
      <c r="O10" s="1207"/>
      <c r="P10" s="2907"/>
      <c r="Q10" s="2907"/>
    </row>
    <row r="11" spans="1:66" s="1255" customFormat="1" ht="14.25" customHeight="1">
      <c r="A11" s="2494"/>
      <c r="B11" s="80" t="s">
        <v>10</v>
      </c>
      <c r="C11" s="184"/>
      <c r="D11" s="98">
        <f t="shared" ref="D11:L11" si="5">+D12+D16</f>
        <v>43479650</v>
      </c>
      <c r="E11" s="98">
        <f t="shared" si="5"/>
        <v>7493703</v>
      </c>
      <c r="F11" s="98">
        <f t="shared" si="5"/>
        <v>4882915</v>
      </c>
      <c r="G11" s="98">
        <f t="shared" si="5"/>
        <v>7310610</v>
      </c>
      <c r="H11" s="98">
        <f t="shared" si="5"/>
        <v>8678868</v>
      </c>
      <c r="I11" s="98">
        <f t="shared" si="5"/>
        <v>8129761</v>
      </c>
      <c r="J11" s="98">
        <f t="shared" si="5"/>
        <v>2668770</v>
      </c>
      <c r="K11" s="98">
        <f t="shared" si="5"/>
        <v>2602467</v>
      </c>
      <c r="L11" s="98">
        <f t="shared" si="5"/>
        <v>1712556</v>
      </c>
      <c r="M11" s="1252">
        <f>+M12+M16</f>
        <v>27727926</v>
      </c>
      <c r="N11" s="1252">
        <f>+N12+N16</f>
        <v>24015233</v>
      </c>
      <c r="O11" s="3045"/>
      <c r="P11" s="1253"/>
      <c r="Q11" s="721"/>
      <c r="R11" s="1254"/>
      <c r="S11" s="1254"/>
      <c r="T11" s="1254"/>
      <c r="U11" s="1254"/>
      <c r="V11" s="1254"/>
      <c r="W11" s="1254"/>
      <c r="X11" s="1254"/>
      <c r="Y11" s="1254"/>
      <c r="Z11" s="1254"/>
      <c r="AA11" s="1254"/>
      <c r="AB11" s="1254"/>
      <c r="AC11" s="1254"/>
      <c r="AD11" s="1254"/>
      <c r="AE11" s="1254"/>
      <c r="AF11" s="1254"/>
      <c r="AG11" s="1254"/>
      <c r="AH11" s="1254"/>
      <c r="AI11" s="1254"/>
      <c r="AJ11" s="1254"/>
      <c r="AK11" s="1254"/>
      <c r="AL11" s="1254"/>
      <c r="AM11" s="1254"/>
      <c r="AN11" s="1254"/>
      <c r="AO11" s="1254"/>
      <c r="AP11" s="1254"/>
      <c r="AQ11" s="1254"/>
      <c r="AR11" s="1254"/>
      <c r="AS11" s="1254"/>
      <c r="AT11" s="1254"/>
      <c r="AU11" s="1254"/>
      <c r="AV11" s="1254"/>
      <c r="AW11" s="1254"/>
      <c r="AX11" s="1254"/>
      <c r="AY11" s="1254"/>
      <c r="AZ11" s="1254"/>
      <c r="BA11" s="1254"/>
      <c r="BB11" s="1254"/>
      <c r="BC11" s="1254"/>
      <c r="BD11" s="1254"/>
      <c r="BE11" s="1254"/>
      <c r="BF11" s="1254"/>
      <c r="BG11" s="1254"/>
      <c r="BH11" s="1254"/>
      <c r="BI11" s="1254"/>
      <c r="BJ11" s="1254"/>
      <c r="BK11" s="1254"/>
      <c r="BL11" s="1254"/>
      <c r="BM11" s="1254"/>
      <c r="BN11" s="1254"/>
    </row>
    <row r="12" spans="1:66" s="1257" customFormat="1" ht="14.25" customHeight="1">
      <c r="A12" s="1205"/>
      <c r="B12" s="2414" t="s">
        <v>11</v>
      </c>
      <c r="C12" s="1256"/>
      <c r="D12" s="2415">
        <f t="shared" ref="D12:N12" si="6">SUM(D13:D15)</f>
        <v>14131859</v>
      </c>
      <c r="E12" s="2415">
        <f t="shared" si="6"/>
        <v>2568301</v>
      </c>
      <c r="F12" s="2415">
        <f t="shared" si="6"/>
        <v>1642862</v>
      </c>
      <c r="G12" s="2415">
        <f t="shared" si="6"/>
        <v>2411592</v>
      </c>
      <c r="H12" s="2415">
        <f t="shared" si="6"/>
        <v>2810831</v>
      </c>
      <c r="I12" s="2415">
        <f t="shared" si="6"/>
        <v>2561464</v>
      </c>
      <c r="J12" s="2415">
        <f t="shared" si="6"/>
        <v>808164</v>
      </c>
      <c r="K12" s="2415">
        <f t="shared" si="6"/>
        <v>739309</v>
      </c>
      <c r="L12" s="2415">
        <f t="shared" si="6"/>
        <v>589336</v>
      </c>
      <c r="M12" s="2495">
        <f t="shared" si="6"/>
        <v>9875654</v>
      </c>
      <c r="N12" s="2495">
        <f t="shared" si="6"/>
        <v>8525347</v>
      </c>
      <c r="O12" s="3060"/>
      <c r="P12" s="3345"/>
      <c r="Q12" s="2907"/>
    </row>
    <row r="13" spans="1:66" s="1257" customFormat="1" ht="14.25" customHeight="1">
      <c r="A13" s="1204"/>
      <c r="B13" s="2418" t="s">
        <v>12</v>
      </c>
      <c r="C13" s="1258"/>
      <c r="D13" s="2417">
        <f t="shared" ref="D13:L13" si="7">+D46+D71+D80+D89+D98</f>
        <v>740904</v>
      </c>
      <c r="E13" s="2417">
        <f t="shared" si="7"/>
        <v>29465</v>
      </c>
      <c r="F13" s="2417">
        <f t="shared" si="7"/>
        <v>0</v>
      </c>
      <c r="G13" s="2417">
        <f t="shared" si="7"/>
        <v>61592</v>
      </c>
      <c r="H13" s="2417">
        <f>+H46+H71+H80+H89+H98</f>
        <v>146831</v>
      </c>
      <c r="I13" s="2417">
        <f t="shared" si="7"/>
        <v>229464</v>
      </c>
      <c r="J13" s="2417">
        <f t="shared" si="7"/>
        <v>110329</v>
      </c>
      <c r="K13" s="2417">
        <f t="shared" si="7"/>
        <v>141733</v>
      </c>
      <c r="L13" s="2417">
        <f t="shared" si="7"/>
        <v>21490</v>
      </c>
      <c r="M13" s="2496">
        <f t="shared" ref="M13:N13" si="8">+M46+M71+M80</f>
        <v>146536</v>
      </c>
      <c r="N13" s="2496">
        <f t="shared" si="8"/>
        <v>146536</v>
      </c>
      <c r="O13" s="3060"/>
      <c r="P13" s="1259"/>
      <c r="Q13" s="3346"/>
    </row>
    <row r="14" spans="1:66" s="1257" customFormat="1" ht="13.5" customHeight="1" outlineLevel="1">
      <c r="A14" s="1204"/>
      <c r="B14" s="2416" t="s">
        <v>13</v>
      </c>
      <c r="C14" s="1258"/>
      <c r="D14" s="2417">
        <f>+D47+D60</f>
        <v>13390955</v>
      </c>
      <c r="E14" s="2417">
        <f t="shared" ref="E14:L14" si="9">+E47+E60</f>
        <v>2538836</v>
      </c>
      <c r="F14" s="2417">
        <f t="shared" si="9"/>
        <v>1642862</v>
      </c>
      <c r="G14" s="2417">
        <f t="shared" si="9"/>
        <v>2350000</v>
      </c>
      <c r="H14" s="2417">
        <f t="shared" si="9"/>
        <v>2664000</v>
      </c>
      <c r="I14" s="2417">
        <f t="shared" si="9"/>
        <v>2332000</v>
      </c>
      <c r="J14" s="2417">
        <f t="shared" si="9"/>
        <v>697835</v>
      </c>
      <c r="K14" s="2417">
        <f t="shared" si="9"/>
        <v>597576</v>
      </c>
      <c r="L14" s="2417">
        <f t="shared" si="9"/>
        <v>567846</v>
      </c>
      <c r="M14" s="2496">
        <f>+M47</f>
        <v>9729118</v>
      </c>
      <c r="N14" s="2496">
        <f>+N47</f>
        <v>8378811</v>
      </c>
      <c r="O14" s="3060"/>
      <c r="P14" s="1259">
        <f>D14-D23</f>
        <v>0</v>
      </c>
      <c r="Q14" s="3346"/>
    </row>
    <row r="15" spans="1:66" s="1257" customFormat="1" ht="14.25" hidden="1" customHeight="1" outlineLevel="1">
      <c r="A15" s="1204"/>
      <c r="B15" s="2418" t="s">
        <v>16</v>
      </c>
      <c r="C15" s="1820"/>
      <c r="D15" s="2417">
        <f>+D35</f>
        <v>0</v>
      </c>
      <c r="E15" s="2417">
        <f t="shared" ref="E15:L15" si="10">+E35</f>
        <v>0</v>
      </c>
      <c r="F15" s="2417">
        <f t="shared" si="10"/>
        <v>0</v>
      </c>
      <c r="G15" s="2417">
        <f t="shared" si="10"/>
        <v>0</v>
      </c>
      <c r="H15" s="2417">
        <f t="shared" si="10"/>
        <v>0</v>
      </c>
      <c r="I15" s="2417">
        <f t="shared" si="10"/>
        <v>0</v>
      </c>
      <c r="J15" s="2417">
        <f t="shared" si="10"/>
        <v>0</v>
      </c>
      <c r="K15" s="2417">
        <f t="shared" si="10"/>
        <v>0</v>
      </c>
      <c r="L15" s="2417">
        <f t="shared" si="10"/>
        <v>0</v>
      </c>
      <c r="M15" s="2496">
        <f>+M35</f>
        <v>0</v>
      </c>
      <c r="N15" s="2496">
        <f>+N35</f>
        <v>0</v>
      </c>
      <c r="O15" s="3060"/>
      <c r="P15" s="1259">
        <f>D15-D25</f>
        <v>0</v>
      </c>
      <c r="Q15" s="3346"/>
    </row>
    <row r="16" spans="1:66" s="1257" customFormat="1" ht="14.25" customHeight="1" outlineLevel="1">
      <c r="A16" s="1205"/>
      <c r="B16" s="1260" t="s">
        <v>18</v>
      </c>
      <c r="C16" s="1261"/>
      <c r="D16" s="1262">
        <f>+D18+D19+D20+D17</f>
        <v>29347791</v>
      </c>
      <c r="E16" s="1262">
        <f t="shared" ref="E16:L16" si="11">+E18+E19+E20+E17</f>
        <v>4925402</v>
      </c>
      <c r="F16" s="1262">
        <f t="shared" si="11"/>
        <v>3240053</v>
      </c>
      <c r="G16" s="1262">
        <f t="shared" si="11"/>
        <v>4899018</v>
      </c>
      <c r="H16" s="1262">
        <f t="shared" si="11"/>
        <v>5868037</v>
      </c>
      <c r="I16" s="1262">
        <f t="shared" si="11"/>
        <v>5568297</v>
      </c>
      <c r="J16" s="1262">
        <f t="shared" si="11"/>
        <v>1860606</v>
      </c>
      <c r="K16" s="1262">
        <f t="shared" si="11"/>
        <v>1863158</v>
      </c>
      <c r="L16" s="1262">
        <f t="shared" si="11"/>
        <v>1123220</v>
      </c>
      <c r="M16" s="1263">
        <f>+M18+M19+M20+M17</f>
        <v>17852272</v>
      </c>
      <c r="N16" s="1263">
        <f>+N18+N19+N20+N17</f>
        <v>15489886</v>
      </c>
      <c r="O16" s="3060"/>
      <c r="P16" s="3346">
        <f>D18-D29</f>
        <v>0</v>
      </c>
      <c r="Q16" s="3346"/>
    </row>
    <row r="17" spans="1:17" s="1257" customFormat="1" ht="14.25" hidden="1" customHeight="1" outlineLevel="1">
      <c r="A17" s="1205"/>
      <c r="B17" s="2418" t="s">
        <v>12</v>
      </c>
      <c r="C17" s="1256"/>
      <c r="D17" s="2417"/>
      <c r="E17" s="2417"/>
      <c r="F17" s="2417"/>
      <c r="G17" s="2417"/>
      <c r="H17" s="2417"/>
      <c r="I17" s="2417"/>
      <c r="J17" s="2417"/>
      <c r="K17" s="2417"/>
      <c r="L17" s="2417"/>
      <c r="M17" s="2496"/>
      <c r="N17" s="2496"/>
      <c r="O17" s="3060"/>
      <c r="P17" s="3346"/>
      <c r="Q17" s="3346"/>
    </row>
    <row r="18" spans="1:17" s="1257" customFormat="1" ht="14.25" customHeight="1" outlineLevel="1">
      <c r="A18" s="1205"/>
      <c r="B18" s="2416" t="s">
        <v>21</v>
      </c>
      <c r="C18" s="1258"/>
      <c r="D18" s="2417">
        <f t="shared" ref="D18:L18" si="12">+D49+D73+D82+D62+D91+D100</f>
        <v>29347791</v>
      </c>
      <c r="E18" s="2417">
        <f t="shared" si="12"/>
        <v>4925402</v>
      </c>
      <c r="F18" s="2417">
        <f t="shared" si="12"/>
        <v>3240053</v>
      </c>
      <c r="G18" s="2417">
        <f t="shared" si="12"/>
        <v>4899018</v>
      </c>
      <c r="H18" s="2417">
        <f t="shared" si="12"/>
        <v>5868037</v>
      </c>
      <c r="I18" s="2417">
        <f t="shared" si="12"/>
        <v>5568297</v>
      </c>
      <c r="J18" s="2417">
        <f t="shared" si="12"/>
        <v>1860606</v>
      </c>
      <c r="K18" s="2417">
        <f t="shared" si="12"/>
        <v>1863158</v>
      </c>
      <c r="L18" s="2417">
        <f t="shared" si="12"/>
        <v>1123220</v>
      </c>
      <c r="M18" s="2496">
        <f>+M49+M73+M82</f>
        <v>17852272</v>
      </c>
      <c r="N18" s="2496">
        <f>+N49+N73+N82</f>
        <v>15489886</v>
      </c>
      <c r="O18" s="3060"/>
      <c r="P18" s="1259"/>
      <c r="Q18" s="3346"/>
    </row>
    <row r="19" spans="1:17" s="1257" customFormat="1" ht="14.25" hidden="1" customHeight="1" outlineLevel="1">
      <c r="A19" s="1205"/>
      <c r="B19" s="2418" t="s">
        <v>14</v>
      </c>
      <c r="C19" s="1264"/>
      <c r="D19" s="2417"/>
      <c r="E19" s="2417"/>
      <c r="F19" s="2417"/>
      <c r="G19" s="2417"/>
      <c r="H19" s="2417"/>
      <c r="I19" s="2417"/>
      <c r="J19" s="2417"/>
      <c r="K19" s="2417"/>
      <c r="L19" s="2417"/>
      <c r="M19" s="2496"/>
      <c r="N19" s="2496"/>
      <c r="O19" s="3060"/>
      <c r="P19" s="1259"/>
      <c r="Q19" s="3346"/>
    </row>
    <row r="20" spans="1:17" s="1257" customFormat="1" ht="14.25" hidden="1" customHeight="1" outlineLevel="1">
      <c r="A20" s="1205"/>
      <c r="B20" s="2416" t="s">
        <v>20</v>
      </c>
      <c r="C20" s="1264"/>
      <c r="D20" s="2417">
        <f>+D37</f>
        <v>0</v>
      </c>
      <c r="E20" s="2417">
        <f t="shared" ref="E20:L20" si="13">+E37</f>
        <v>0</v>
      </c>
      <c r="F20" s="2417">
        <f t="shared" si="13"/>
        <v>0</v>
      </c>
      <c r="G20" s="2417">
        <f t="shared" si="13"/>
        <v>0</v>
      </c>
      <c r="H20" s="2417">
        <f t="shared" si="13"/>
        <v>0</v>
      </c>
      <c r="I20" s="2417">
        <f t="shared" si="13"/>
        <v>0</v>
      </c>
      <c r="J20" s="2417">
        <f t="shared" si="13"/>
        <v>0</v>
      </c>
      <c r="K20" s="2417">
        <f t="shared" si="13"/>
        <v>0</v>
      </c>
      <c r="L20" s="2417">
        <f t="shared" si="13"/>
        <v>0</v>
      </c>
      <c r="M20" s="2496">
        <f>+M37</f>
        <v>0</v>
      </c>
      <c r="N20" s="2496">
        <f>+N37</f>
        <v>0</v>
      </c>
      <c r="O20" s="3061"/>
      <c r="P20" s="1259"/>
      <c r="Q20" s="3346"/>
    </row>
    <row r="21" spans="1:17" s="1257" customFormat="1" ht="14.25" customHeight="1" outlineLevel="1">
      <c r="A21" s="625"/>
      <c r="B21" s="80" t="s">
        <v>22</v>
      </c>
      <c r="C21" s="88"/>
      <c r="D21" s="1265">
        <f>+D22+D28</f>
        <v>42738746</v>
      </c>
      <c r="E21" s="1265">
        <f t="shared" ref="E21:L21" si="14">+E22+E28</f>
        <v>7444603</v>
      </c>
      <c r="F21" s="1265">
        <f t="shared" si="14"/>
        <v>4882915</v>
      </c>
      <c r="G21" s="1265">
        <f t="shared" si="14"/>
        <v>7268653</v>
      </c>
      <c r="H21" s="1265">
        <f t="shared" si="14"/>
        <v>8532037</v>
      </c>
      <c r="I21" s="1265">
        <f t="shared" si="14"/>
        <v>7900297</v>
      </c>
      <c r="J21" s="1265">
        <f t="shared" si="14"/>
        <v>2558441</v>
      </c>
      <c r="K21" s="1265">
        <f t="shared" si="14"/>
        <v>2460734</v>
      </c>
      <c r="L21" s="1265">
        <f t="shared" si="14"/>
        <v>1691066</v>
      </c>
      <c r="M21" s="4329" t="s">
        <v>61</v>
      </c>
      <c r="N21" s="4329" t="s">
        <v>61</v>
      </c>
      <c r="O21" s="2497"/>
      <c r="P21" s="3346">
        <f>D31-D20-D17</f>
        <v>0</v>
      </c>
      <c r="Q21" s="3345"/>
    </row>
    <row r="22" spans="1:17" s="1257" customFormat="1" ht="14.25" customHeight="1" outlineLevel="1">
      <c r="A22" s="1205"/>
      <c r="B22" s="2414" t="s">
        <v>11</v>
      </c>
      <c r="C22" s="1256"/>
      <c r="D22" s="2415">
        <f t="shared" ref="D22:L22" si="15">SUM(D23:D27)</f>
        <v>13390955</v>
      </c>
      <c r="E22" s="2415">
        <f t="shared" si="15"/>
        <v>2538836</v>
      </c>
      <c r="F22" s="2415">
        <f t="shared" si="15"/>
        <v>1642862</v>
      </c>
      <c r="G22" s="2415">
        <f t="shared" si="15"/>
        <v>2350000</v>
      </c>
      <c r="H22" s="2415">
        <f t="shared" si="15"/>
        <v>2664000</v>
      </c>
      <c r="I22" s="2415">
        <f t="shared" si="15"/>
        <v>2332000</v>
      </c>
      <c r="J22" s="2415">
        <f t="shared" si="15"/>
        <v>697835</v>
      </c>
      <c r="K22" s="2415">
        <f t="shared" si="15"/>
        <v>597576</v>
      </c>
      <c r="L22" s="2415">
        <f t="shared" si="15"/>
        <v>567846</v>
      </c>
      <c r="M22" s="4330"/>
      <c r="N22" s="4330"/>
      <c r="O22" s="3060"/>
      <c r="P22" s="3346"/>
      <c r="Q22" s="3345"/>
    </row>
    <row r="23" spans="1:17" s="1257" customFormat="1" ht="14.25" customHeight="1" outlineLevel="1">
      <c r="A23" s="1204"/>
      <c r="B23" s="2416" t="s">
        <v>13</v>
      </c>
      <c r="C23" s="1820"/>
      <c r="D23" s="2417">
        <f>+D52+D65</f>
        <v>13390955</v>
      </c>
      <c r="E23" s="2417">
        <f t="shared" ref="E23:L23" si="16">+E52+E65</f>
        <v>2538836</v>
      </c>
      <c r="F23" s="2417">
        <f t="shared" si="16"/>
        <v>1642862</v>
      </c>
      <c r="G23" s="2417">
        <f t="shared" si="16"/>
        <v>2350000</v>
      </c>
      <c r="H23" s="2417">
        <f t="shared" si="16"/>
        <v>2664000</v>
      </c>
      <c r="I23" s="2417">
        <f t="shared" si="16"/>
        <v>2332000</v>
      </c>
      <c r="J23" s="2417">
        <f t="shared" si="16"/>
        <v>697835</v>
      </c>
      <c r="K23" s="2417">
        <f t="shared" si="16"/>
        <v>597576</v>
      </c>
      <c r="L23" s="2417">
        <f t="shared" si="16"/>
        <v>567846</v>
      </c>
      <c r="M23" s="4330"/>
      <c r="N23" s="4330"/>
      <c r="O23" s="3060"/>
      <c r="P23" s="3346">
        <f>D23-D14</f>
        <v>0</v>
      </c>
      <c r="Q23" s="3345"/>
    </row>
    <row r="24" spans="1:17" s="1257" customFormat="1" ht="14.25" hidden="1" customHeight="1" outlineLevel="1">
      <c r="A24" s="1204"/>
      <c r="B24" s="2418" t="s">
        <v>14</v>
      </c>
      <c r="C24" s="1258"/>
      <c r="D24" s="2417"/>
      <c r="E24" s="2417"/>
      <c r="F24" s="2417"/>
      <c r="G24" s="2417"/>
      <c r="H24" s="2417"/>
      <c r="I24" s="2417"/>
      <c r="J24" s="2417"/>
      <c r="K24" s="2417"/>
      <c r="L24" s="2417"/>
      <c r="M24" s="4330"/>
      <c r="N24" s="4330"/>
      <c r="O24" s="3060"/>
      <c r="P24" s="3346" t="e">
        <f>D24-#REF!</f>
        <v>#REF!</v>
      </c>
      <c r="Q24" s="3345"/>
    </row>
    <row r="25" spans="1:17" s="1257" customFormat="1" ht="14.25" hidden="1" customHeight="1" outlineLevel="1">
      <c r="A25" s="1204"/>
      <c r="B25" s="2418" t="s">
        <v>62</v>
      </c>
      <c r="C25" s="1258"/>
      <c r="D25" s="2417">
        <f>+D40</f>
        <v>0</v>
      </c>
      <c r="E25" s="2417">
        <f t="shared" ref="E25:L25" si="17">+E40</f>
        <v>0</v>
      </c>
      <c r="F25" s="2417">
        <f t="shared" si="17"/>
        <v>0</v>
      </c>
      <c r="G25" s="2417">
        <f t="shared" si="17"/>
        <v>0</v>
      </c>
      <c r="H25" s="2417">
        <f t="shared" si="17"/>
        <v>0</v>
      </c>
      <c r="I25" s="2417">
        <f t="shared" si="17"/>
        <v>0</v>
      </c>
      <c r="J25" s="2417">
        <f t="shared" si="17"/>
        <v>0</v>
      </c>
      <c r="K25" s="2417">
        <f t="shared" si="17"/>
        <v>0</v>
      </c>
      <c r="L25" s="2417">
        <f t="shared" si="17"/>
        <v>0</v>
      </c>
      <c r="M25" s="4330"/>
      <c r="N25" s="4330"/>
      <c r="O25" s="3060"/>
      <c r="P25" s="3346">
        <f>D25-D15</f>
        <v>0</v>
      </c>
      <c r="Q25" s="3345"/>
    </row>
    <row r="26" spans="1:17" s="1257" customFormat="1" ht="14.25" hidden="1" customHeight="1" outlineLevel="1">
      <c r="A26" s="1204"/>
      <c r="B26" s="2418" t="s">
        <v>25</v>
      </c>
      <c r="C26" s="1258"/>
      <c r="D26" s="2417"/>
      <c r="E26" s="2417"/>
      <c r="F26" s="2417"/>
      <c r="G26" s="2417"/>
      <c r="H26" s="2417"/>
      <c r="I26" s="2417"/>
      <c r="J26" s="2417"/>
      <c r="K26" s="2417"/>
      <c r="L26" s="2417"/>
      <c r="M26" s="4330"/>
      <c r="N26" s="4330"/>
      <c r="O26" s="3060"/>
      <c r="P26" s="3345"/>
      <c r="Q26" s="3345"/>
    </row>
    <row r="27" spans="1:17" s="1257" customFormat="1" ht="12.75" hidden="1" customHeight="1" outlineLevel="1">
      <c r="A27" s="1204"/>
      <c r="B27" s="625" t="s">
        <v>12</v>
      </c>
      <c r="C27" s="1266"/>
      <c r="D27" s="1267"/>
      <c r="E27" s="1267"/>
      <c r="F27" s="1267"/>
      <c r="G27" s="1267"/>
      <c r="H27" s="1267"/>
      <c r="I27" s="1267"/>
      <c r="J27" s="1267"/>
      <c r="K27" s="1267"/>
      <c r="L27" s="1267"/>
      <c r="M27" s="4330"/>
      <c r="N27" s="4330"/>
      <c r="O27" s="3060"/>
      <c r="P27" s="3345"/>
      <c r="Q27" s="3345"/>
    </row>
    <row r="28" spans="1:17" s="1257" customFormat="1" ht="14.25" customHeight="1" outlineLevel="1">
      <c r="A28" s="1205"/>
      <c r="B28" s="1260" t="s">
        <v>18</v>
      </c>
      <c r="C28" s="1268"/>
      <c r="D28" s="1262">
        <f>+D29+D31+D30</f>
        <v>29347791</v>
      </c>
      <c r="E28" s="1262">
        <f t="shared" ref="E28:L28" si="18">+E29+E31+E30</f>
        <v>4905767</v>
      </c>
      <c r="F28" s="1262">
        <f t="shared" si="18"/>
        <v>3240053</v>
      </c>
      <c r="G28" s="1262">
        <f t="shared" si="18"/>
        <v>4918653</v>
      </c>
      <c r="H28" s="1262">
        <f t="shared" si="18"/>
        <v>5868037</v>
      </c>
      <c r="I28" s="1262">
        <f t="shared" si="18"/>
        <v>5568297</v>
      </c>
      <c r="J28" s="1262">
        <f t="shared" si="18"/>
        <v>1860606</v>
      </c>
      <c r="K28" s="1262">
        <f t="shared" si="18"/>
        <v>1863158</v>
      </c>
      <c r="L28" s="1262">
        <f t="shared" si="18"/>
        <v>1123220</v>
      </c>
      <c r="M28" s="4330"/>
      <c r="N28" s="4330"/>
      <c r="O28" s="3060"/>
      <c r="P28" s="3345"/>
      <c r="Q28" s="3345"/>
    </row>
    <row r="29" spans="1:17" s="1257" customFormat="1" ht="14.25" customHeight="1" outlineLevel="1" thickBot="1">
      <c r="A29" s="1204"/>
      <c r="B29" s="2416" t="s">
        <v>21</v>
      </c>
      <c r="C29" s="1269"/>
      <c r="D29" s="2417">
        <f t="shared" ref="D29:L29" si="19">D55+D67+D76+D85+D94+D103</f>
        <v>29347791</v>
      </c>
      <c r="E29" s="2417">
        <f t="shared" si="19"/>
        <v>4905767</v>
      </c>
      <c r="F29" s="2417">
        <f t="shared" si="19"/>
        <v>3240053</v>
      </c>
      <c r="G29" s="2417">
        <f>G55+G67+G76+G85+G94+G103</f>
        <v>4918653</v>
      </c>
      <c r="H29" s="2417">
        <f t="shared" si="19"/>
        <v>5868037</v>
      </c>
      <c r="I29" s="2417">
        <f t="shared" si="19"/>
        <v>5568297</v>
      </c>
      <c r="J29" s="2417">
        <f t="shared" si="19"/>
        <v>1860606</v>
      </c>
      <c r="K29" s="2417">
        <f>K55+K67+K76+K85+K94+K103</f>
        <v>1863158</v>
      </c>
      <c r="L29" s="2417">
        <f t="shared" si="19"/>
        <v>1123220</v>
      </c>
      <c r="M29" s="4330"/>
      <c r="N29" s="4330"/>
      <c r="O29" s="3060"/>
      <c r="P29" s="3346">
        <f>D29-D18</f>
        <v>0</v>
      </c>
      <c r="Q29" s="3345"/>
    </row>
    <row r="30" spans="1:17" s="1257" customFormat="1" ht="14.25" hidden="1" customHeight="1" outlineLevel="1">
      <c r="A30" s="1204"/>
      <c r="B30" s="2418" t="s">
        <v>14</v>
      </c>
      <c r="C30" s="1269"/>
      <c r="D30" s="2417"/>
      <c r="E30" s="2417"/>
      <c r="F30" s="2417"/>
      <c r="G30" s="2417"/>
      <c r="H30" s="2417"/>
      <c r="I30" s="2417"/>
      <c r="J30" s="2417"/>
      <c r="K30" s="2417"/>
      <c r="L30" s="2417"/>
      <c r="M30" s="4330"/>
      <c r="N30" s="4330"/>
      <c r="O30" s="3060"/>
      <c r="P30" s="3346">
        <f>D30-D19</f>
        <v>0</v>
      </c>
      <c r="Q30" s="3346"/>
    </row>
    <row r="31" spans="1:17" s="1257" customFormat="1" ht="14.25" hidden="1" customHeight="1" collapsed="1" thickBot="1">
      <c r="A31" s="1206"/>
      <c r="B31" s="1270" t="s">
        <v>20</v>
      </c>
      <c r="C31" s="2419"/>
      <c r="D31" s="2420">
        <f>+D42</f>
        <v>0</v>
      </c>
      <c r="E31" s="2420">
        <f t="shared" ref="E31:L31" si="20">+E42</f>
        <v>0</v>
      </c>
      <c r="F31" s="2420">
        <f t="shared" si="20"/>
        <v>0</v>
      </c>
      <c r="G31" s="2420">
        <f t="shared" si="20"/>
        <v>0</v>
      </c>
      <c r="H31" s="2420">
        <f t="shared" si="20"/>
        <v>0</v>
      </c>
      <c r="I31" s="2420">
        <f t="shared" si="20"/>
        <v>0</v>
      </c>
      <c r="J31" s="2420">
        <f t="shared" si="20"/>
        <v>0</v>
      </c>
      <c r="K31" s="2420">
        <f t="shared" si="20"/>
        <v>0</v>
      </c>
      <c r="L31" s="2420">
        <f t="shared" si="20"/>
        <v>0</v>
      </c>
      <c r="M31" s="4331"/>
      <c r="N31" s="4331"/>
      <c r="O31" s="3065"/>
      <c r="P31" s="3346">
        <f>D31-D20-D17</f>
        <v>0</v>
      </c>
      <c r="Q31" s="3345"/>
    </row>
    <row r="32" spans="1:17" s="639" customFormat="1" ht="12.75" hidden="1" thickBot="1">
      <c r="A32" s="3625"/>
      <c r="B32" s="2287"/>
      <c r="C32" s="1158" t="s">
        <v>81</v>
      </c>
      <c r="D32" s="1158"/>
      <c r="E32" s="59"/>
      <c r="F32" s="1159"/>
      <c r="G32" s="1159"/>
      <c r="H32" s="1159"/>
      <c r="I32" s="1159"/>
      <c r="J32" s="1159"/>
      <c r="K32" s="1159"/>
      <c r="L32" s="1159"/>
      <c r="M32" s="1160"/>
      <c r="N32" s="1160"/>
      <c r="O32" s="3651" t="s">
        <v>402</v>
      </c>
    </row>
    <row r="33" spans="1:15" s="639" customFormat="1" ht="14.25" hidden="1" customHeight="1">
      <c r="A33" s="3626"/>
      <c r="B33" s="2422" t="s">
        <v>10</v>
      </c>
      <c r="C33" s="2498"/>
      <c r="D33" s="640">
        <f t="shared" ref="D33" si="21">+D34+D36</f>
        <v>0</v>
      </c>
      <c r="E33" s="2499">
        <f t="shared" ref="E33" si="22">+E34+E36</f>
        <v>0</v>
      </c>
      <c r="F33" s="2066">
        <f>+F34+F36</f>
        <v>0</v>
      </c>
      <c r="G33" s="2066">
        <f>+G34+G36</f>
        <v>0</v>
      </c>
      <c r="H33" s="2066">
        <f>+H34+H36</f>
        <v>0</v>
      </c>
      <c r="I33" s="2073"/>
      <c r="J33" s="2073"/>
      <c r="K33" s="2073"/>
      <c r="L33" s="2073"/>
      <c r="M33" s="2500">
        <f>+M34+M36</f>
        <v>0</v>
      </c>
      <c r="N33" s="2500">
        <f>+N34+N36</f>
        <v>0</v>
      </c>
      <c r="O33" s="3652"/>
    </row>
    <row r="34" spans="1:15" s="639" customFormat="1" ht="14.25" hidden="1" customHeight="1">
      <c r="A34" s="3626"/>
      <c r="B34" s="2424" t="s">
        <v>11</v>
      </c>
      <c r="C34" s="4314" t="s">
        <v>165</v>
      </c>
      <c r="D34" s="2425">
        <f>D35</f>
        <v>0</v>
      </c>
      <c r="E34" s="2501">
        <f t="shared" ref="E34" si="23">E35</f>
        <v>0</v>
      </c>
      <c r="F34" s="2050">
        <f>F35</f>
        <v>0</v>
      </c>
      <c r="G34" s="2050">
        <f>G35</f>
        <v>0</v>
      </c>
      <c r="H34" s="2050">
        <f>H35</f>
        <v>0</v>
      </c>
      <c r="I34" s="2425"/>
      <c r="J34" s="2425"/>
      <c r="K34" s="2425"/>
      <c r="L34" s="2425"/>
      <c r="M34" s="2502">
        <f>M35</f>
        <v>0</v>
      </c>
      <c r="N34" s="2502">
        <f>N35</f>
        <v>0</v>
      </c>
      <c r="O34" s="3652"/>
    </row>
    <row r="35" spans="1:15" s="644" customFormat="1" ht="12.75" hidden="1" thickBot="1">
      <c r="A35" s="3626"/>
      <c r="B35" s="2503" t="s">
        <v>62</v>
      </c>
      <c r="C35" s="4315"/>
      <c r="D35" s="839">
        <f>E35+F35+G35+H35+I35+J35+K35+L35</f>
        <v>0</v>
      </c>
      <c r="E35" s="2504"/>
      <c r="F35" s="2505"/>
      <c r="G35" s="2505"/>
      <c r="H35" s="2505"/>
      <c r="I35" s="2428"/>
      <c r="J35" s="2428"/>
      <c r="K35" s="2428"/>
      <c r="L35" s="2428"/>
      <c r="M35" s="2430">
        <f>SUM(F35:K35)</f>
        <v>0</v>
      </c>
      <c r="N35" s="2430">
        <f>SUM(G35:L35)</f>
        <v>0</v>
      </c>
      <c r="O35" s="3652"/>
    </row>
    <row r="36" spans="1:15" s="639" customFormat="1" ht="14.25" hidden="1" customHeight="1">
      <c r="A36" s="3626"/>
      <c r="B36" s="2432" t="s">
        <v>18</v>
      </c>
      <c r="C36" s="4315"/>
      <c r="D36" s="629">
        <f>D37</f>
        <v>0</v>
      </c>
      <c r="E36" s="2506">
        <f t="shared" ref="E36:H36" si="24">E37</f>
        <v>0</v>
      </c>
      <c r="F36" s="2050">
        <f t="shared" si="24"/>
        <v>0</v>
      </c>
      <c r="G36" s="645">
        <f t="shared" si="24"/>
        <v>0</v>
      </c>
      <c r="H36" s="645">
        <f t="shared" si="24"/>
        <v>0</v>
      </c>
      <c r="I36" s="629"/>
      <c r="J36" s="629"/>
      <c r="K36" s="629"/>
      <c r="L36" s="629"/>
      <c r="M36" s="2502">
        <f>M37</f>
        <v>0</v>
      </c>
      <c r="N36" s="2502">
        <f>N37</f>
        <v>0</v>
      </c>
      <c r="O36" s="3652"/>
    </row>
    <row r="37" spans="1:15" s="639" customFormat="1" ht="12.75" hidden="1" thickBot="1">
      <c r="A37" s="3626"/>
      <c r="B37" s="2427" t="s">
        <v>20</v>
      </c>
      <c r="C37" s="4315"/>
      <c r="D37" s="839">
        <f>E37+F37+G37+H37+I37+J37+K37+L37</f>
        <v>0</v>
      </c>
      <c r="E37" s="2504"/>
      <c r="F37" s="2507"/>
      <c r="G37" s="2508"/>
      <c r="H37" s="2508"/>
      <c r="I37" s="2509"/>
      <c r="J37" s="2509"/>
      <c r="K37" s="2509"/>
      <c r="L37" s="2509"/>
      <c r="M37" s="2430">
        <f>SUM(F37:K37)</f>
        <v>0</v>
      </c>
      <c r="N37" s="2430">
        <f>SUM(G37:L37)</f>
        <v>0</v>
      </c>
      <c r="O37" s="3652"/>
    </row>
    <row r="38" spans="1:15" s="646" customFormat="1" ht="14.25" hidden="1" customHeight="1">
      <c r="A38" s="3626"/>
      <c r="B38" s="2422" t="s">
        <v>22</v>
      </c>
      <c r="C38" s="2498"/>
      <c r="D38" s="626">
        <f t="shared" ref="D38" si="25">+D39+D42</f>
        <v>0</v>
      </c>
      <c r="E38" s="2510">
        <f t="shared" ref="E38" si="26">+E39+E42</f>
        <v>0</v>
      </c>
      <c r="F38" s="2066">
        <f>+F39+F42</f>
        <v>0</v>
      </c>
      <c r="G38" s="2066">
        <f>+G39+G42</f>
        <v>0</v>
      </c>
      <c r="H38" s="2073">
        <f>+H39+H42</f>
        <v>0</v>
      </c>
      <c r="I38" s="2073"/>
      <c r="J38" s="2073"/>
      <c r="K38" s="2073"/>
      <c r="L38" s="2073"/>
      <c r="M38" s="4317" t="s">
        <v>61</v>
      </c>
      <c r="N38" s="4317" t="s">
        <v>61</v>
      </c>
      <c r="O38" s="3652"/>
    </row>
    <row r="39" spans="1:15" s="639" customFormat="1" ht="14.25" hidden="1" customHeight="1">
      <c r="A39" s="3626"/>
      <c r="B39" s="2424" t="s">
        <v>11</v>
      </c>
      <c r="C39" s="4314" t="s">
        <v>165</v>
      </c>
      <c r="D39" s="2425">
        <f>D40</f>
        <v>0</v>
      </c>
      <c r="E39" s="2501">
        <f t="shared" ref="E39:H39" si="27">E40</f>
        <v>0</v>
      </c>
      <c r="F39" s="2050">
        <f t="shared" si="27"/>
        <v>0</v>
      </c>
      <c r="G39" s="2050">
        <f t="shared" si="27"/>
        <v>0</v>
      </c>
      <c r="H39" s="2425">
        <f t="shared" si="27"/>
        <v>0</v>
      </c>
      <c r="I39" s="2425"/>
      <c r="J39" s="2425"/>
      <c r="K39" s="2425"/>
      <c r="L39" s="2425"/>
      <c r="M39" s="4317"/>
      <c r="N39" s="4317"/>
      <c r="O39" s="3652"/>
    </row>
    <row r="40" spans="1:15" s="639" customFormat="1" ht="12.75" hidden="1" customHeight="1">
      <c r="A40" s="3626"/>
      <c r="B40" s="2427" t="s">
        <v>16</v>
      </c>
      <c r="C40" s="4315"/>
      <c r="D40" s="839">
        <f>E40+F40+G40+H40+I40+J40+K40+L40</f>
        <v>0</v>
      </c>
      <c r="E40" s="2505"/>
      <c r="F40" s="2505"/>
      <c r="G40" s="2505"/>
      <c r="H40" s="2428"/>
      <c r="I40" s="2428"/>
      <c r="J40" s="2428"/>
      <c r="K40" s="2428"/>
      <c r="L40" s="2428"/>
      <c r="M40" s="4317"/>
      <c r="N40" s="4317"/>
      <c r="O40" s="3652"/>
    </row>
    <row r="41" spans="1:15" s="639" customFormat="1" ht="14.25" hidden="1" customHeight="1">
      <c r="A41" s="3626"/>
      <c r="B41" s="2432" t="s">
        <v>18</v>
      </c>
      <c r="C41" s="4315"/>
      <c r="D41" s="2425">
        <f>D42</f>
        <v>0</v>
      </c>
      <c r="E41" s="2501">
        <f t="shared" ref="E41:H41" si="28">E42</f>
        <v>0</v>
      </c>
      <c r="F41" s="2050">
        <f t="shared" si="28"/>
        <v>0</v>
      </c>
      <c r="G41" s="2050">
        <f t="shared" si="28"/>
        <v>0</v>
      </c>
      <c r="H41" s="2425">
        <f t="shared" si="28"/>
        <v>0</v>
      </c>
      <c r="I41" s="2425"/>
      <c r="J41" s="2425"/>
      <c r="K41" s="2425"/>
      <c r="L41" s="2425"/>
      <c r="M41" s="4317"/>
      <c r="N41" s="4317"/>
      <c r="O41" s="3652"/>
    </row>
    <row r="42" spans="1:15" s="639" customFormat="1" ht="12.75" hidden="1" thickBot="1">
      <c r="A42" s="3836"/>
      <c r="B42" s="79" t="s">
        <v>20</v>
      </c>
      <c r="C42" s="4316"/>
      <c r="D42" s="1766">
        <f>E42+F42+G42+H42+I42+J42+K42+L42</f>
        <v>0</v>
      </c>
      <c r="E42" s="1829"/>
      <c r="F42" s="2511"/>
      <c r="G42" s="2288"/>
      <c r="H42" s="1169"/>
      <c r="I42" s="1169"/>
      <c r="J42" s="1169"/>
      <c r="K42" s="1169"/>
      <c r="L42" s="1169"/>
      <c r="M42" s="4318"/>
      <c r="N42" s="4318"/>
      <c r="O42" s="3741"/>
    </row>
    <row r="43" spans="1:15" ht="18.75" customHeight="1">
      <c r="A43" s="3625" t="s">
        <v>63</v>
      </c>
      <c r="B43" s="2287" t="s">
        <v>513</v>
      </c>
      <c r="C43" s="3184" t="s">
        <v>109</v>
      </c>
      <c r="D43" s="3184"/>
      <c r="E43" s="3184"/>
      <c r="F43" s="3167"/>
      <c r="G43" s="3167"/>
      <c r="H43" s="3167"/>
      <c r="I43" s="3167"/>
      <c r="J43" s="3167"/>
      <c r="K43" s="3167"/>
      <c r="L43" s="58"/>
      <c r="M43" s="2421"/>
      <c r="N43" s="2421"/>
      <c r="O43" s="4333" t="s">
        <v>287</v>
      </c>
    </row>
    <row r="44" spans="1:15" ht="13.5" customHeight="1">
      <c r="A44" s="3626"/>
      <c r="B44" s="2422" t="s">
        <v>10</v>
      </c>
      <c r="C44" s="2343"/>
      <c r="D44" s="626">
        <f t="shared" ref="D44:L44" si="29">+D45+D48</f>
        <v>32711308</v>
      </c>
      <c r="E44" s="626">
        <f t="shared" ref="E44" si="30">+E45+E48</f>
        <v>5960282</v>
      </c>
      <c r="F44" s="2073">
        <f t="shared" si="29"/>
        <v>3712693</v>
      </c>
      <c r="G44" s="2073">
        <f t="shared" si="29"/>
        <v>5500000</v>
      </c>
      <c r="H44" s="2073">
        <f t="shared" si="29"/>
        <v>6500000</v>
      </c>
      <c r="I44" s="2073">
        <f t="shared" si="29"/>
        <v>6000000</v>
      </c>
      <c r="J44" s="2073">
        <f t="shared" si="29"/>
        <v>1883242</v>
      </c>
      <c r="K44" s="2073">
        <f t="shared" si="29"/>
        <v>1607578</v>
      </c>
      <c r="L44" s="2073">
        <f t="shared" si="29"/>
        <v>1547513</v>
      </c>
      <c r="M44" s="2423">
        <f>+M45+M48</f>
        <v>26751026</v>
      </c>
      <c r="N44" s="2423">
        <f>+N45+N48</f>
        <v>23038333</v>
      </c>
      <c r="O44" s="4334"/>
    </row>
    <row r="45" spans="1:15" ht="13.5" customHeight="1">
      <c r="A45" s="3626"/>
      <c r="B45" s="2424" t="s">
        <v>11</v>
      </c>
      <c r="C45" s="4336" t="s">
        <v>166</v>
      </c>
      <c r="D45" s="629">
        <f>+D46+D47</f>
        <v>11896874</v>
      </c>
      <c r="E45" s="629">
        <f t="shared" ref="E45" si="31">+E46+E47</f>
        <v>2167756</v>
      </c>
      <c r="F45" s="2425">
        <f t="shared" ref="F45:L45" si="32">+F46+F47</f>
        <v>1350307</v>
      </c>
      <c r="G45" s="2425">
        <f t="shared" si="32"/>
        <v>2000000</v>
      </c>
      <c r="H45" s="2425">
        <f t="shared" si="32"/>
        <v>2364000</v>
      </c>
      <c r="I45" s="2425">
        <f t="shared" si="32"/>
        <v>2182000</v>
      </c>
      <c r="J45" s="2425">
        <f t="shared" si="32"/>
        <v>685335</v>
      </c>
      <c r="K45" s="2425">
        <f t="shared" si="32"/>
        <v>585076</v>
      </c>
      <c r="L45" s="2425">
        <f t="shared" si="32"/>
        <v>562400</v>
      </c>
      <c r="M45" s="2426">
        <f>SUM(M46:M47)</f>
        <v>9729118</v>
      </c>
      <c r="N45" s="2426">
        <f>SUM(N46:N47)</f>
        <v>8378811</v>
      </c>
      <c r="O45" s="4334"/>
    </row>
    <row r="46" spans="1:15" ht="12.6" hidden="1" customHeight="1">
      <c r="A46" s="3626"/>
      <c r="B46" s="2427" t="s">
        <v>12</v>
      </c>
      <c r="C46" s="4336"/>
      <c r="D46" s="2289">
        <f>E46+F46+G46+H46+I46+J46+K46+L46</f>
        <v>0</v>
      </c>
      <c r="E46" s="2428">
        <v>0</v>
      </c>
      <c r="F46" s="2429">
        <f>450000-450000</f>
        <v>0</v>
      </c>
      <c r="G46" s="2429">
        <f>500000-500000</f>
        <v>0</v>
      </c>
      <c r="H46" s="2429">
        <v>0</v>
      </c>
      <c r="I46" s="2429"/>
      <c r="J46" s="2429"/>
      <c r="K46" s="2429"/>
      <c r="L46" s="2429"/>
      <c r="M46" s="2430">
        <f>SUM(F46:K46)</f>
        <v>0</v>
      </c>
      <c r="N46" s="2430">
        <f>SUM(G46:L46)</f>
        <v>0</v>
      </c>
      <c r="O46" s="4334"/>
    </row>
    <row r="47" spans="1:15" ht="13.5" customHeight="1">
      <c r="A47" s="3626"/>
      <c r="B47" s="2431" t="s">
        <v>204</v>
      </c>
      <c r="C47" s="4336"/>
      <c r="D47" s="2289">
        <f>E47+F47+G47+H47+I47+J47+K47+L47</f>
        <v>11896874</v>
      </c>
      <c r="E47" s="2428">
        <v>2167756</v>
      </c>
      <c r="F47" s="2429">
        <f>2546000-1636750+205354+303396-67693</f>
        <v>1350307</v>
      </c>
      <c r="G47" s="2429">
        <f>2910000-2000750-303396+585470+808676</f>
        <v>2000000</v>
      </c>
      <c r="H47" s="2429">
        <f>909250+1454750</f>
        <v>2364000</v>
      </c>
      <c r="I47" s="2429">
        <f>989414+1192586</f>
        <v>2182000</v>
      </c>
      <c r="J47" s="2429">
        <f>989414-404338+100259</f>
        <v>685335</v>
      </c>
      <c r="K47" s="2429">
        <f>989414-404338</f>
        <v>585076</v>
      </c>
      <c r="L47" s="2429">
        <f>494707+67693</f>
        <v>562400</v>
      </c>
      <c r="M47" s="2430">
        <f>SUM(F47:L47)</f>
        <v>9729118</v>
      </c>
      <c r="N47" s="2430">
        <f>SUM(G47:L47)</f>
        <v>8378811</v>
      </c>
      <c r="O47" s="4334"/>
    </row>
    <row r="48" spans="1:15" ht="13.5" customHeight="1">
      <c r="A48" s="3626"/>
      <c r="B48" s="2432" t="s">
        <v>18</v>
      </c>
      <c r="C48" s="4336"/>
      <c r="D48" s="629">
        <f>+D49</f>
        <v>20814434</v>
      </c>
      <c r="E48" s="629">
        <f t="shared" ref="E48:L48" si="33">+E49</f>
        <v>3792526</v>
      </c>
      <c r="F48" s="629">
        <f t="shared" si="33"/>
        <v>2362386</v>
      </c>
      <c r="G48" s="629">
        <f t="shared" si="33"/>
        <v>3500000</v>
      </c>
      <c r="H48" s="629">
        <f t="shared" si="33"/>
        <v>4136000</v>
      </c>
      <c r="I48" s="629">
        <f t="shared" si="33"/>
        <v>3818000</v>
      </c>
      <c r="J48" s="629">
        <f t="shared" si="33"/>
        <v>1197907</v>
      </c>
      <c r="K48" s="629">
        <f t="shared" si="33"/>
        <v>1022502</v>
      </c>
      <c r="L48" s="629">
        <f t="shared" si="33"/>
        <v>985113</v>
      </c>
      <c r="M48" s="649">
        <f>+M49</f>
        <v>17021908</v>
      </c>
      <c r="N48" s="649">
        <f>+N49</f>
        <v>14659522</v>
      </c>
      <c r="O48" s="4334"/>
    </row>
    <row r="49" spans="1:16" ht="13.5" customHeight="1">
      <c r="A49" s="3626"/>
      <c r="B49" s="2431" t="s">
        <v>300</v>
      </c>
      <c r="C49" s="4336"/>
      <c r="D49" s="2289">
        <f>E49+F49+G49+H49+I49+J49+K49+L49</f>
        <v>20814434</v>
      </c>
      <c r="E49" s="2428">
        <v>3792526</v>
      </c>
      <c r="F49" s="2429">
        <f>4454000-2863250+358256+532994-119614</f>
        <v>2362386</v>
      </c>
      <c r="G49" s="2429">
        <f>5090000-3499250-532994+1025255+1416989</f>
        <v>3500000</v>
      </c>
      <c r="H49" s="2429">
        <f>1590750+2545250</f>
        <v>4136000</v>
      </c>
      <c r="I49" s="2429">
        <f>1730997+2087003</f>
        <v>3818000</v>
      </c>
      <c r="J49" s="2429">
        <f>1730997-708494+175404</f>
        <v>1197907</v>
      </c>
      <c r="K49" s="2429">
        <f>1730997-708495</f>
        <v>1022502</v>
      </c>
      <c r="L49" s="2429">
        <f>865499+119614</f>
        <v>985113</v>
      </c>
      <c r="M49" s="2430">
        <f>SUM(F49:L49)</f>
        <v>17021908</v>
      </c>
      <c r="N49" s="2430">
        <f>SUM(G49:L49)</f>
        <v>14659522</v>
      </c>
      <c r="O49" s="4334"/>
      <c r="P49" s="467">
        <f>D55-D49</f>
        <v>0</v>
      </c>
    </row>
    <row r="50" spans="1:16" s="2546" customFormat="1" ht="14.25" customHeight="1">
      <c r="A50" s="3626"/>
      <c r="B50" s="2422" t="s">
        <v>22</v>
      </c>
      <c r="C50" s="2343"/>
      <c r="D50" s="2073">
        <f>+D51+D54</f>
        <v>32711308</v>
      </c>
      <c r="E50" s="2073">
        <f t="shared" ref="E50" si="34">+E51+E54</f>
        <v>5960282</v>
      </c>
      <c r="F50" s="2073">
        <f t="shared" ref="F50:L50" si="35">+F51+F54</f>
        <v>3712693</v>
      </c>
      <c r="G50" s="2073">
        <f t="shared" si="35"/>
        <v>5500000</v>
      </c>
      <c r="H50" s="2073">
        <f t="shared" si="35"/>
        <v>6500000</v>
      </c>
      <c r="I50" s="2073">
        <f t="shared" si="35"/>
        <v>6000000</v>
      </c>
      <c r="J50" s="2073">
        <f t="shared" si="35"/>
        <v>1883242</v>
      </c>
      <c r="K50" s="2073">
        <f t="shared" si="35"/>
        <v>1607578</v>
      </c>
      <c r="L50" s="2073">
        <f t="shared" si="35"/>
        <v>1547513</v>
      </c>
      <c r="M50" s="4339" t="s">
        <v>61</v>
      </c>
      <c r="N50" s="4339" t="s">
        <v>61</v>
      </c>
      <c r="O50" s="4334"/>
    </row>
    <row r="51" spans="1:16" s="2546" customFormat="1" ht="13.5" customHeight="1">
      <c r="A51" s="3626"/>
      <c r="B51" s="2424" t="s">
        <v>11</v>
      </c>
      <c r="C51" s="4337" t="s">
        <v>166</v>
      </c>
      <c r="D51" s="629">
        <f>+D52</f>
        <v>11896874</v>
      </c>
      <c r="E51" s="629">
        <f t="shared" ref="E51:L51" si="36">+E52</f>
        <v>2167756</v>
      </c>
      <c r="F51" s="2425">
        <f t="shared" si="36"/>
        <v>1350307</v>
      </c>
      <c r="G51" s="2425">
        <f t="shared" si="36"/>
        <v>2000000</v>
      </c>
      <c r="H51" s="2425">
        <f t="shared" si="36"/>
        <v>2364000</v>
      </c>
      <c r="I51" s="2425">
        <f t="shared" si="36"/>
        <v>2182000</v>
      </c>
      <c r="J51" s="2425">
        <f t="shared" si="36"/>
        <v>685335</v>
      </c>
      <c r="K51" s="2425">
        <f t="shared" si="36"/>
        <v>585076</v>
      </c>
      <c r="L51" s="2425">
        <f t="shared" si="36"/>
        <v>562400</v>
      </c>
      <c r="M51" s="4339"/>
      <c r="N51" s="4339"/>
      <c r="O51" s="4334"/>
    </row>
    <row r="52" spans="1:16" s="2546" customFormat="1" ht="12.75" customHeight="1">
      <c r="A52" s="3626"/>
      <c r="B52" s="2431" t="s">
        <v>204</v>
      </c>
      <c r="C52" s="4337"/>
      <c r="D52" s="2289">
        <f>E52+F52+G52+H52+I52+J52+K52+L52</f>
        <v>11896874</v>
      </c>
      <c r="E52" s="2428">
        <v>2167756</v>
      </c>
      <c r="F52" s="2429">
        <f>2546000-1636750+205354+303396-67693</f>
        <v>1350307</v>
      </c>
      <c r="G52" s="2429">
        <f>2910000-2000750-303396+585470+808676</f>
        <v>2000000</v>
      </c>
      <c r="H52" s="2429">
        <f>909250+1454750</f>
        <v>2364000</v>
      </c>
      <c r="I52" s="2429">
        <f>989414+1192586</f>
        <v>2182000</v>
      </c>
      <c r="J52" s="2429">
        <f>989414-404338+100259</f>
        <v>685335</v>
      </c>
      <c r="K52" s="2429">
        <f>989414-404338</f>
        <v>585076</v>
      </c>
      <c r="L52" s="2429">
        <f>494707+67693</f>
        <v>562400</v>
      </c>
      <c r="M52" s="4339"/>
      <c r="N52" s="4339"/>
      <c r="O52" s="4334"/>
    </row>
    <row r="53" spans="1:16" s="2546" customFormat="1" ht="13.5" hidden="1" customHeight="1">
      <c r="A53" s="3626"/>
      <c r="B53" s="2427" t="s">
        <v>25</v>
      </c>
      <c r="C53" s="4337"/>
      <c r="D53" s="2289">
        <f>E53+F53+G53+H53+I53+J53+K53+L53</f>
        <v>0</v>
      </c>
      <c r="E53" s="2428">
        <v>0</v>
      </c>
      <c r="F53" s="2429"/>
      <c r="G53" s="2429"/>
      <c r="H53" s="2429"/>
      <c r="I53" s="2429"/>
      <c r="J53" s="2429"/>
      <c r="K53" s="2429"/>
      <c r="L53" s="2429"/>
      <c r="M53" s="4339"/>
      <c r="N53" s="4339"/>
      <c r="O53" s="4334"/>
    </row>
    <row r="54" spans="1:16" s="2546" customFormat="1" ht="12.75" customHeight="1">
      <c r="A54" s="3626"/>
      <c r="B54" s="2432" t="s">
        <v>18</v>
      </c>
      <c r="C54" s="4337"/>
      <c r="D54" s="629">
        <f>+D55</f>
        <v>20814434</v>
      </c>
      <c r="E54" s="629">
        <f t="shared" ref="E54:L54" si="37">+E55</f>
        <v>3792526</v>
      </c>
      <c r="F54" s="2425">
        <f t="shared" si="37"/>
        <v>2362386</v>
      </c>
      <c r="G54" s="2425">
        <f t="shared" si="37"/>
        <v>3500000</v>
      </c>
      <c r="H54" s="2425">
        <f t="shared" si="37"/>
        <v>4136000</v>
      </c>
      <c r="I54" s="2425">
        <f t="shared" si="37"/>
        <v>3818000</v>
      </c>
      <c r="J54" s="2425">
        <f t="shared" si="37"/>
        <v>1197907</v>
      </c>
      <c r="K54" s="2425">
        <f t="shared" si="37"/>
        <v>1022502</v>
      </c>
      <c r="L54" s="2425">
        <f t="shared" si="37"/>
        <v>985113</v>
      </c>
      <c r="M54" s="4339"/>
      <c r="N54" s="4339"/>
      <c r="O54" s="4334"/>
    </row>
    <row r="55" spans="1:16" s="2546" customFormat="1" ht="12.75" customHeight="1" thickBot="1">
      <c r="A55" s="3836"/>
      <c r="B55" s="2290" t="s">
        <v>300</v>
      </c>
      <c r="C55" s="4338"/>
      <c r="D55" s="2549">
        <f>E55+F55+G55+H55+I55+J55+K55+L55</f>
        <v>20814434</v>
      </c>
      <c r="E55" s="2344">
        <v>3792526</v>
      </c>
      <c r="F55" s="2345">
        <f>4454000-2863250+358256+532994-119614</f>
        <v>2362386</v>
      </c>
      <c r="G55" s="2345">
        <f>5090000-3499250-532994+1025255+1416989</f>
        <v>3500000</v>
      </c>
      <c r="H55" s="2345">
        <f>1590750+2545250</f>
        <v>4136000</v>
      </c>
      <c r="I55" s="2345">
        <f>1730997+2087003</f>
        <v>3818000</v>
      </c>
      <c r="J55" s="2345">
        <f>1730997-708494+175404</f>
        <v>1197907</v>
      </c>
      <c r="K55" s="2345">
        <f>1730997-708495</f>
        <v>1022502</v>
      </c>
      <c r="L55" s="2345">
        <f>865499+119614</f>
        <v>985113</v>
      </c>
      <c r="M55" s="4340"/>
      <c r="N55" s="4340"/>
      <c r="O55" s="4335"/>
    </row>
    <row r="56" spans="1:16" ht="11.25" hidden="1" customHeight="1" thickBot="1">
      <c r="A56" s="2512"/>
      <c r="B56" s="650" t="s">
        <v>20</v>
      </c>
      <c r="C56" s="3347"/>
      <c r="D56" s="3177">
        <f>E56+F56+G56+H56+I56+J56+K56+L56</f>
        <v>0</v>
      </c>
      <c r="E56" s="651"/>
      <c r="F56" s="651"/>
      <c r="G56" s="651"/>
      <c r="H56" s="651"/>
      <c r="I56" s="651"/>
      <c r="J56" s="651"/>
      <c r="K56" s="651"/>
      <c r="L56" s="651"/>
      <c r="M56" s="652"/>
      <c r="N56" s="652"/>
      <c r="O56" s="2513"/>
    </row>
    <row r="57" spans="1:16" s="2546" customFormat="1" ht="27" customHeight="1">
      <c r="A57" s="3626" t="s">
        <v>64</v>
      </c>
      <c r="B57" s="2547" t="s">
        <v>463</v>
      </c>
      <c r="C57" s="3183" t="s">
        <v>109</v>
      </c>
      <c r="D57" s="3184"/>
      <c r="E57" s="3184"/>
      <c r="F57" s="3167"/>
      <c r="G57" s="3167"/>
      <c r="H57" s="3167"/>
      <c r="I57" s="3167"/>
      <c r="J57" s="3167"/>
      <c r="K57" s="3167"/>
      <c r="L57" s="58"/>
      <c r="M57" s="2548"/>
      <c r="N57" s="2548"/>
      <c r="O57" s="4334" t="s">
        <v>278</v>
      </c>
    </row>
    <row r="58" spans="1:16" s="2546" customFormat="1" ht="13.5" customHeight="1">
      <c r="A58" s="3626"/>
      <c r="B58" s="2422" t="s">
        <v>10</v>
      </c>
      <c r="C58" s="2343"/>
      <c r="D58" s="626">
        <f t="shared" ref="D58:N58" si="38">+D59+D61</f>
        <v>5976322</v>
      </c>
      <c r="E58" s="626">
        <f t="shared" si="38"/>
        <v>1484321</v>
      </c>
      <c r="F58" s="2073">
        <f t="shared" si="38"/>
        <v>1170222</v>
      </c>
      <c r="G58" s="2073">
        <f t="shared" si="38"/>
        <v>1400000</v>
      </c>
      <c r="H58" s="2073">
        <f t="shared" si="38"/>
        <v>1200000</v>
      </c>
      <c r="I58" s="2073">
        <f t="shared" si="38"/>
        <v>600000</v>
      </c>
      <c r="J58" s="2073">
        <f t="shared" si="38"/>
        <v>50000</v>
      </c>
      <c r="K58" s="2073">
        <f t="shared" si="38"/>
        <v>50000</v>
      </c>
      <c r="L58" s="2073">
        <f t="shared" si="38"/>
        <v>21779</v>
      </c>
      <c r="M58" s="2423">
        <f t="shared" si="38"/>
        <v>4492001</v>
      </c>
      <c r="N58" s="2423">
        <f t="shared" si="38"/>
        <v>3321779</v>
      </c>
      <c r="O58" s="4334"/>
    </row>
    <row r="59" spans="1:16" s="2546" customFormat="1" ht="13.5" customHeight="1">
      <c r="A59" s="3626"/>
      <c r="B59" s="2424" t="s">
        <v>11</v>
      </c>
      <c r="C59" s="4336" t="s">
        <v>462</v>
      </c>
      <c r="D59" s="629">
        <f>+D60</f>
        <v>1494081</v>
      </c>
      <c r="E59" s="629">
        <f t="shared" ref="E59:K59" si="39">+E60</f>
        <v>371080</v>
      </c>
      <c r="F59" s="629">
        <f t="shared" si="39"/>
        <v>292555</v>
      </c>
      <c r="G59" s="629">
        <f t="shared" si="39"/>
        <v>350000</v>
      </c>
      <c r="H59" s="629">
        <f t="shared" si="39"/>
        <v>300000</v>
      </c>
      <c r="I59" s="629">
        <f t="shared" si="39"/>
        <v>150000</v>
      </c>
      <c r="J59" s="629">
        <f t="shared" si="39"/>
        <v>12500</v>
      </c>
      <c r="K59" s="629">
        <f t="shared" si="39"/>
        <v>12500</v>
      </c>
      <c r="L59" s="629">
        <f>+L60</f>
        <v>5446</v>
      </c>
      <c r="M59" s="2426">
        <f>SUM(M60:M60)</f>
        <v>1123001</v>
      </c>
      <c r="N59" s="2426">
        <f>SUM(N60:N60)</f>
        <v>830446</v>
      </c>
      <c r="O59" s="4334"/>
    </row>
    <row r="60" spans="1:16" s="2546" customFormat="1" ht="13.5" customHeight="1">
      <c r="A60" s="3626"/>
      <c r="B60" s="2431" t="s">
        <v>204</v>
      </c>
      <c r="C60" s="4336"/>
      <c r="D60" s="2289">
        <f>E60+F60+G60+H60+I60+J60+K60+L60</f>
        <v>1494081</v>
      </c>
      <c r="E60" s="2428">
        <v>371080</v>
      </c>
      <c r="F60" s="2429">
        <v>292555</v>
      </c>
      <c r="G60" s="2429">
        <v>350000</v>
      </c>
      <c r="H60" s="2429">
        <v>300000</v>
      </c>
      <c r="I60" s="2429">
        <v>150000</v>
      </c>
      <c r="J60" s="2429">
        <v>12500</v>
      </c>
      <c r="K60" s="2429">
        <v>12500</v>
      </c>
      <c r="L60" s="2429">
        <v>5446</v>
      </c>
      <c r="M60" s="2430">
        <f>SUM(F60:L60)</f>
        <v>1123001</v>
      </c>
      <c r="N60" s="2430">
        <f>SUM(G60:L60)</f>
        <v>830446</v>
      </c>
      <c r="O60" s="4334"/>
    </row>
    <row r="61" spans="1:16" s="2546" customFormat="1" ht="13.5" customHeight="1">
      <c r="A61" s="3626"/>
      <c r="B61" s="2432" t="s">
        <v>18</v>
      </c>
      <c r="C61" s="4336"/>
      <c r="D61" s="629">
        <f>+D62</f>
        <v>4482241</v>
      </c>
      <c r="E61" s="629">
        <f t="shared" ref="E61:L61" si="40">+E62</f>
        <v>1113241</v>
      </c>
      <c r="F61" s="629">
        <f t="shared" si="40"/>
        <v>877667</v>
      </c>
      <c r="G61" s="629">
        <f t="shared" si="40"/>
        <v>1050000</v>
      </c>
      <c r="H61" s="629">
        <f t="shared" si="40"/>
        <v>900000</v>
      </c>
      <c r="I61" s="629">
        <f t="shared" si="40"/>
        <v>450000</v>
      </c>
      <c r="J61" s="629">
        <f t="shared" si="40"/>
        <v>37500</v>
      </c>
      <c r="K61" s="629">
        <f t="shared" si="40"/>
        <v>37500</v>
      </c>
      <c r="L61" s="629">
        <f t="shared" si="40"/>
        <v>16333</v>
      </c>
      <c r="M61" s="649">
        <f>+M62</f>
        <v>3369000</v>
      </c>
      <c r="N61" s="649">
        <f>+N62</f>
        <v>2491333</v>
      </c>
      <c r="O61" s="4334"/>
    </row>
    <row r="62" spans="1:16" s="2546" customFormat="1" ht="13.5" customHeight="1">
      <c r="A62" s="3626"/>
      <c r="B62" s="2431" t="s">
        <v>300</v>
      </c>
      <c r="C62" s="4336"/>
      <c r="D62" s="2289">
        <f>E62+F62+G62+H62+I62+J62+K62+L62</f>
        <v>4482241</v>
      </c>
      <c r="E62" s="2428">
        <v>1113241</v>
      </c>
      <c r="F62" s="2429">
        <v>877667</v>
      </c>
      <c r="G62" s="2429">
        <v>1050000</v>
      </c>
      <c r="H62" s="2429">
        <v>900000</v>
      </c>
      <c r="I62" s="2429">
        <v>450000</v>
      </c>
      <c r="J62" s="2429">
        <v>37500</v>
      </c>
      <c r="K62" s="2429">
        <v>37500</v>
      </c>
      <c r="L62" s="2429">
        <v>16333</v>
      </c>
      <c r="M62" s="2430">
        <f>SUM(F62:L62)</f>
        <v>3369000</v>
      </c>
      <c r="N62" s="2430">
        <f>SUM(G62:L62)</f>
        <v>2491333</v>
      </c>
      <c r="O62" s="4334"/>
    </row>
    <row r="63" spans="1:16" s="2546" customFormat="1" ht="13.5" customHeight="1">
      <c r="A63" s="3626"/>
      <c r="B63" s="2422" t="s">
        <v>22</v>
      </c>
      <c r="C63" s="2343"/>
      <c r="D63" s="2073">
        <f t="shared" ref="D63:L63" si="41">+D64+D66</f>
        <v>5976322</v>
      </c>
      <c r="E63" s="2073">
        <f t="shared" si="41"/>
        <v>1484321</v>
      </c>
      <c r="F63" s="2073">
        <f t="shared" si="41"/>
        <v>1170222</v>
      </c>
      <c r="G63" s="2073">
        <f t="shared" si="41"/>
        <v>1400000</v>
      </c>
      <c r="H63" s="2073">
        <f t="shared" si="41"/>
        <v>1200000</v>
      </c>
      <c r="I63" s="2073">
        <f t="shared" si="41"/>
        <v>600000</v>
      </c>
      <c r="J63" s="2073">
        <f t="shared" si="41"/>
        <v>50000</v>
      </c>
      <c r="K63" s="2073">
        <f t="shared" si="41"/>
        <v>50000</v>
      </c>
      <c r="L63" s="2073">
        <f t="shared" si="41"/>
        <v>21779</v>
      </c>
      <c r="M63" s="4339" t="s">
        <v>61</v>
      </c>
      <c r="N63" s="4339" t="s">
        <v>61</v>
      </c>
      <c r="O63" s="4334"/>
    </row>
    <row r="64" spans="1:16" s="2546" customFormat="1" ht="13.5" customHeight="1">
      <c r="A64" s="3626"/>
      <c r="B64" s="2424" t="s">
        <v>11</v>
      </c>
      <c r="C64" s="4337" t="s">
        <v>462</v>
      </c>
      <c r="D64" s="629">
        <f>+D65</f>
        <v>1494081</v>
      </c>
      <c r="E64" s="629">
        <f t="shared" ref="E64:L64" si="42">+E65</f>
        <v>371080</v>
      </c>
      <c r="F64" s="629">
        <f t="shared" si="42"/>
        <v>292555</v>
      </c>
      <c r="G64" s="629">
        <f t="shared" si="42"/>
        <v>350000</v>
      </c>
      <c r="H64" s="629">
        <f t="shared" si="42"/>
        <v>300000</v>
      </c>
      <c r="I64" s="629">
        <f t="shared" si="42"/>
        <v>150000</v>
      </c>
      <c r="J64" s="629">
        <f t="shared" si="42"/>
        <v>12500</v>
      </c>
      <c r="K64" s="629">
        <f t="shared" si="42"/>
        <v>12500</v>
      </c>
      <c r="L64" s="629">
        <f t="shared" si="42"/>
        <v>5446</v>
      </c>
      <c r="M64" s="4339"/>
      <c r="N64" s="4339"/>
      <c r="O64" s="4334"/>
    </row>
    <row r="65" spans="1:16" s="2546" customFormat="1" ht="13.5" customHeight="1">
      <c r="A65" s="3626"/>
      <c r="B65" s="2431" t="s">
        <v>204</v>
      </c>
      <c r="C65" s="4337"/>
      <c r="D65" s="2289">
        <f>E65+F65+G65+H65+I65+J65+K65+L65</f>
        <v>1494081</v>
      </c>
      <c r="E65" s="2428">
        <v>371080</v>
      </c>
      <c r="F65" s="2428">
        <v>292555</v>
      </c>
      <c r="G65" s="2428">
        <v>350000</v>
      </c>
      <c r="H65" s="2428">
        <v>300000</v>
      </c>
      <c r="I65" s="2428">
        <v>150000</v>
      </c>
      <c r="J65" s="2428">
        <v>12500</v>
      </c>
      <c r="K65" s="2428">
        <v>12500</v>
      </c>
      <c r="L65" s="2428">
        <v>5446</v>
      </c>
      <c r="M65" s="4339"/>
      <c r="N65" s="4339"/>
      <c r="O65" s="4334"/>
    </row>
    <row r="66" spans="1:16" s="2546" customFormat="1" ht="13.5" customHeight="1">
      <c r="A66" s="3626"/>
      <c r="B66" s="2432" t="s">
        <v>18</v>
      </c>
      <c r="C66" s="4337"/>
      <c r="D66" s="629">
        <f>+D67</f>
        <v>4482241</v>
      </c>
      <c r="E66" s="629">
        <f t="shared" ref="E66:L66" si="43">+E67</f>
        <v>1113241</v>
      </c>
      <c r="F66" s="629">
        <f t="shared" si="43"/>
        <v>877667</v>
      </c>
      <c r="G66" s="629">
        <f t="shared" si="43"/>
        <v>1050000</v>
      </c>
      <c r="H66" s="629">
        <f t="shared" si="43"/>
        <v>900000</v>
      </c>
      <c r="I66" s="629">
        <f t="shared" si="43"/>
        <v>450000</v>
      </c>
      <c r="J66" s="629">
        <f t="shared" si="43"/>
        <v>37500</v>
      </c>
      <c r="K66" s="629">
        <f t="shared" si="43"/>
        <v>37500</v>
      </c>
      <c r="L66" s="629">
        <f t="shared" si="43"/>
        <v>16333</v>
      </c>
      <c r="M66" s="4339"/>
      <c r="N66" s="4339"/>
      <c r="O66" s="4334"/>
    </row>
    <row r="67" spans="1:16" s="2546" customFormat="1" ht="13.5" customHeight="1" thickBot="1">
      <c r="A67" s="3836"/>
      <c r="B67" s="2290" t="s">
        <v>300</v>
      </c>
      <c r="C67" s="4338"/>
      <c r="D67" s="2549">
        <f>E67+F67+G67+H67+I67+J67+K67+L67</f>
        <v>4482241</v>
      </c>
      <c r="E67" s="2344">
        <v>1113241</v>
      </c>
      <c r="F67" s="2344">
        <v>877667</v>
      </c>
      <c r="G67" s="2344">
        <v>1050000</v>
      </c>
      <c r="H67" s="2344">
        <v>900000</v>
      </c>
      <c r="I67" s="2344">
        <v>450000</v>
      </c>
      <c r="J67" s="2344">
        <v>37500</v>
      </c>
      <c r="K67" s="2344">
        <v>37500</v>
      </c>
      <c r="L67" s="2344">
        <v>16333</v>
      </c>
      <c r="M67" s="4340"/>
      <c r="N67" s="4340"/>
      <c r="O67" s="4335"/>
    </row>
    <row r="68" spans="1:16" ht="52.5" customHeight="1">
      <c r="A68" s="3626" t="s">
        <v>65</v>
      </c>
      <c r="B68" s="1774" t="s">
        <v>514</v>
      </c>
      <c r="C68" s="3180" t="s">
        <v>81</v>
      </c>
      <c r="D68" s="2303"/>
      <c r="E68" s="3187"/>
      <c r="F68" s="3181"/>
      <c r="G68" s="3181"/>
      <c r="H68" s="3181"/>
      <c r="I68" s="2303"/>
      <c r="J68" s="2303"/>
      <c r="K68" s="2303"/>
      <c r="L68" s="3182"/>
      <c r="M68" s="670"/>
      <c r="N68" s="670"/>
      <c r="O68" s="3661" t="s">
        <v>314</v>
      </c>
    </row>
    <row r="69" spans="1:16" ht="15.75" customHeight="1">
      <c r="A69" s="3626"/>
      <c r="B69" s="881" t="s">
        <v>10</v>
      </c>
      <c r="C69" s="1475"/>
      <c r="D69" s="626">
        <f>+D70+D72</f>
        <v>1016020</v>
      </c>
      <c r="E69" s="626">
        <f>+E70+E72</f>
        <v>49100</v>
      </c>
      <c r="F69" s="626">
        <f>+F70+F72</f>
        <v>0</v>
      </c>
      <c r="G69" s="626">
        <f t="shared" ref="G69:I69" si="44">+G70+G72</f>
        <v>223530</v>
      </c>
      <c r="H69" s="626">
        <f t="shared" si="44"/>
        <v>564990</v>
      </c>
      <c r="I69" s="626">
        <f t="shared" si="44"/>
        <v>178400</v>
      </c>
      <c r="J69" s="626">
        <v>0</v>
      </c>
      <c r="K69" s="626">
        <v>0</v>
      </c>
      <c r="L69" s="626">
        <v>0</v>
      </c>
      <c r="M69" s="2038">
        <f>+M70+M72</f>
        <v>966920</v>
      </c>
      <c r="N69" s="2038">
        <f>+N70+N72</f>
        <v>966920</v>
      </c>
      <c r="O69" s="3662"/>
      <c r="P69" s="311" t="s">
        <v>370</v>
      </c>
    </row>
    <row r="70" spans="1:16" ht="12.75" customHeight="1">
      <c r="A70" s="3626"/>
      <c r="B70" s="874" t="s">
        <v>24</v>
      </c>
      <c r="C70" s="3646" t="s">
        <v>188</v>
      </c>
      <c r="D70" s="564">
        <f>+D71</f>
        <v>174504</v>
      </c>
      <c r="E70" s="1171">
        <f>+E71</f>
        <v>29465</v>
      </c>
      <c r="F70" s="1171">
        <f>+F71</f>
        <v>0</v>
      </c>
      <c r="G70" s="1171">
        <f>+G71</f>
        <v>33530</v>
      </c>
      <c r="H70" s="1171">
        <f t="shared" ref="H70:I70" si="45">+H71</f>
        <v>84749</v>
      </c>
      <c r="I70" s="1171">
        <f t="shared" si="45"/>
        <v>26760</v>
      </c>
      <c r="J70" s="2046">
        <v>0</v>
      </c>
      <c r="K70" s="2046">
        <v>0</v>
      </c>
      <c r="L70" s="2046">
        <v>0</v>
      </c>
      <c r="M70" s="563">
        <f>+M71</f>
        <v>145039</v>
      </c>
      <c r="N70" s="563">
        <f>+N71</f>
        <v>145039</v>
      </c>
      <c r="O70" s="3662"/>
    </row>
    <row r="71" spans="1:16" ht="12.75" customHeight="1">
      <c r="A71" s="3626"/>
      <c r="B71" s="1147" t="s">
        <v>12</v>
      </c>
      <c r="C71" s="3649"/>
      <c r="D71" s="839">
        <f>E71+F71+G71+H71+I71+J71+K71+L71</f>
        <v>174504</v>
      </c>
      <c r="E71" s="839">
        <v>29465</v>
      </c>
      <c r="F71" s="872">
        <f>16229-16229</f>
        <v>0</v>
      </c>
      <c r="G71" s="872">
        <f>53796+12764-33030</f>
        <v>33530</v>
      </c>
      <c r="H71" s="872">
        <f>51719+33030</f>
        <v>84749</v>
      </c>
      <c r="I71" s="872">
        <v>26760</v>
      </c>
      <c r="J71" s="2046">
        <v>0</v>
      </c>
      <c r="K71" s="2046">
        <v>0</v>
      </c>
      <c r="L71" s="2046">
        <v>0</v>
      </c>
      <c r="M71" s="1277">
        <f>SUM(F71:K71)</f>
        <v>145039</v>
      </c>
      <c r="N71" s="1277">
        <f>SUM(G71:L71)</f>
        <v>145039</v>
      </c>
      <c r="O71" s="3662"/>
    </row>
    <row r="72" spans="1:16" ht="14.25" customHeight="1">
      <c r="A72" s="3626"/>
      <c r="B72" s="866" t="s">
        <v>18</v>
      </c>
      <c r="C72" s="3649"/>
      <c r="D72" s="564">
        <f>+D73</f>
        <v>841516</v>
      </c>
      <c r="E72" s="1171">
        <f>+E73</f>
        <v>19635</v>
      </c>
      <c r="F72" s="1171">
        <f>+F73</f>
        <v>0</v>
      </c>
      <c r="G72" s="1171">
        <f t="shared" ref="G72:I72" si="46">+G73</f>
        <v>190000</v>
      </c>
      <c r="H72" s="1171">
        <f t="shared" si="46"/>
        <v>480241</v>
      </c>
      <c r="I72" s="1171">
        <f t="shared" si="46"/>
        <v>151640</v>
      </c>
      <c r="J72" s="2046">
        <v>0</v>
      </c>
      <c r="K72" s="2046">
        <v>0</v>
      </c>
      <c r="L72" s="2046">
        <v>0</v>
      </c>
      <c r="M72" s="563">
        <f>+M73</f>
        <v>821881</v>
      </c>
      <c r="N72" s="563">
        <f>+N73</f>
        <v>821881</v>
      </c>
      <c r="O72" s="3662"/>
    </row>
    <row r="73" spans="1:16" ht="12.75" customHeight="1">
      <c r="A73" s="3626"/>
      <c r="B73" s="3094" t="s">
        <v>21</v>
      </c>
      <c r="C73" s="3650"/>
      <c r="D73" s="839">
        <f>E73+F73+G73+H73+I73+J73+K73+L73</f>
        <v>841516</v>
      </c>
      <c r="E73" s="2051">
        <v>19635</v>
      </c>
      <c r="F73" s="2047">
        <f>91961-91961</f>
        <v>0</v>
      </c>
      <c r="G73" s="2047">
        <f>304844+72326-187170</f>
        <v>190000</v>
      </c>
      <c r="H73" s="2047">
        <f>293071+187170</f>
        <v>480241</v>
      </c>
      <c r="I73" s="2047">
        <v>151640</v>
      </c>
      <c r="J73" s="2046">
        <v>0</v>
      </c>
      <c r="K73" s="2046">
        <v>0</v>
      </c>
      <c r="L73" s="2046">
        <v>0</v>
      </c>
      <c r="M73" s="1277">
        <f>SUM(F73:K73)</f>
        <v>821881</v>
      </c>
      <c r="N73" s="1277">
        <f>SUM(G73:L73)</f>
        <v>821881</v>
      </c>
      <c r="O73" s="4313"/>
    </row>
    <row r="74" spans="1:16" ht="12" customHeight="1">
      <c r="A74" s="3626"/>
      <c r="B74" s="881" t="s">
        <v>22</v>
      </c>
      <c r="C74" s="1475"/>
      <c r="D74" s="626">
        <f t="shared" ref="D74:I75" si="47">+D75</f>
        <v>841516</v>
      </c>
      <c r="E74" s="98">
        <f t="shared" si="47"/>
        <v>0</v>
      </c>
      <c r="F74" s="98">
        <f t="shared" si="47"/>
        <v>0</v>
      </c>
      <c r="G74" s="98">
        <f t="shared" si="47"/>
        <v>209635</v>
      </c>
      <c r="H74" s="98">
        <f t="shared" si="47"/>
        <v>480241</v>
      </c>
      <c r="I74" s="98">
        <f t="shared" si="47"/>
        <v>151640</v>
      </c>
      <c r="J74" s="626">
        <v>0</v>
      </c>
      <c r="K74" s="626">
        <v>0</v>
      </c>
      <c r="L74" s="626">
        <v>0</v>
      </c>
      <c r="M74" s="3745"/>
      <c r="N74" s="3745"/>
      <c r="O74" s="3662" t="s">
        <v>193</v>
      </c>
    </row>
    <row r="75" spans="1:16" ht="13.5" customHeight="1">
      <c r="A75" s="3626"/>
      <c r="B75" s="866" t="s">
        <v>18</v>
      </c>
      <c r="C75" s="3730" t="s">
        <v>191</v>
      </c>
      <c r="D75" s="564">
        <f t="shared" si="47"/>
        <v>841516</v>
      </c>
      <c r="E75" s="2046">
        <f t="shared" si="47"/>
        <v>0</v>
      </c>
      <c r="F75" s="2046">
        <f t="shared" si="47"/>
        <v>0</v>
      </c>
      <c r="G75" s="2046">
        <f t="shared" si="47"/>
        <v>209635</v>
      </c>
      <c r="H75" s="2046">
        <f t="shared" si="47"/>
        <v>480241</v>
      </c>
      <c r="I75" s="2046">
        <f t="shared" si="47"/>
        <v>151640</v>
      </c>
      <c r="J75" s="2046">
        <v>0</v>
      </c>
      <c r="K75" s="2046">
        <v>0</v>
      </c>
      <c r="L75" s="2046">
        <v>0</v>
      </c>
      <c r="M75" s="3675"/>
      <c r="N75" s="3675"/>
      <c r="O75" s="3662"/>
    </row>
    <row r="76" spans="1:16" ht="13.5" customHeight="1" thickBot="1">
      <c r="A76" s="3836"/>
      <c r="B76" s="3334" t="s">
        <v>21</v>
      </c>
      <c r="C76" s="3657"/>
      <c r="D76" s="839">
        <f>E76+F76+G76+H76+I76+J76+K76+L76</f>
        <v>841516</v>
      </c>
      <c r="E76" s="839">
        <v>0</v>
      </c>
      <c r="F76" s="1786">
        <f>91961-91961</f>
        <v>0</v>
      </c>
      <c r="G76" s="1786">
        <f>304844+91961-187170</f>
        <v>209635</v>
      </c>
      <c r="H76" s="1786">
        <f>293071+187170</f>
        <v>480241</v>
      </c>
      <c r="I76" s="1786">
        <v>151640</v>
      </c>
      <c r="J76" s="1786">
        <v>0</v>
      </c>
      <c r="K76" s="1786">
        <v>0</v>
      </c>
      <c r="L76" s="1786">
        <v>0</v>
      </c>
      <c r="M76" s="3676"/>
      <c r="N76" s="3676"/>
      <c r="O76" s="3663"/>
    </row>
    <row r="77" spans="1:16" ht="50.25" customHeight="1">
      <c r="A77" s="3625" t="s">
        <v>66</v>
      </c>
      <c r="B77" s="1774" t="s">
        <v>515</v>
      </c>
      <c r="C77" s="3180" t="s">
        <v>170</v>
      </c>
      <c r="D77" s="2303"/>
      <c r="E77" s="2303"/>
      <c r="F77" s="3181"/>
      <c r="G77" s="3181"/>
      <c r="H77" s="3181"/>
      <c r="I77" s="2303"/>
      <c r="J77" s="2303"/>
      <c r="K77" s="2303"/>
      <c r="L77" s="3182"/>
      <c r="M77" s="670"/>
      <c r="N77" s="670"/>
      <c r="O77" s="3661" t="s">
        <v>314</v>
      </c>
    </row>
    <row r="78" spans="1:16" ht="13.5" customHeight="1">
      <c r="A78" s="3626"/>
      <c r="B78" s="881" t="s">
        <v>10</v>
      </c>
      <c r="C78" s="1475"/>
      <c r="D78" s="626">
        <f>+D79+D81</f>
        <v>9980</v>
      </c>
      <c r="E78" s="626">
        <f>+E79+E81</f>
        <v>0</v>
      </c>
      <c r="F78" s="626">
        <f>+F79+F81</f>
        <v>0</v>
      </c>
      <c r="G78" s="626">
        <f t="shared" ref="G78:H78" si="48">+G79+G81</f>
        <v>3380</v>
      </c>
      <c r="H78" s="626">
        <f t="shared" si="48"/>
        <v>6600</v>
      </c>
      <c r="I78" s="626">
        <v>0</v>
      </c>
      <c r="J78" s="626">
        <v>0</v>
      </c>
      <c r="K78" s="626">
        <v>0</v>
      </c>
      <c r="L78" s="626">
        <v>0</v>
      </c>
      <c r="M78" s="2038">
        <f>+M79+M81</f>
        <v>9980</v>
      </c>
      <c r="N78" s="2038">
        <f>+N79+N81</f>
        <v>9980</v>
      </c>
      <c r="O78" s="3662"/>
    </row>
    <row r="79" spans="1:16" ht="13.5" customHeight="1">
      <c r="A79" s="3626"/>
      <c r="B79" s="874" t="s">
        <v>24</v>
      </c>
      <c r="C79" s="3646" t="s">
        <v>188</v>
      </c>
      <c r="D79" s="564">
        <f>+D80</f>
        <v>1497</v>
      </c>
      <c r="E79" s="1171">
        <f>+E80</f>
        <v>0</v>
      </c>
      <c r="F79" s="1171">
        <f>+F80</f>
        <v>0</v>
      </c>
      <c r="G79" s="1171">
        <f t="shared" ref="G79:H79" si="49">+G80</f>
        <v>507</v>
      </c>
      <c r="H79" s="1171">
        <f t="shared" si="49"/>
        <v>990</v>
      </c>
      <c r="I79" s="2046">
        <v>0</v>
      </c>
      <c r="J79" s="2046">
        <v>0</v>
      </c>
      <c r="K79" s="2046">
        <v>0</v>
      </c>
      <c r="L79" s="2046">
        <v>0</v>
      </c>
      <c r="M79" s="563">
        <f>+M80</f>
        <v>1497</v>
      </c>
      <c r="N79" s="563">
        <f>+N80</f>
        <v>1497</v>
      </c>
      <c r="O79" s="3662"/>
      <c r="P79" s="311" t="s">
        <v>370</v>
      </c>
    </row>
    <row r="80" spans="1:16" ht="13.5" customHeight="1">
      <c r="A80" s="3626"/>
      <c r="B80" s="1147" t="s">
        <v>12</v>
      </c>
      <c r="C80" s="3649"/>
      <c r="D80" s="839">
        <f>E80+F80+G80+H80+I80+J80+K80+L80</f>
        <v>1497</v>
      </c>
      <c r="E80" s="839">
        <v>0</v>
      </c>
      <c r="F80" s="872">
        <f>507-507</f>
        <v>0</v>
      </c>
      <c r="G80" s="872">
        <f>495+507-495</f>
        <v>507</v>
      </c>
      <c r="H80" s="872">
        <f>495+495</f>
        <v>990</v>
      </c>
      <c r="I80" s="2046">
        <v>0</v>
      </c>
      <c r="J80" s="2046">
        <v>0</v>
      </c>
      <c r="K80" s="2046">
        <v>0</v>
      </c>
      <c r="L80" s="2046">
        <v>0</v>
      </c>
      <c r="M80" s="1277">
        <f>SUM(F80:K80)</f>
        <v>1497</v>
      </c>
      <c r="N80" s="1277">
        <f>SUM(G80:L80)</f>
        <v>1497</v>
      </c>
      <c r="O80" s="3662"/>
    </row>
    <row r="81" spans="1:15" ht="13.5" customHeight="1">
      <c r="A81" s="3626"/>
      <c r="B81" s="866" t="s">
        <v>18</v>
      </c>
      <c r="C81" s="3649"/>
      <c r="D81" s="564">
        <f>+D82</f>
        <v>8483</v>
      </c>
      <c r="E81" s="1171">
        <f>+E82</f>
        <v>0</v>
      </c>
      <c r="F81" s="1171">
        <f>+F82</f>
        <v>0</v>
      </c>
      <c r="G81" s="1171">
        <f t="shared" ref="G81:H81" si="50">+G82</f>
        <v>2873</v>
      </c>
      <c r="H81" s="1171">
        <f t="shared" si="50"/>
        <v>5610</v>
      </c>
      <c r="I81" s="2046">
        <v>0</v>
      </c>
      <c r="J81" s="2046">
        <v>0</v>
      </c>
      <c r="K81" s="2046">
        <v>0</v>
      </c>
      <c r="L81" s="2046">
        <v>0</v>
      </c>
      <c r="M81" s="563">
        <f>+M82</f>
        <v>8483</v>
      </c>
      <c r="N81" s="563">
        <f>+N82</f>
        <v>8483</v>
      </c>
      <c r="O81" s="3662"/>
    </row>
    <row r="82" spans="1:15" ht="13.5" customHeight="1">
      <c r="A82" s="3626"/>
      <c r="B82" s="3094" t="s">
        <v>21</v>
      </c>
      <c r="C82" s="3650"/>
      <c r="D82" s="839">
        <f>E82+F82+G82+H82+I82+J82+K82+L82</f>
        <v>8483</v>
      </c>
      <c r="E82" s="839">
        <v>0</v>
      </c>
      <c r="F82" s="872">
        <f>2873-2873</f>
        <v>0</v>
      </c>
      <c r="G82" s="872">
        <f>2805+2873-2805</f>
        <v>2873</v>
      </c>
      <c r="H82" s="872">
        <f>2805+2805</f>
        <v>5610</v>
      </c>
      <c r="I82" s="2046">
        <v>0</v>
      </c>
      <c r="J82" s="2046">
        <v>0</v>
      </c>
      <c r="K82" s="2046">
        <v>0</v>
      </c>
      <c r="L82" s="2046">
        <v>0</v>
      </c>
      <c r="M82" s="1277">
        <f>SUM(F82:K82)</f>
        <v>8483</v>
      </c>
      <c r="N82" s="1277">
        <f>SUM(G82:L82)</f>
        <v>8483</v>
      </c>
      <c r="O82" s="3662"/>
    </row>
    <row r="83" spans="1:15" ht="13.5" customHeight="1">
      <c r="A83" s="3626"/>
      <c r="B83" s="881" t="s">
        <v>22</v>
      </c>
      <c r="C83" s="1475"/>
      <c r="D83" s="626">
        <f t="shared" ref="D83:H84" si="51">+D84</f>
        <v>8483</v>
      </c>
      <c r="E83" s="626">
        <f t="shared" si="51"/>
        <v>0</v>
      </c>
      <c r="F83" s="626">
        <f t="shared" si="51"/>
        <v>0</v>
      </c>
      <c r="G83" s="626">
        <f t="shared" si="51"/>
        <v>2873</v>
      </c>
      <c r="H83" s="626">
        <f t="shared" si="51"/>
        <v>5610</v>
      </c>
      <c r="I83" s="626">
        <v>0</v>
      </c>
      <c r="J83" s="626">
        <v>0</v>
      </c>
      <c r="K83" s="626">
        <v>0</v>
      </c>
      <c r="L83" s="626">
        <v>0</v>
      </c>
      <c r="M83" s="3745"/>
      <c r="N83" s="4307"/>
      <c r="O83" s="4310" t="s">
        <v>193</v>
      </c>
    </row>
    <row r="84" spans="1:15" ht="13.5" customHeight="1">
      <c r="A84" s="3626"/>
      <c r="B84" s="866" t="s">
        <v>18</v>
      </c>
      <c r="C84" s="3730" t="s">
        <v>191</v>
      </c>
      <c r="D84" s="564">
        <f t="shared" si="51"/>
        <v>8483</v>
      </c>
      <c r="E84" s="2046">
        <f t="shared" si="51"/>
        <v>0</v>
      </c>
      <c r="F84" s="2046">
        <f t="shared" si="51"/>
        <v>0</v>
      </c>
      <c r="G84" s="2046">
        <f t="shared" si="51"/>
        <v>2873</v>
      </c>
      <c r="H84" s="2046">
        <f t="shared" si="51"/>
        <v>5610</v>
      </c>
      <c r="I84" s="2046">
        <v>0</v>
      </c>
      <c r="J84" s="2046">
        <v>0</v>
      </c>
      <c r="K84" s="2046">
        <v>0</v>
      </c>
      <c r="L84" s="2046">
        <v>0</v>
      </c>
      <c r="M84" s="3675"/>
      <c r="N84" s="4308"/>
      <c r="O84" s="4311"/>
    </row>
    <row r="85" spans="1:15" ht="13.5" customHeight="1" thickBot="1">
      <c r="A85" s="3836"/>
      <c r="B85" s="3334" t="s">
        <v>21</v>
      </c>
      <c r="C85" s="3657"/>
      <c r="D85" s="2283">
        <f>E85+F85+G85+H85+I85+J85+K85+L85</f>
        <v>8483</v>
      </c>
      <c r="E85" s="2283">
        <v>0</v>
      </c>
      <c r="F85" s="1786">
        <f>2873-2873</f>
        <v>0</v>
      </c>
      <c r="G85" s="1786">
        <f>2805+2873-2805</f>
        <v>2873</v>
      </c>
      <c r="H85" s="1786">
        <f>2805+2805</f>
        <v>5610</v>
      </c>
      <c r="I85" s="1786">
        <v>0</v>
      </c>
      <c r="J85" s="1786">
        <v>0</v>
      </c>
      <c r="K85" s="1786">
        <v>0</v>
      </c>
      <c r="L85" s="1786">
        <v>0</v>
      </c>
      <c r="M85" s="3676"/>
      <c r="N85" s="4309"/>
      <c r="O85" s="4312"/>
    </row>
    <row r="86" spans="1:15" ht="27" customHeight="1">
      <c r="A86" s="3625" t="s">
        <v>67</v>
      </c>
      <c r="B86" s="1774" t="s">
        <v>465</v>
      </c>
      <c r="C86" s="3180" t="s">
        <v>170</v>
      </c>
      <c r="D86" s="2303"/>
      <c r="E86" s="2303"/>
      <c r="F86" s="3181"/>
      <c r="G86" s="3181"/>
      <c r="H86" s="3181"/>
      <c r="I86" s="2303"/>
      <c r="J86" s="2303"/>
      <c r="K86" s="2303"/>
      <c r="L86" s="3182"/>
      <c r="M86" s="670"/>
      <c r="N86" s="2846"/>
      <c r="O86" s="4360" t="s">
        <v>314</v>
      </c>
    </row>
    <row r="87" spans="1:15" ht="13.5" customHeight="1">
      <c r="A87" s="4359"/>
      <c r="B87" s="881" t="s">
        <v>10</v>
      </c>
      <c r="C87" s="1475"/>
      <c r="D87" s="626">
        <f>+D88+D90</f>
        <v>320000</v>
      </c>
      <c r="E87" s="626">
        <f>+E88+E90</f>
        <v>0</v>
      </c>
      <c r="F87" s="626">
        <f>+F88+F90</f>
        <v>0</v>
      </c>
      <c r="G87" s="626">
        <f t="shared" ref="G87:I87" si="52">+G88+G90</f>
        <v>183700</v>
      </c>
      <c r="H87" s="626">
        <f t="shared" si="52"/>
        <v>109000</v>
      </c>
      <c r="I87" s="626">
        <f t="shared" si="52"/>
        <v>27300</v>
      </c>
      <c r="J87" s="626">
        <v>0</v>
      </c>
      <c r="K87" s="626">
        <v>0</v>
      </c>
      <c r="L87" s="626">
        <v>0</v>
      </c>
      <c r="M87" s="2038">
        <f>+M88+M90</f>
        <v>320000</v>
      </c>
      <c r="N87" s="2998">
        <f>+N88+N90</f>
        <v>320000</v>
      </c>
      <c r="O87" s="4311"/>
    </row>
    <row r="88" spans="1:15" ht="13.5" customHeight="1">
      <c r="A88" s="4359"/>
      <c r="B88" s="874" t="s">
        <v>24</v>
      </c>
      <c r="C88" s="3646" t="s">
        <v>188</v>
      </c>
      <c r="D88" s="564">
        <f>+D89</f>
        <v>48000</v>
      </c>
      <c r="E88" s="1171">
        <f>+E89</f>
        <v>0</v>
      </c>
      <c r="F88" s="1171">
        <f>+F89</f>
        <v>0</v>
      </c>
      <c r="G88" s="1171">
        <f t="shared" ref="G88:I88" si="53">+G89</f>
        <v>27555</v>
      </c>
      <c r="H88" s="1171">
        <f t="shared" si="53"/>
        <v>16350</v>
      </c>
      <c r="I88" s="1171">
        <f t="shared" si="53"/>
        <v>4095</v>
      </c>
      <c r="J88" s="2046">
        <v>0</v>
      </c>
      <c r="K88" s="2046">
        <v>0</v>
      </c>
      <c r="L88" s="2046">
        <v>0</v>
      </c>
      <c r="M88" s="563">
        <f>+M89</f>
        <v>48000</v>
      </c>
      <c r="N88" s="2996">
        <f>+N89</f>
        <v>48000</v>
      </c>
      <c r="O88" s="4311"/>
    </row>
    <row r="89" spans="1:15" ht="13.5" customHeight="1" thickBot="1">
      <c r="A89" s="3626"/>
      <c r="B89" s="1147" t="s">
        <v>12</v>
      </c>
      <c r="C89" s="3649"/>
      <c r="D89" s="839">
        <f>SUM(E89:L89)</f>
        <v>48000</v>
      </c>
      <c r="E89" s="839">
        <v>0</v>
      </c>
      <c r="F89" s="872">
        <f>507-507</f>
        <v>0</v>
      </c>
      <c r="G89" s="872">
        <v>27555</v>
      </c>
      <c r="H89" s="872">
        <v>16350</v>
      </c>
      <c r="I89" s="872">
        <v>4095</v>
      </c>
      <c r="J89" s="2046">
        <v>0</v>
      </c>
      <c r="K89" s="2046">
        <v>0</v>
      </c>
      <c r="L89" s="2046">
        <v>0</v>
      </c>
      <c r="M89" s="1277">
        <f>SUM(F89:K89)</f>
        <v>48000</v>
      </c>
      <c r="N89" s="2997">
        <f>SUM(G89:L89)</f>
        <v>48000</v>
      </c>
      <c r="O89" s="4312"/>
    </row>
    <row r="90" spans="1:15" ht="13.5" customHeight="1" thickBot="1">
      <c r="A90" s="3626"/>
      <c r="B90" s="866" t="s">
        <v>18</v>
      </c>
      <c r="C90" s="3649"/>
      <c r="D90" s="564">
        <f>+D91</f>
        <v>272000</v>
      </c>
      <c r="E90" s="1171">
        <f>+E91</f>
        <v>0</v>
      </c>
      <c r="F90" s="1171">
        <f>+F91</f>
        <v>0</v>
      </c>
      <c r="G90" s="1171">
        <f t="shared" ref="G90:I90" si="54">+G91</f>
        <v>156145</v>
      </c>
      <c r="H90" s="1171">
        <f t="shared" si="54"/>
        <v>92650</v>
      </c>
      <c r="I90" s="1171">
        <f t="shared" si="54"/>
        <v>23205</v>
      </c>
      <c r="J90" s="2046">
        <v>0</v>
      </c>
      <c r="K90" s="2046">
        <v>0</v>
      </c>
      <c r="L90" s="2046">
        <v>0</v>
      </c>
      <c r="M90" s="563">
        <f>+M91</f>
        <v>272000</v>
      </c>
      <c r="N90" s="2996">
        <f>+N91</f>
        <v>272000</v>
      </c>
      <c r="O90" s="4361"/>
    </row>
    <row r="91" spans="1:15" ht="13.5" customHeight="1" thickBot="1">
      <c r="A91" s="3626"/>
      <c r="B91" s="3094" t="s">
        <v>21</v>
      </c>
      <c r="C91" s="3650"/>
      <c r="D91" s="839">
        <f>SUM(E91:L91)</f>
        <v>272000</v>
      </c>
      <c r="E91" s="839">
        <v>0</v>
      </c>
      <c r="F91" s="872">
        <f>2873-2873</f>
        <v>0</v>
      </c>
      <c r="G91" s="872">
        <v>156145</v>
      </c>
      <c r="H91" s="872">
        <v>92650</v>
      </c>
      <c r="I91" s="872">
        <v>23205</v>
      </c>
      <c r="J91" s="2046">
        <v>0</v>
      </c>
      <c r="K91" s="2046">
        <v>0</v>
      </c>
      <c r="L91" s="2046">
        <v>0</v>
      </c>
      <c r="M91" s="1277">
        <f>SUM(F91:K91)</f>
        <v>272000</v>
      </c>
      <c r="N91" s="2997">
        <f>SUM(G91:L91)</f>
        <v>272000</v>
      </c>
      <c r="O91" s="4361"/>
    </row>
    <row r="92" spans="1:15" ht="13.5" customHeight="1">
      <c r="A92" s="3626"/>
      <c r="B92" s="881" t="s">
        <v>22</v>
      </c>
      <c r="C92" s="1475"/>
      <c r="D92" s="626">
        <f t="shared" ref="D92:I93" si="55">+D93</f>
        <v>272000</v>
      </c>
      <c r="E92" s="626">
        <f t="shared" si="55"/>
        <v>0</v>
      </c>
      <c r="F92" s="626">
        <f t="shared" si="55"/>
        <v>0</v>
      </c>
      <c r="G92" s="626">
        <f t="shared" si="55"/>
        <v>156145</v>
      </c>
      <c r="H92" s="626">
        <f t="shared" si="55"/>
        <v>92650</v>
      </c>
      <c r="I92" s="626">
        <f t="shared" si="55"/>
        <v>23205</v>
      </c>
      <c r="J92" s="626">
        <v>0</v>
      </c>
      <c r="K92" s="626">
        <v>0</v>
      </c>
      <c r="L92" s="626">
        <v>0</v>
      </c>
      <c r="M92" s="3745"/>
      <c r="N92" s="4307"/>
      <c r="O92" s="4362" t="s">
        <v>193</v>
      </c>
    </row>
    <row r="93" spans="1:15" ht="13.5" customHeight="1" thickBot="1">
      <c r="A93" s="4359"/>
      <c r="B93" s="866" t="s">
        <v>18</v>
      </c>
      <c r="C93" s="3730" t="s">
        <v>191</v>
      </c>
      <c r="D93" s="564">
        <f t="shared" si="55"/>
        <v>272000</v>
      </c>
      <c r="E93" s="2046">
        <f t="shared" si="55"/>
        <v>0</v>
      </c>
      <c r="F93" s="2046">
        <f t="shared" si="55"/>
        <v>0</v>
      </c>
      <c r="G93" s="2046">
        <f t="shared" si="55"/>
        <v>156145</v>
      </c>
      <c r="H93" s="2046">
        <f t="shared" si="55"/>
        <v>92650</v>
      </c>
      <c r="I93" s="2046">
        <f t="shared" si="55"/>
        <v>23205</v>
      </c>
      <c r="J93" s="2046">
        <v>0</v>
      </c>
      <c r="K93" s="2046">
        <v>0</v>
      </c>
      <c r="L93" s="2046">
        <v>0</v>
      </c>
      <c r="M93" s="3675"/>
      <c r="N93" s="4308"/>
      <c r="O93" s="4363"/>
    </row>
    <row r="94" spans="1:15" ht="13.5" customHeight="1" thickBot="1">
      <c r="A94" s="4359"/>
      <c r="B94" s="3094" t="s">
        <v>21</v>
      </c>
      <c r="C94" s="3656"/>
      <c r="D94" s="1406">
        <f>SUM(E94:L94)</f>
        <v>272000</v>
      </c>
      <c r="E94" s="1406">
        <v>0</v>
      </c>
      <c r="F94" s="1511">
        <f>2873-2873</f>
        <v>0</v>
      </c>
      <c r="G94" s="1511">
        <v>156145</v>
      </c>
      <c r="H94" s="1511">
        <v>92650</v>
      </c>
      <c r="I94" s="1511">
        <v>23205</v>
      </c>
      <c r="J94" s="1511">
        <v>0</v>
      </c>
      <c r="K94" s="1511">
        <v>0</v>
      </c>
      <c r="L94" s="1511">
        <v>0</v>
      </c>
      <c r="M94" s="3675"/>
      <c r="N94" s="4308"/>
      <c r="O94" s="4360"/>
    </row>
    <row r="95" spans="1:15" ht="39.75" customHeight="1" thickBot="1">
      <c r="A95" s="3625" t="s">
        <v>115</v>
      </c>
      <c r="B95" s="1774" t="s">
        <v>466</v>
      </c>
      <c r="C95" s="3180" t="s">
        <v>170</v>
      </c>
      <c r="D95" s="2303"/>
      <c r="E95" s="2303"/>
      <c r="F95" s="3181"/>
      <c r="G95" s="3181"/>
      <c r="H95" s="3181"/>
      <c r="I95" s="2303"/>
      <c r="J95" s="2303"/>
      <c r="K95" s="2303"/>
      <c r="L95" s="3182"/>
      <c r="M95" s="670"/>
      <c r="N95" s="2846"/>
      <c r="O95" s="4367" t="s">
        <v>314</v>
      </c>
    </row>
    <row r="96" spans="1:15" ht="13.5" customHeight="1">
      <c r="A96" s="4359"/>
      <c r="B96" s="1474" t="s">
        <v>10</v>
      </c>
      <c r="C96" s="2951"/>
      <c r="D96" s="1476">
        <f>+D97+D99</f>
        <v>3446020</v>
      </c>
      <c r="E96" s="1476">
        <f>+E97+E99</f>
        <v>0</v>
      </c>
      <c r="F96" s="1476">
        <f>+F97+F99</f>
        <v>0</v>
      </c>
      <c r="G96" s="1476">
        <f t="shared" ref="G96:L96" si="56">+G97+G99</f>
        <v>0</v>
      </c>
      <c r="H96" s="1476">
        <f t="shared" si="56"/>
        <v>298278</v>
      </c>
      <c r="I96" s="1476">
        <f t="shared" si="56"/>
        <v>1324061</v>
      </c>
      <c r="J96" s="1476">
        <f t="shared" si="56"/>
        <v>735528</v>
      </c>
      <c r="K96" s="1476">
        <f t="shared" si="56"/>
        <v>944889</v>
      </c>
      <c r="L96" s="1476">
        <f t="shared" si="56"/>
        <v>143264</v>
      </c>
      <c r="M96" s="1477">
        <f>+M97+M99</f>
        <v>3302756</v>
      </c>
      <c r="N96" s="2998">
        <f>+N97+N99</f>
        <v>3446020</v>
      </c>
      <c r="O96" s="4368"/>
    </row>
    <row r="97" spans="1:17" ht="13.5" customHeight="1" thickBot="1">
      <c r="A97" s="4359"/>
      <c r="B97" s="1478" t="s">
        <v>24</v>
      </c>
      <c r="C97" s="3655" t="s">
        <v>188</v>
      </c>
      <c r="D97" s="1479">
        <f>+D98</f>
        <v>516903</v>
      </c>
      <c r="E97" s="1484">
        <f>+E98</f>
        <v>0</v>
      </c>
      <c r="F97" s="1484">
        <f>+F98</f>
        <v>0</v>
      </c>
      <c r="G97" s="1484">
        <f t="shared" ref="G97:L97" si="57">+G98</f>
        <v>0</v>
      </c>
      <c r="H97" s="1484">
        <f t="shared" si="57"/>
        <v>44742</v>
      </c>
      <c r="I97" s="1484">
        <f t="shared" si="57"/>
        <v>198609</v>
      </c>
      <c r="J97" s="1484">
        <f t="shared" si="57"/>
        <v>110329</v>
      </c>
      <c r="K97" s="1484">
        <f t="shared" si="57"/>
        <v>141733</v>
      </c>
      <c r="L97" s="1484">
        <f t="shared" si="57"/>
        <v>21490</v>
      </c>
      <c r="M97" s="1480">
        <f>+M98</f>
        <v>495413</v>
      </c>
      <c r="N97" s="2996">
        <f>+N98</f>
        <v>516903</v>
      </c>
      <c r="O97" s="4369"/>
    </row>
    <row r="98" spans="1:17" ht="13.5" customHeight="1">
      <c r="A98" s="4359"/>
      <c r="B98" s="1481" t="s">
        <v>12</v>
      </c>
      <c r="C98" s="3649"/>
      <c r="D98" s="1406">
        <f>SUM(E98:L98)</f>
        <v>516903</v>
      </c>
      <c r="E98" s="1406">
        <v>0</v>
      </c>
      <c r="F98" s="1482">
        <f>507-507</f>
        <v>0</v>
      </c>
      <c r="G98" s="1482">
        <v>0</v>
      </c>
      <c r="H98" s="1482">
        <v>44742</v>
      </c>
      <c r="I98" s="1482">
        <v>198609</v>
      </c>
      <c r="J98" s="1482">
        <v>110329</v>
      </c>
      <c r="K98" s="1482">
        <v>141733</v>
      </c>
      <c r="L98" s="1482">
        <v>21490</v>
      </c>
      <c r="M98" s="2997">
        <f>SUM(F98:K98)</f>
        <v>495413</v>
      </c>
      <c r="N98" s="3005">
        <f>SUM(G98:L98)</f>
        <v>516903</v>
      </c>
      <c r="O98" s="3661"/>
    </row>
    <row r="99" spans="1:17" ht="13.5" customHeight="1" thickBot="1">
      <c r="A99" s="4359"/>
      <c r="B99" s="1483" t="s">
        <v>18</v>
      </c>
      <c r="C99" s="3649"/>
      <c r="D99" s="1479">
        <f>+D100</f>
        <v>2929117</v>
      </c>
      <c r="E99" s="1484">
        <f>+E100</f>
        <v>0</v>
      </c>
      <c r="F99" s="1484">
        <f>+F100</f>
        <v>0</v>
      </c>
      <c r="G99" s="1484">
        <f t="shared" ref="G99:L99" si="58">+G100</f>
        <v>0</v>
      </c>
      <c r="H99" s="1484">
        <f t="shared" si="58"/>
        <v>253536</v>
      </c>
      <c r="I99" s="1484">
        <f t="shared" si="58"/>
        <v>1125452</v>
      </c>
      <c r="J99" s="1484">
        <f t="shared" si="58"/>
        <v>625199</v>
      </c>
      <c r="K99" s="1484">
        <f t="shared" si="58"/>
        <v>803156</v>
      </c>
      <c r="L99" s="1484">
        <f t="shared" si="58"/>
        <v>121774</v>
      </c>
      <c r="M99" s="1480">
        <f>+M100</f>
        <v>2807343</v>
      </c>
      <c r="N99" s="3001">
        <f>+N100</f>
        <v>2929117</v>
      </c>
      <c r="O99" s="3663"/>
    </row>
    <row r="100" spans="1:17" ht="13.5" customHeight="1" thickBot="1">
      <c r="A100" s="4359"/>
      <c r="B100" s="3335" t="s">
        <v>21</v>
      </c>
      <c r="C100" s="3701"/>
      <c r="D100" s="1453">
        <f>SUM(E100:L100)</f>
        <v>2929117</v>
      </c>
      <c r="E100" s="1453">
        <v>0</v>
      </c>
      <c r="F100" s="1492">
        <f>2873-2873</f>
        <v>0</v>
      </c>
      <c r="G100" s="1492">
        <v>0</v>
      </c>
      <c r="H100" s="1492">
        <v>253536</v>
      </c>
      <c r="I100" s="1492">
        <v>1125452</v>
      </c>
      <c r="J100" s="1492">
        <v>625199</v>
      </c>
      <c r="K100" s="1492">
        <v>803156</v>
      </c>
      <c r="L100" s="1492">
        <v>121774</v>
      </c>
      <c r="M100" s="1799">
        <f>SUM(F100:K100)</f>
        <v>2807343</v>
      </c>
      <c r="N100" s="3000">
        <f>SUM(G100:L100)</f>
        <v>2929117</v>
      </c>
      <c r="O100" s="3661"/>
    </row>
    <row r="101" spans="1:17" ht="13.5" customHeight="1" thickBot="1">
      <c r="A101" s="4359"/>
      <c r="B101" s="2952" t="s">
        <v>22</v>
      </c>
      <c r="C101" s="2727"/>
      <c r="D101" s="2879">
        <f t="shared" ref="D101:L102" si="59">+D102</f>
        <v>2929117</v>
      </c>
      <c r="E101" s="2879">
        <f t="shared" si="59"/>
        <v>0</v>
      </c>
      <c r="F101" s="2879">
        <f t="shared" si="59"/>
        <v>0</v>
      </c>
      <c r="G101" s="2879">
        <f t="shared" si="59"/>
        <v>0</v>
      </c>
      <c r="H101" s="2879">
        <f t="shared" si="59"/>
        <v>253536</v>
      </c>
      <c r="I101" s="2879">
        <f t="shared" si="59"/>
        <v>1125452</v>
      </c>
      <c r="J101" s="2879">
        <f t="shared" si="59"/>
        <v>625199</v>
      </c>
      <c r="K101" s="2879">
        <f t="shared" si="59"/>
        <v>803156</v>
      </c>
      <c r="L101" s="2879">
        <f t="shared" si="59"/>
        <v>121774</v>
      </c>
      <c r="M101" s="3676"/>
      <c r="N101" s="4309"/>
      <c r="O101" s="4369" t="s">
        <v>193</v>
      </c>
    </row>
    <row r="102" spans="1:17" ht="13.5" customHeight="1">
      <c r="A102" s="4359"/>
      <c r="B102" s="2811" t="s">
        <v>18</v>
      </c>
      <c r="C102" s="4365" t="s">
        <v>191</v>
      </c>
      <c r="D102" s="3103">
        <f t="shared" si="59"/>
        <v>2929117</v>
      </c>
      <c r="E102" s="3103">
        <f t="shared" si="59"/>
        <v>0</v>
      </c>
      <c r="F102" s="3103">
        <f t="shared" si="59"/>
        <v>0</v>
      </c>
      <c r="G102" s="3103">
        <f t="shared" si="59"/>
        <v>0</v>
      </c>
      <c r="H102" s="3103">
        <f t="shared" si="59"/>
        <v>253536</v>
      </c>
      <c r="I102" s="3103">
        <f t="shared" si="59"/>
        <v>1125452</v>
      </c>
      <c r="J102" s="3103">
        <f t="shared" si="59"/>
        <v>625199</v>
      </c>
      <c r="K102" s="3103">
        <f t="shared" si="59"/>
        <v>803156</v>
      </c>
      <c r="L102" s="3103">
        <f t="shared" si="59"/>
        <v>121774</v>
      </c>
      <c r="M102" s="3675"/>
      <c r="N102" s="4308"/>
      <c r="O102" s="3662"/>
    </row>
    <row r="103" spans="1:17" ht="13.5" customHeight="1" thickBot="1">
      <c r="A103" s="4364"/>
      <c r="B103" s="3300" t="s">
        <v>21</v>
      </c>
      <c r="C103" s="4366"/>
      <c r="D103" s="1766">
        <f>SUM(E103:L103)</f>
        <v>2929117</v>
      </c>
      <c r="E103" s="1766">
        <v>0</v>
      </c>
      <c r="F103" s="1786">
        <f>2873-2873</f>
        <v>0</v>
      </c>
      <c r="G103" s="1786">
        <v>0</v>
      </c>
      <c r="H103" s="1786">
        <v>253536</v>
      </c>
      <c r="I103" s="1786">
        <v>1125452</v>
      </c>
      <c r="J103" s="1786">
        <v>625199</v>
      </c>
      <c r="K103" s="1786">
        <v>803156</v>
      </c>
      <c r="L103" s="1786">
        <v>121774</v>
      </c>
      <c r="M103" s="4370"/>
      <c r="N103" s="4370"/>
      <c r="O103" s="3663"/>
    </row>
    <row r="104" spans="1:17" s="653" customFormat="1" ht="36" hidden="1" customHeight="1">
      <c r="A104" s="2911" t="s">
        <v>167</v>
      </c>
      <c r="B104" s="2912"/>
      <c r="C104" s="2912"/>
      <c r="D104" s="2912"/>
      <c r="E104" s="2912"/>
      <c r="F104" s="2912"/>
      <c r="G104" s="2912"/>
      <c r="H104" s="2912"/>
      <c r="I104" s="2912"/>
      <c r="J104" s="2912"/>
      <c r="K104" s="2912"/>
      <c r="L104" s="2912"/>
      <c r="M104" s="2913"/>
      <c r="N104" s="2913"/>
      <c r="O104" s="2914"/>
    </row>
    <row r="105" spans="1:17" s="1508" customFormat="1" ht="19.5" hidden="1" customHeight="1">
      <c r="A105" s="2983"/>
      <c r="B105" s="1192" t="s">
        <v>76</v>
      </c>
      <c r="C105" s="1192"/>
      <c r="D105" s="2984">
        <f>+D106+D107</f>
        <v>0</v>
      </c>
      <c r="E105" s="2985">
        <f>+E106+E107</f>
        <v>0</v>
      </c>
      <c r="F105" s="2984">
        <f t="shared" ref="F105:N105" si="60">+F106+F107</f>
        <v>0</v>
      </c>
      <c r="G105" s="2984">
        <f t="shared" si="60"/>
        <v>0</v>
      </c>
      <c r="H105" s="2984">
        <f t="shared" si="60"/>
        <v>0</v>
      </c>
      <c r="I105" s="2984">
        <f t="shared" si="60"/>
        <v>0</v>
      </c>
      <c r="J105" s="2984">
        <f t="shared" si="60"/>
        <v>0</v>
      </c>
      <c r="K105" s="2984">
        <f t="shared" si="60"/>
        <v>0</v>
      </c>
      <c r="L105" s="2984">
        <f t="shared" si="60"/>
        <v>0</v>
      </c>
      <c r="M105" s="2986">
        <f t="shared" ref="M105" si="61">+M106+M107</f>
        <v>0</v>
      </c>
      <c r="N105" s="2986">
        <f t="shared" si="60"/>
        <v>0</v>
      </c>
      <c r="O105" s="2987"/>
      <c r="P105" s="2907"/>
      <c r="Q105" s="2907"/>
    </row>
    <row r="106" spans="1:17" s="1508" customFormat="1" ht="12.75" hidden="1" customHeight="1">
      <c r="A106" s="2974"/>
      <c r="B106" s="621" t="s">
        <v>77</v>
      </c>
      <c r="C106" s="216"/>
      <c r="D106" s="217">
        <f>D131</f>
        <v>0</v>
      </c>
      <c r="E106" s="1155">
        <f t="shared" ref="E106:L106" si="62">E131</f>
        <v>0</v>
      </c>
      <c r="F106" s="217">
        <f t="shared" si="62"/>
        <v>0</v>
      </c>
      <c r="G106" s="217">
        <f t="shared" si="62"/>
        <v>0</v>
      </c>
      <c r="H106" s="217">
        <f t="shared" si="62"/>
        <v>0</v>
      </c>
      <c r="I106" s="217">
        <f t="shared" si="62"/>
        <v>0</v>
      </c>
      <c r="J106" s="217">
        <f t="shared" si="62"/>
        <v>0</v>
      </c>
      <c r="K106" s="217">
        <f t="shared" si="62"/>
        <v>0</v>
      </c>
      <c r="L106" s="217">
        <f t="shared" si="62"/>
        <v>0</v>
      </c>
      <c r="M106" s="146">
        <f>SUM(E106:G106)</f>
        <v>0</v>
      </c>
      <c r="N106" s="2847">
        <f>SUM(G106:H106)</f>
        <v>0</v>
      </c>
      <c r="O106" s="2902"/>
      <c r="P106" s="2907"/>
      <c r="Q106" s="2907"/>
    </row>
    <row r="107" spans="1:17" s="1508" customFormat="1" ht="15" hidden="1" customHeight="1">
      <c r="A107" s="2820"/>
      <c r="B107" s="1156" t="s">
        <v>9</v>
      </c>
      <c r="C107" s="1801"/>
      <c r="D107" s="1802">
        <f>+D135+D122</f>
        <v>0</v>
      </c>
      <c r="E107" s="1803">
        <f t="shared" ref="E107:L107" si="63">+E135+E122</f>
        <v>0</v>
      </c>
      <c r="F107" s="1802">
        <f t="shared" si="63"/>
        <v>0</v>
      </c>
      <c r="G107" s="1802">
        <f t="shared" si="63"/>
        <v>0</v>
      </c>
      <c r="H107" s="1802">
        <f t="shared" si="63"/>
        <v>0</v>
      </c>
      <c r="I107" s="1802">
        <f t="shared" si="63"/>
        <v>0</v>
      </c>
      <c r="J107" s="1802">
        <f t="shared" si="63"/>
        <v>0</v>
      </c>
      <c r="K107" s="1802">
        <f t="shared" si="63"/>
        <v>0</v>
      </c>
      <c r="L107" s="1802">
        <f t="shared" si="63"/>
        <v>0</v>
      </c>
      <c r="M107" s="1800">
        <f>SUM(E107:G107)</f>
        <v>0</v>
      </c>
      <c r="N107" s="2848">
        <f>SUM(G107:K107)</f>
        <v>0</v>
      </c>
      <c r="O107" s="2864"/>
      <c r="P107" s="2908"/>
      <c r="Q107" s="2907"/>
    </row>
    <row r="108" spans="1:17" ht="14.25" hidden="1" customHeight="1">
      <c r="A108" s="2820"/>
      <c r="B108" s="581" t="s">
        <v>10</v>
      </c>
      <c r="C108" s="1804"/>
      <c r="D108" s="1805">
        <f>+D109</f>
        <v>0</v>
      </c>
      <c r="E108" s="1806">
        <f t="shared" ref="E108:L108" si="64">+E109</f>
        <v>0</v>
      </c>
      <c r="F108" s="1807">
        <f t="shared" si="64"/>
        <v>0</v>
      </c>
      <c r="G108" s="1807">
        <f t="shared" si="64"/>
        <v>0</v>
      </c>
      <c r="H108" s="1807">
        <f t="shared" si="64"/>
        <v>0</v>
      </c>
      <c r="I108" s="1807">
        <f t="shared" si="64"/>
        <v>0</v>
      </c>
      <c r="J108" s="1807">
        <f t="shared" si="64"/>
        <v>0</v>
      </c>
      <c r="K108" s="1807">
        <f t="shared" si="64"/>
        <v>0</v>
      </c>
      <c r="L108" s="1807">
        <f t="shared" si="64"/>
        <v>0</v>
      </c>
      <c r="M108" s="1445">
        <f>+M109</f>
        <v>0</v>
      </c>
      <c r="N108" s="2844">
        <f>+N109</f>
        <v>0</v>
      </c>
      <c r="O108" s="2864"/>
      <c r="P108" s="467"/>
    </row>
    <row r="109" spans="1:17" ht="12.95" hidden="1" customHeight="1">
      <c r="A109" s="2821"/>
      <c r="B109" s="622" t="s">
        <v>11</v>
      </c>
      <c r="C109" s="1808"/>
      <c r="D109" s="1809">
        <f>+D113+D114+D110</f>
        <v>0</v>
      </c>
      <c r="E109" s="1810">
        <f t="shared" ref="E109:L109" si="65">+E113+E114+E110</f>
        <v>0</v>
      </c>
      <c r="F109" s="1809">
        <f t="shared" si="65"/>
        <v>0</v>
      </c>
      <c r="G109" s="1809">
        <f t="shared" si="65"/>
        <v>0</v>
      </c>
      <c r="H109" s="1809">
        <f t="shared" si="65"/>
        <v>0</v>
      </c>
      <c r="I109" s="1809">
        <f t="shared" si="65"/>
        <v>0</v>
      </c>
      <c r="J109" s="1809">
        <f t="shared" si="65"/>
        <v>0</v>
      </c>
      <c r="K109" s="1809">
        <f t="shared" si="65"/>
        <v>0</v>
      </c>
      <c r="L109" s="1809">
        <f t="shared" si="65"/>
        <v>0</v>
      </c>
      <c r="M109" s="1811">
        <f>+M113+M114</f>
        <v>0</v>
      </c>
      <c r="N109" s="2849">
        <f>+N113+N114</f>
        <v>0</v>
      </c>
      <c r="O109" s="2864"/>
    </row>
    <row r="110" spans="1:17" ht="12.95" hidden="1" customHeight="1">
      <c r="A110" s="2822"/>
      <c r="B110" s="623" t="s">
        <v>12</v>
      </c>
      <c r="C110" s="1812"/>
      <c r="D110" s="1813">
        <f>D132</f>
        <v>0</v>
      </c>
      <c r="E110" s="1814">
        <f t="shared" ref="E110:L110" si="66">E132</f>
        <v>0</v>
      </c>
      <c r="F110" s="1813">
        <f t="shared" si="66"/>
        <v>0</v>
      </c>
      <c r="G110" s="1813">
        <f t="shared" si="66"/>
        <v>0</v>
      </c>
      <c r="H110" s="1813">
        <f t="shared" si="66"/>
        <v>0</v>
      </c>
      <c r="I110" s="1813">
        <f t="shared" si="66"/>
        <v>0</v>
      </c>
      <c r="J110" s="1813">
        <f t="shared" si="66"/>
        <v>0</v>
      </c>
      <c r="K110" s="1813">
        <f t="shared" si="66"/>
        <v>0</v>
      </c>
      <c r="L110" s="1813">
        <f t="shared" si="66"/>
        <v>0</v>
      </c>
      <c r="M110" s="1815"/>
      <c r="N110" s="2850"/>
      <c r="O110" s="2864"/>
    </row>
    <row r="111" spans="1:17" ht="13.5" hidden="1" customHeight="1">
      <c r="A111" s="2822"/>
      <c r="B111" s="901" t="s">
        <v>13</v>
      </c>
      <c r="C111" s="1816"/>
      <c r="D111" s="1817">
        <v>0</v>
      </c>
      <c r="E111" s="1818">
        <v>0</v>
      </c>
      <c r="F111" s="1817"/>
      <c r="G111" s="1817"/>
      <c r="H111" s="1817"/>
      <c r="I111" s="1817"/>
      <c r="J111" s="1817"/>
      <c r="K111" s="1817"/>
      <c r="L111" s="1817"/>
      <c r="M111" s="1815"/>
      <c r="N111" s="2850"/>
      <c r="O111" s="2864"/>
    </row>
    <row r="112" spans="1:17" ht="12.75" hidden="1" customHeight="1">
      <c r="A112" s="2822"/>
      <c r="B112" s="624" t="s">
        <v>13</v>
      </c>
      <c r="C112" s="1816"/>
      <c r="D112" s="1817">
        <v>0</v>
      </c>
      <c r="E112" s="1818">
        <v>0</v>
      </c>
      <c r="F112" s="1817"/>
      <c r="G112" s="1817"/>
      <c r="H112" s="1817"/>
      <c r="I112" s="1817"/>
      <c r="J112" s="1817"/>
      <c r="K112" s="1817"/>
      <c r="L112" s="1817"/>
      <c r="M112" s="1815"/>
      <c r="N112" s="2850"/>
      <c r="O112" s="2864"/>
    </row>
    <row r="113" spans="1:15" s="653" customFormat="1" ht="12.75" hidden="1" customHeight="1">
      <c r="A113" s="2823"/>
      <c r="B113" s="1157" t="s">
        <v>14</v>
      </c>
      <c r="C113" s="1816"/>
      <c r="D113" s="1817">
        <f>+D124</f>
        <v>0</v>
      </c>
      <c r="E113" s="1819">
        <f t="shared" ref="E113:L113" si="67">+E124</f>
        <v>0</v>
      </c>
      <c r="F113" s="1817">
        <f t="shared" si="67"/>
        <v>0</v>
      </c>
      <c r="G113" s="1817">
        <f t="shared" si="67"/>
        <v>0</v>
      </c>
      <c r="H113" s="1817">
        <f t="shared" si="67"/>
        <v>0</v>
      </c>
      <c r="I113" s="1817">
        <f t="shared" si="67"/>
        <v>0</v>
      </c>
      <c r="J113" s="1817">
        <f t="shared" si="67"/>
        <v>0</v>
      </c>
      <c r="K113" s="1817">
        <f t="shared" si="67"/>
        <v>0</v>
      </c>
      <c r="L113" s="1817">
        <f t="shared" si="67"/>
        <v>0</v>
      </c>
      <c r="M113" s="1815">
        <f>SUM(E113:L114)</f>
        <v>0</v>
      </c>
      <c r="N113" s="2850">
        <f>SUM(G113:L113)</f>
        <v>0</v>
      </c>
      <c r="O113" s="2865"/>
    </row>
    <row r="114" spans="1:15" ht="12.75" hidden="1" customHeight="1">
      <c r="A114" s="2824"/>
      <c r="B114" s="623" t="s">
        <v>62</v>
      </c>
      <c r="C114" s="1820"/>
      <c r="D114" s="1813">
        <f>+D137+D125</f>
        <v>0</v>
      </c>
      <c r="E114" s="1814">
        <f>+E137+E125</f>
        <v>0</v>
      </c>
      <c r="F114" s="1813"/>
      <c r="G114" s="1813"/>
      <c r="H114" s="1813"/>
      <c r="I114" s="1813"/>
      <c r="J114" s="1813"/>
      <c r="K114" s="1813"/>
      <c r="L114" s="1813"/>
      <c r="M114" s="1815">
        <f>SUM(E114:H114)</f>
        <v>0</v>
      </c>
      <c r="N114" s="2850">
        <f>SUM(F114:I114)</f>
        <v>0</v>
      </c>
      <c r="O114" s="2866"/>
    </row>
    <row r="115" spans="1:15" ht="15" hidden="1" customHeight="1">
      <c r="A115" s="625"/>
      <c r="B115" s="581" t="s">
        <v>22</v>
      </c>
      <c r="C115" s="1475"/>
      <c r="D115" s="1534">
        <f>+D116</f>
        <v>0</v>
      </c>
      <c r="E115" s="1535">
        <f t="shared" ref="E115:L115" si="68">+E116</f>
        <v>0</v>
      </c>
      <c r="F115" s="1534">
        <f t="shared" si="68"/>
        <v>0</v>
      </c>
      <c r="G115" s="1534">
        <f t="shared" si="68"/>
        <v>0</v>
      </c>
      <c r="H115" s="1534">
        <f t="shared" si="68"/>
        <v>0</v>
      </c>
      <c r="I115" s="1534">
        <f t="shared" si="68"/>
        <v>0</v>
      </c>
      <c r="J115" s="1534">
        <f t="shared" si="68"/>
        <v>0</v>
      </c>
      <c r="K115" s="1534">
        <f t="shared" si="68"/>
        <v>0</v>
      </c>
      <c r="L115" s="1534">
        <f t="shared" si="68"/>
        <v>0</v>
      </c>
      <c r="M115" s="4347" t="s">
        <v>23</v>
      </c>
      <c r="N115" s="4347" t="s">
        <v>23</v>
      </c>
      <c r="O115" s="17"/>
    </row>
    <row r="116" spans="1:15" ht="12" hidden="1" customHeight="1">
      <c r="A116" s="1205"/>
      <c r="B116" s="622" t="s">
        <v>11</v>
      </c>
      <c r="C116" s="1808"/>
      <c r="D116" s="1809">
        <f>SUM(D118:D120)</f>
        <v>0</v>
      </c>
      <c r="E116" s="1810">
        <f>SUM(E118:E120)</f>
        <v>0</v>
      </c>
      <c r="F116" s="1809">
        <f t="shared" ref="F116:L116" si="69">SUM(F118:F120)</f>
        <v>0</v>
      </c>
      <c r="G116" s="1809">
        <f t="shared" si="69"/>
        <v>0</v>
      </c>
      <c r="H116" s="1809">
        <f t="shared" si="69"/>
        <v>0</v>
      </c>
      <c r="I116" s="1809">
        <f t="shared" si="69"/>
        <v>0</v>
      </c>
      <c r="J116" s="1809">
        <f t="shared" si="69"/>
        <v>0</v>
      </c>
      <c r="K116" s="1809">
        <f t="shared" si="69"/>
        <v>0</v>
      </c>
      <c r="L116" s="1809">
        <f t="shared" si="69"/>
        <v>0</v>
      </c>
      <c r="M116" s="4330"/>
      <c r="N116" s="4330"/>
      <c r="O116" s="17"/>
    </row>
    <row r="117" spans="1:15" ht="13.5" hidden="1" customHeight="1">
      <c r="A117" s="1204"/>
      <c r="B117" s="624" t="s">
        <v>13</v>
      </c>
      <c r="C117" s="1820"/>
      <c r="D117" s="1821">
        <v>0</v>
      </c>
      <c r="E117" s="1822">
        <v>0</v>
      </c>
      <c r="F117" s="1813"/>
      <c r="G117" s="1813"/>
      <c r="H117" s="1813"/>
      <c r="I117" s="1813"/>
      <c r="J117" s="1813"/>
      <c r="K117" s="1813"/>
      <c r="L117" s="1813"/>
      <c r="M117" s="4330"/>
      <c r="N117" s="4330"/>
      <c r="O117" s="17"/>
    </row>
    <row r="118" spans="1:15" ht="12.95" hidden="1" customHeight="1">
      <c r="A118" s="1204"/>
      <c r="B118" s="624" t="s">
        <v>13</v>
      </c>
      <c r="C118" s="1812"/>
      <c r="D118" s="1821">
        <v>0</v>
      </c>
      <c r="E118" s="1822">
        <v>0</v>
      </c>
      <c r="F118" s="1821"/>
      <c r="G118" s="1821"/>
      <c r="H118" s="1821"/>
      <c r="I118" s="1821"/>
      <c r="J118" s="1821"/>
      <c r="K118" s="1821"/>
      <c r="L118" s="1821"/>
      <c r="M118" s="4330"/>
      <c r="N118" s="4330"/>
      <c r="O118" s="17"/>
    </row>
    <row r="119" spans="1:15" ht="13.5" hidden="1" customHeight="1">
      <c r="A119" s="1204"/>
      <c r="B119" s="623" t="s">
        <v>14</v>
      </c>
      <c r="C119" s="1812"/>
      <c r="D119" s="1821">
        <f>+D128</f>
        <v>0</v>
      </c>
      <c r="E119" s="1822">
        <f t="shared" ref="E119:L119" si="70">+E128</f>
        <v>0</v>
      </c>
      <c r="F119" s="1821">
        <f t="shared" si="70"/>
        <v>0</v>
      </c>
      <c r="G119" s="1821">
        <f t="shared" si="70"/>
        <v>0</v>
      </c>
      <c r="H119" s="1821">
        <f t="shared" si="70"/>
        <v>0</v>
      </c>
      <c r="I119" s="1821">
        <f t="shared" si="70"/>
        <v>0</v>
      </c>
      <c r="J119" s="1821">
        <f t="shared" si="70"/>
        <v>0</v>
      </c>
      <c r="K119" s="1821">
        <f t="shared" si="70"/>
        <v>0</v>
      </c>
      <c r="L119" s="1821">
        <f t="shared" si="70"/>
        <v>0</v>
      </c>
      <c r="M119" s="4330"/>
      <c r="N119" s="4330"/>
      <c r="O119" s="17"/>
    </row>
    <row r="120" spans="1:15" ht="14.25" hidden="1" customHeight="1" thickBot="1">
      <c r="A120" s="1206"/>
      <c r="B120" s="878" t="s">
        <v>62</v>
      </c>
      <c r="C120" s="1823"/>
      <c r="D120" s="1824">
        <f>+D140+D129</f>
        <v>0</v>
      </c>
      <c r="E120" s="1824">
        <f>+E140+E129</f>
        <v>0</v>
      </c>
      <c r="F120" s="1824"/>
      <c r="G120" s="1824"/>
      <c r="H120" s="1824"/>
      <c r="I120" s="1824"/>
      <c r="J120" s="1824"/>
      <c r="K120" s="1824"/>
      <c r="L120" s="1824"/>
      <c r="M120" s="4331"/>
      <c r="N120" s="4331"/>
      <c r="O120" s="1207"/>
    </row>
    <row r="121" spans="1:15" ht="15.75" hidden="1" customHeight="1">
      <c r="A121" s="3625" t="s">
        <v>63</v>
      </c>
      <c r="B121" s="2287"/>
      <c r="C121" s="1158" t="s">
        <v>81</v>
      </c>
      <c r="D121" s="1158"/>
      <c r="E121" s="59"/>
      <c r="F121" s="1159"/>
      <c r="G121" s="1159"/>
      <c r="H121" s="1159"/>
      <c r="I121" s="1159"/>
      <c r="J121" s="1159"/>
      <c r="K121" s="1159"/>
      <c r="L121" s="1159"/>
      <c r="M121" s="1160"/>
      <c r="N121" s="1160"/>
      <c r="O121" s="4341" t="s">
        <v>402</v>
      </c>
    </row>
    <row r="122" spans="1:15" ht="15.75" hidden="1" customHeight="1">
      <c r="A122" s="3626"/>
      <c r="B122" s="451" t="s">
        <v>10</v>
      </c>
      <c r="C122" s="1825"/>
      <c r="D122" s="1534">
        <f>+D123</f>
        <v>0</v>
      </c>
      <c r="E122" s="1534">
        <f t="shared" ref="E122:L122" si="71">+E123</f>
        <v>0</v>
      </c>
      <c r="F122" s="1534">
        <f t="shared" si="71"/>
        <v>0</v>
      </c>
      <c r="G122" s="1534">
        <f t="shared" si="71"/>
        <v>0</v>
      </c>
      <c r="H122" s="1534">
        <f t="shared" si="71"/>
        <v>0</v>
      </c>
      <c r="I122" s="1534">
        <f t="shared" si="71"/>
        <v>0</v>
      </c>
      <c r="J122" s="1534">
        <f t="shared" si="71"/>
        <v>0</v>
      </c>
      <c r="K122" s="1534">
        <f t="shared" si="71"/>
        <v>0</v>
      </c>
      <c r="L122" s="1534">
        <f t="shared" si="71"/>
        <v>0</v>
      </c>
      <c r="M122" s="1826">
        <f>+M123</f>
        <v>0</v>
      </c>
      <c r="N122" s="1826">
        <f>+N123</f>
        <v>0</v>
      </c>
      <c r="O122" s="4342"/>
    </row>
    <row r="123" spans="1:15" s="653" customFormat="1" ht="15.75" hidden="1" customHeight="1">
      <c r="A123" s="3626"/>
      <c r="B123" s="1837" t="s">
        <v>11</v>
      </c>
      <c r="C123" s="4344" t="s">
        <v>311</v>
      </c>
      <c r="D123" s="2050">
        <f>+D125+D124</f>
        <v>0</v>
      </c>
      <c r="E123" s="1565">
        <f t="shared" ref="E123" si="72">+E125+E124</f>
        <v>0</v>
      </c>
      <c r="F123" s="1775">
        <f t="shared" ref="F123:L123" si="73">+F125+F124</f>
        <v>0</v>
      </c>
      <c r="G123" s="1775">
        <f t="shared" si="73"/>
        <v>0</v>
      </c>
      <c r="H123" s="1775">
        <f t="shared" si="73"/>
        <v>0</v>
      </c>
      <c r="I123" s="1565">
        <f t="shared" si="73"/>
        <v>0</v>
      </c>
      <c r="J123" s="1565">
        <f t="shared" si="73"/>
        <v>0</v>
      </c>
      <c r="K123" s="1565">
        <f t="shared" si="73"/>
        <v>0</v>
      </c>
      <c r="L123" s="1565">
        <f t="shared" si="73"/>
        <v>0</v>
      </c>
      <c r="M123" s="1785">
        <f>M125+M124</f>
        <v>0</v>
      </c>
      <c r="N123" s="1785">
        <f>N125+N124</f>
        <v>0</v>
      </c>
      <c r="O123" s="4342"/>
    </row>
    <row r="124" spans="1:15" s="653" customFormat="1" ht="15.75" hidden="1" customHeight="1">
      <c r="A124" s="3626"/>
      <c r="B124" s="642" t="s">
        <v>14</v>
      </c>
      <c r="C124" s="4345"/>
      <c r="D124" s="2051">
        <f>E124+F124+G124+H124+I124+J124+K124+L124</f>
        <v>0</v>
      </c>
      <c r="E124" s="1458"/>
      <c r="F124" s="1827"/>
      <c r="G124" s="1827"/>
      <c r="H124" s="1827"/>
      <c r="I124" s="1827"/>
      <c r="J124" s="1827"/>
      <c r="K124" s="1827"/>
      <c r="L124" s="1827">
        <v>0</v>
      </c>
      <c r="M124" s="1838">
        <f>SUM(F124:K124)</f>
        <v>0</v>
      </c>
      <c r="N124" s="1567">
        <f>SUM(G124:L124)</f>
        <v>0</v>
      </c>
      <c r="O124" s="4342"/>
    </row>
    <row r="125" spans="1:15" ht="13.5" hidden="1" customHeight="1">
      <c r="A125" s="3626"/>
      <c r="B125" s="630" t="s">
        <v>16</v>
      </c>
      <c r="C125" s="4346"/>
      <c r="D125" s="2049"/>
      <c r="E125" s="1828"/>
      <c r="F125" s="1839"/>
      <c r="G125" s="1839"/>
      <c r="H125" s="1839"/>
      <c r="I125" s="1566"/>
      <c r="J125" s="1566"/>
      <c r="K125" s="1566"/>
      <c r="L125" s="1566"/>
      <c r="M125" s="1815">
        <f>SUM(E125:H125)</f>
        <v>0</v>
      </c>
      <c r="N125" s="1815">
        <f>SUM(F125:I125)</f>
        <v>0</v>
      </c>
      <c r="O125" s="4342"/>
    </row>
    <row r="126" spans="1:15" ht="15" hidden="1" customHeight="1">
      <c r="A126" s="3626"/>
      <c r="B126" s="451" t="s">
        <v>22</v>
      </c>
      <c r="C126" s="1825"/>
      <c r="D126" s="1534">
        <f>+D127</f>
        <v>0</v>
      </c>
      <c r="E126" s="1534">
        <f t="shared" ref="E126:L126" si="74">+E127</f>
        <v>0</v>
      </c>
      <c r="F126" s="1534">
        <f t="shared" si="74"/>
        <v>0</v>
      </c>
      <c r="G126" s="1534">
        <f t="shared" si="74"/>
        <v>0</v>
      </c>
      <c r="H126" s="1534">
        <f t="shared" si="74"/>
        <v>0</v>
      </c>
      <c r="I126" s="1534">
        <f t="shared" si="74"/>
        <v>0</v>
      </c>
      <c r="J126" s="1534">
        <f t="shared" si="74"/>
        <v>0</v>
      </c>
      <c r="K126" s="1534">
        <f t="shared" si="74"/>
        <v>0</v>
      </c>
      <c r="L126" s="1534">
        <f t="shared" si="74"/>
        <v>0</v>
      </c>
      <c r="M126" s="4348" t="s">
        <v>61</v>
      </c>
      <c r="N126" s="4348" t="s">
        <v>61</v>
      </c>
      <c r="O126" s="4342"/>
    </row>
    <row r="127" spans="1:15" s="653" customFormat="1" ht="15" hidden="1" customHeight="1">
      <c r="A127" s="3626"/>
      <c r="B127" s="1837" t="s">
        <v>11</v>
      </c>
      <c r="C127" s="3749" t="s">
        <v>311</v>
      </c>
      <c r="D127" s="1775">
        <f>+D129+D128</f>
        <v>0</v>
      </c>
      <c r="E127" s="1565">
        <f>+E129+E128</f>
        <v>0</v>
      </c>
      <c r="F127" s="1775">
        <f t="shared" ref="F127:L127" si="75">+F129+F128</f>
        <v>0</v>
      </c>
      <c r="G127" s="1775">
        <f t="shared" si="75"/>
        <v>0</v>
      </c>
      <c r="H127" s="1775">
        <f t="shared" si="75"/>
        <v>0</v>
      </c>
      <c r="I127" s="1565">
        <f t="shared" si="75"/>
        <v>0</v>
      </c>
      <c r="J127" s="1565">
        <f t="shared" si="75"/>
        <v>0</v>
      </c>
      <c r="K127" s="1565">
        <f t="shared" si="75"/>
        <v>0</v>
      </c>
      <c r="L127" s="1565">
        <f t="shared" si="75"/>
        <v>0</v>
      </c>
      <c r="M127" s="4349"/>
      <c r="N127" s="4349"/>
      <c r="O127" s="4342"/>
    </row>
    <row r="128" spans="1:15" ht="15" hidden="1" customHeight="1" thickBot="1">
      <c r="A128" s="3836"/>
      <c r="B128" s="74" t="s">
        <v>14</v>
      </c>
      <c r="C128" s="4358"/>
      <c r="D128" s="1766">
        <f>E128+F128+G128+H128+I128+J128+K128+L128</f>
        <v>0</v>
      </c>
      <c r="E128" s="1829"/>
      <c r="F128" s="1830"/>
      <c r="G128" s="1830"/>
      <c r="H128" s="1830"/>
      <c r="I128" s="1830"/>
      <c r="J128" s="1830"/>
      <c r="K128" s="1830"/>
      <c r="L128" s="1831">
        <v>0</v>
      </c>
      <c r="M128" s="4350"/>
      <c r="N128" s="4350"/>
      <c r="O128" s="4343"/>
    </row>
    <row r="129" spans="1:15" ht="13.5" hidden="1" customHeight="1" thickBot="1">
      <c r="A129" s="1161"/>
      <c r="B129" s="1162" t="s">
        <v>16</v>
      </c>
      <c r="C129" s="3348"/>
      <c r="D129" s="1154"/>
      <c r="E129" s="1163"/>
      <c r="F129" s="1164"/>
      <c r="G129" s="1165"/>
      <c r="H129" s="1165"/>
      <c r="I129" s="1165"/>
      <c r="J129" s="1165"/>
      <c r="K129" s="1165"/>
      <c r="L129" s="1165"/>
      <c r="M129" s="1166"/>
      <c r="N129" s="1166"/>
      <c r="O129" s="1167"/>
    </row>
    <row r="130" spans="1:15" s="639" customFormat="1" ht="29.25" hidden="1" customHeight="1">
      <c r="A130" s="4351" t="s">
        <v>64</v>
      </c>
      <c r="B130" s="634" t="s">
        <v>312</v>
      </c>
      <c r="C130" s="647" t="s">
        <v>109</v>
      </c>
      <c r="D130" s="647"/>
      <c r="E130" s="83"/>
      <c r="F130" s="648"/>
      <c r="G130" s="648"/>
      <c r="H130" s="648"/>
      <c r="I130" s="648"/>
      <c r="J130" s="648"/>
      <c r="K130" s="648"/>
      <c r="L130" s="648"/>
      <c r="M130" s="635"/>
      <c r="N130" s="635"/>
      <c r="O130" s="4352" t="s">
        <v>164</v>
      </c>
    </row>
    <row r="131" spans="1:15" s="639" customFormat="1" ht="16.5" hidden="1" customHeight="1">
      <c r="A131" s="4351"/>
      <c r="B131" s="581" t="s">
        <v>10</v>
      </c>
      <c r="C131" s="1825"/>
      <c r="D131" s="1476"/>
      <c r="E131" s="1780"/>
      <c r="F131" s="1780"/>
      <c r="G131" s="1780"/>
      <c r="H131" s="1476"/>
      <c r="I131" s="1476"/>
      <c r="J131" s="1476"/>
      <c r="K131" s="1476"/>
      <c r="L131" s="1538"/>
      <c r="M131" s="1826">
        <f>M132</f>
        <v>0</v>
      </c>
      <c r="N131" s="1826">
        <f>N132</f>
        <v>0</v>
      </c>
      <c r="O131" s="4352"/>
    </row>
    <row r="132" spans="1:15" s="639" customFormat="1" ht="13.5" hidden="1" customHeight="1">
      <c r="A132" s="4351"/>
      <c r="B132" s="628" t="s">
        <v>11</v>
      </c>
      <c r="C132" s="4353" t="s">
        <v>169</v>
      </c>
      <c r="D132" s="1565"/>
      <c r="E132" s="2361"/>
      <c r="F132" s="2361"/>
      <c r="G132" s="2361"/>
      <c r="H132" s="1565"/>
      <c r="I132" s="1565"/>
      <c r="J132" s="1565"/>
      <c r="K132" s="1565"/>
      <c r="L132" s="1565"/>
      <c r="M132" s="1785">
        <f>M133</f>
        <v>0</v>
      </c>
      <c r="N132" s="1785">
        <f>N133</f>
        <v>0</v>
      </c>
      <c r="O132" s="4352"/>
    </row>
    <row r="133" spans="1:15" s="639" customFormat="1" ht="13.5" hidden="1" customHeight="1" thickBot="1">
      <c r="A133" s="4356"/>
      <c r="B133" s="79" t="s">
        <v>12</v>
      </c>
      <c r="C133" s="3835"/>
      <c r="D133" s="2362"/>
      <c r="E133" s="2363"/>
      <c r="F133" s="1168"/>
      <c r="G133" s="1168"/>
      <c r="H133" s="1169"/>
      <c r="I133" s="1169"/>
      <c r="J133" s="1169"/>
      <c r="K133" s="1169"/>
      <c r="L133" s="1169"/>
      <c r="M133" s="2364">
        <f>SUM(E133:K133)</f>
        <v>0</v>
      </c>
      <c r="N133" s="2364">
        <f>SUM(F133:L133)</f>
        <v>0</v>
      </c>
      <c r="O133" s="4357"/>
    </row>
    <row r="134" spans="1:15" ht="19.5" hidden="1" customHeight="1">
      <c r="A134" s="4351"/>
      <c r="B134" s="634"/>
      <c r="C134" s="647" t="s">
        <v>81</v>
      </c>
      <c r="D134" s="879"/>
      <c r="E134" s="83"/>
      <c r="F134" s="83"/>
      <c r="G134" s="648"/>
      <c r="H134" s="648"/>
      <c r="I134" s="648"/>
      <c r="J134" s="648"/>
      <c r="K134" s="648"/>
      <c r="L134" s="648"/>
      <c r="M134" s="635"/>
      <c r="N134" s="635"/>
      <c r="O134" s="4352"/>
    </row>
    <row r="135" spans="1:15" ht="12.75" hidden="1" customHeight="1">
      <c r="A135" s="4351"/>
      <c r="B135" s="581" t="s">
        <v>10</v>
      </c>
      <c r="C135" s="1825"/>
      <c r="D135" s="1805"/>
      <c r="E135" s="1807"/>
      <c r="F135" s="1538"/>
      <c r="G135" s="1476"/>
      <c r="H135" s="1476"/>
      <c r="I135" s="1476"/>
      <c r="J135" s="1476"/>
      <c r="K135" s="1476"/>
      <c r="L135" s="1538"/>
      <c r="M135" s="1826"/>
      <c r="N135" s="1826"/>
      <c r="O135" s="4352"/>
    </row>
    <row r="136" spans="1:15" ht="13.5" hidden="1" customHeight="1">
      <c r="A136" s="4351"/>
      <c r="B136" s="628" t="s">
        <v>11</v>
      </c>
      <c r="C136" s="4353" t="s">
        <v>165</v>
      </c>
      <c r="D136" s="1565"/>
      <c r="E136" s="1565"/>
      <c r="F136" s="1565"/>
      <c r="G136" s="1565"/>
      <c r="H136" s="1565"/>
      <c r="I136" s="1565"/>
      <c r="J136" s="1565"/>
      <c r="K136" s="1565"/>
      <c r="L136" s="1565"/>
      <c r="M136" s="1785"/>
      <c r="N136" s="1785"/>
      <c r="O136" s="4352"/>
    </row>
    <row r="137" spans="1:15" ht="13.5" hidden="1" customHeight="1">
      <c r="A137" s="4351"/>
      <c r="B137" s="630" t="s">
        <v>16</v>
      </c>
      <c r="C137" s="4354"/>
      <c r="D137" s="2365"/>
      <c r="E137" s="1566"/>
      <c r="F137" s="1566"/>
      <c r="G137" s="1566"/>
      <c r="H137" s="1566"/>
      <c r="I137" s="1566"/>
      <c r="J137" s="1566"/>
      <c r="K137" s="1566"/>
      <c r="L137" s="1566"/>
      <c r="M137" s="1815"/>
      <c r="N137" s="1815"/>
      <c r="O137" s="4352"/>
    </row>
    <row r="138" spans="1:15" ht="13.5" hidden="1" customHeight="1">
      <c r="A138" s="4351"/>
      <c r="B138" s="581" t="s">
        <v>22</v>
      </c>
      <c r="C138" s="1825"/>
      <c r="D138" s="1534"/>
      <c r="E138" s="1534"/>
      <c r="F138" s="1476"/>
      <c r="G138" s="1476"/>
      <c r="H138" s="1476"/>
      <c r="I138" s="1476"/>
      <c r="J138" s="1476"/>
      <c r="K138" s="1476"/>
      <c r="L138" s="1538"/>
      <c r="M138" s="2366"/>
      <c r="N138" s="2366"/>
      <c r="O138" s="4352"/>
    </row>
    <row r="139" spans="1:15" ht="15.75" hidden="1" customHeight="1">
      <c r="A139" s="4351"/>
      <c r="B139" s="628" t="s">
        <v>11</v>
      </c>
      <c r="C139" s="4353" t="s">
        <v>165</v>
      </c>
      <c r="D139" s="1565">
        <f>+D140</f>
        <v>0</v>
      </c>
      <c r="E139" s="1565">
        <f t="shared" ref="E139" si="76">+E140</f>
        <v>0</v>
      </c>
      <c r="F139" s="1565"/>
      <c r="G139" s="1565"/>
      <c r="H139" s="1565"/>
      <c r="I139" s="1565"/>
      <c r="J139" s="1565"/>
      <c r="K139" s="1565"/>
      <c r="L139" s="1565"/>
      <c r="M139" s="2366"/>
      <c r="N139" s="2366"/>
      <c r="O139" s="4352"/>
    </row>
    <row r="140" spans="1:15" ht="10.5" hidden="1" customHeight="1">
      <c r="A140" s="4351"/>
      <c r="B140" s="630" t="s">
        <v>16</v>
      </c>
      <c r="C140" s="4355"/>
      <c r="D140" s="2365"/>
      <c r="E140" s="1566"/>
      <c r="F140" s="2367"/>
      <c r="G140" s="2367"/>
      <c r="H140" s="2367"/>
      <c r="I140" s="2367"/>
      <c r="J140" s="2367"/>
      <c r="K140" s="2367"/>
      <c r="L140" s="2367"/>
      <c r="M140" s="2366"/>
      <c r="N140" s="2366"/>
      <c r="O140" s="4352"/>
    </row>
    <row r="143" spans="1:15" ht="16.5" hidden="1" customHeight="1">
      <c r="B143" s="2368" t="s">
        <v>350</v>
      </c>
      <c r="C143" s="3349"/>
      <c r="D143" s="3349"/>
      <c r="E143" s="3349"/>
      <c r="F143" s="3349"/>
      <c r="G143" s="3349"/>
      <c r="H143" s="3349"/>
      <c r="I143" s="3349"/>
      <c r="J143" s="3349"/>
      <c r="K143" s="3349"/>
      <c r="L143" s="3349"/>
    </row>
    <row r="144" spans="1:15" ht="16.5" hidden="1" customHeight="1">
      <c r="B144" s="3350" t="s">
        <v>351</v>
      </c>
      <c r="C144" s="3349"/>
      <c r="D144" s="3351">
        <f t="shared" ref="D144:L144" si="77">D50+D83+D63+D92+D101</f>
        <v>41897230</v>
      </c>
      <c r="E144" s="3351">
        <f t="shared" si="77"/>
        <v>7444603</v>
      </c>
      <c r="F144" s="3351">
        <f t="shared" si="77"/>
        <v>4882915</v>
      </c>
      <c r="G144" s="3351">
        <f t="shared" si="77"/>
        <v>7059018</v>
      </c>
      <c r="H144" s="3351">
        <f t="shared" si="77"/>
        <v>8051796</v>
      </c>
      <c r="I144" s="3351">
        <f t="shared" si="77"/>
        <v>7748657</v>
      </c>
      <c r="J144" s="3351">
        <f t="shared" si="77"/>
        <v>2558441</v>
      </c>
      <c r="K144" s="3351">
        <f t="shared" si="77"/>
        <v>2460734</v>
      </c>
      <c r="L144" s="3351">
        <f t="shared" si="77"/>
        <v>1691066</v>
      </c>
    </row>
    <row r="145" spans="1:15" ht="15.75" hidden="1" customHeight="1">
      <c r="B145" s="3350" t="s">
        <v>352</v>
      </c>
      <c r="C145" s="3349"/>
      <c r="D145" s="3351">
        <f>D74</f>
        <v>841516</v>
      </c>
      <c r="E145" s="3351">
        <f t="shared" ref="E145:M145" si="78">E74</f>
        <v>0</v>
      </c>
      <c r="F145" s="3351">
        <f t="shared" si="78"/>
        <v>0</v>
      </c>
      <c r="G145" s="3351">
        <f t="shared" si="78"/>
        <v>209635</v>
      </c>
      <c r="H145" s="3351">
        <f t="shared" si="78"/>
        <v>480241</v>
      </c>
      <c r="I145" s="3351">
        <f t="shared" si="78"/>
        <v>151640</v>
      </c>
      <c r="J145" s="3351">
        <f t="shared" si="78"/>
        <v>0</v>
      </c>
      <c r="K145" s="3351">
        <f t="shared" si="78"/>
        <v>0</v>
      </c>
      <c r="L145" s="3351">
        <f t="shared" si="78"/>
        <v>0</v>
      </c>
      <c r="M145" s="3351">
        <f t="shared" si="78"/>
        <v>0</v>
      </c>
    </row>
    <row r="146" spans="1:15" ht="14.25" hidden="1" customHeight="1">
      <c r="B146" s="3350" t="s">
        <v>353</v>
      </c>
      <c r="C146" s="3349"/>
      <c r="D146" s="2033">
        <f>D144+D145</f>
        <v>42738746</v>
      </c>
      <c r="E146" s="2033">
        <f>E144+E145</f>
        <v>7444603</v>
      </c>
      <c r="F146" s="2033">
        <f t="shared" ref="F146:L146" si="79">F144+F145</f>
        <v>4882915</v>
      </c>
      <c r="G146" s="2033">
        <f t="shared" si="79"/>
        <v>7268653</v>
      </c>
      <c r="H146" s="2033">
        <f t="shared" si="79"/>
        <v>8532037</v>
      </c>
      <c r="I146" s="2033">
        <f t="shared" si="79"/>
        <v>7900297</v>
      </c>
      <c r="J146" s="2033">
        <f t="shared" si="79"/>
        <v>2558441</v>
      </c>
      <c r="K146" s="2033">
        <f t="shared" si="79"/>
        <v>2460734</v>
      </c>
      <c r="L146" s="2033">
        <f t="shared" si="79"/>
        <v>1691066</v>
      </c>
    </row>
    <row r="147" spans="1:15" s="653" customFormat="1" ht="16.5" hidden="1" customHeight="1">
      <c r="A147" s="2410"/>
      <c r="B147" s="2370" t="s">
        <v>42</v>
      </c>
      <c r="C147" s="2411"/>
      <c r="D147" s="2412">
        <f t="shared" ref="D147:L147" si="80">D146-D21</f>
        <v>0</v>
      </c>
      <c r="E147" s="2412">
        <f t="shared" si="80"/>
        <v>0</v>
      </c>
      <c r="F147" s="2412">
        <f t="shared" si="80"/>
        <v>0</v>
      </c>
      <c r="G147" s="2412">
        <f t="shared" si="80"/>
        <v>0</v>
      </c>
      <c r="H147" s="2412">
        <f t="shared" si="80"/>
        <v>0</v>
      </c>
      <c r="I147" s="2412">
        <f t="shared" si="80"/>
        <v>0</v>
      </c>
      <c r="J147" s="2412">
        <f t="shared" si="80"/>
        <v>0</v>
      </c>
      <c r="K147" s="2412">
        <f t="shared" si="80"/>
        <v>0</v>
      </c>
      <c r="L147" s="2412">
        <f t="shared" si="80"/>
        <v>0</v>
      </c>
      <c r="O147" s="2413"/>
    </row>
    <row r="148" spans="1:15" hidden="1"/>
    <row r="149" spans="1:15" hidden="1"/>
    <row r="150" spans="1:15" hidden="1"/>
    <row r="151" spans="1:15" hidden="1"/>
    <row r="152" spans="1:15" hidden="1"/>
    <row r="153" spans="1:15" ht="12.75" hidden="1" thickBot="1">
      <c r="A153" s="2371"/>
      <c r="B153" s="518"/>
      <c r="C153" s="518"/>
      <c r="D153" s="518"/>
      <c r="E153" s="518"/>
      <c r="F153" s="518"/>
      <c r="G153" s="518"/>
      <c r="H153" s="518"/>
      <c r="I153" s="518"/>
      <c r="J153" s="518"/>
      <c r="K153" s="518"/>
      <c r="L153" s="518"/>
      <c r="M153" s="518"/>
      <c r="N153" s="518"/>
      <c r="O153" s="2372"/>
    </row>
    <row r="154" spans="1:15" hidden="1"/>
    <row r="155" spans="1:15" hidden="1"/>
    <row r="175" spans="1:1" ht="12.75" thickBot="1">
      <c r="A175" s="2371"/>
    </row>
    <row r="176" spans="1:1" ht="12.75" thickBot="1">
      <c r="A176" s="2786"/>
    </row>
    <row r="177" spans="1:2" ht="12.75" thickBot="1">
      <c r="A177" s="2786"/>
    </row>
    <row r="178" spans="1:2" ht="12.75" thickBot="1">
      <c r="A178" s="2786"/>
    </row>
    <row r="179" spans="1:2" ht="12.75" thickBot="1">
      <c r="A179" s="2786"/>
    </row>
    <row r="180" spans="1:2" ht="12.75" thickBot="1">
      <c r="A180" s="2786"/>
    </row>
    <row r="181" spans="1:2" ht="12.75" thickBot="1">
      <c r="A181" s="2786"/>
    </row>
    <row r="182" spans="1:2" ht="12.75" thickBot="1">
      <c r="A182" s="2786"/>
    </row>
    <row r="183" spans="1:2" ht="12.75" thickBot="1">
      <c r="A183" s="2786"/>
    </row>
    <row r="184" spans="1:2" ht="12.75" thickBot="1">
      <c r="A184" s="2786"/>
    </row>
    <row r="185" spans="1:2" ht="12.75" thickBot="1">
      <c r="A185" s="2786"/>
    </row>
    <row r="186" spans="1:2" ht="12.75" thickBot="1">
      <c r="A186" s="2786"/>
      <c r="B186" s="518"/>
    </row>
    <row r="187" spans="1:2" ht="12.75" thickBot="1">
      <c r="A187" s="2786"/>
      <c r="B187" s="512"/>
    </row>
    <row r="188" spans="1:2" ht="12.75" thickBot="1">
      <c r="A188" s="2786"/>
    </row>
    <row r="189" spans="1:2" ht="12.75" thickBot="1">
      <c r="A189" s="2786"/>
    </row>
    <row r="190" spans="1:2" ht="12.75" thickBot="1">
      <c r="A190" s="2786"/>
    </row>
    <row r="191" spans="1:2" ht="12.75" thickBot="1">
      <c r="A191" s="2786"/>
    </row>
    <row r="192" spans="1:2" ht="12.75" thickBot="1">
      <c r="A192" s="2786"/>
    </row>
    <row r="193" spans="1:15" ht="12.75" thickBot="1">
      <c r="A193" s="2786"/>
    </row>
    <row r="194" spans="1:15" ht="12.75" thickBot="1">
      <c r="A194" s="2786"/>
    </row>
    <row r="195" spans="1:15" ht="12.75" thickBot="1">
      <c r="A195" s="2786"/>
    </row>
    <row r="196" spans="1:15" ht="12.75" thickBot="1">
      <c r="A196" s="2786"/>
    </row>
    <row r="197" spans="1:15" ht="12.75" thickBot="1">
      <c r="A197" s="2786"/>
    </row>
    <row r="198" spans="1:15" ht="12.75" thickBot="1">
      <c r="A198" s="2786"/>
    </row>
    <row r="199" spans="1:15" ht="12.75" thickBot="1">
      <c r="A199" s="2786"/>
    </row>
    <row r="200" spans="1:15" ht="12.75" thickBot="1">
      <c r="A200" s="2786"/>
      <c r="N200" s="518"/>
      <c r="O200" s="2372"/>
    </row>
    <row r="201" spans="1:15" ht="12.75" thickBot="1">
      <c r="A201" s="2786"/>
      <c r="C201" s="518"/>
      <c r="N201" s="2769"/>
      <c r="O201" s="2752"/>
    </row>
    <row r="202" spans="1:15" ht="12.75" thickBot="1">
      <c r="A202" s="2786"/>
      <c r="C202" s="2769"/>
      <c r="N202" s="2769"/>
      <c r="O202" s="2752"/>
    </row>
    <row r="203" spans="1:15" ht="12.75" thickBot="1">
      <c r="A203" s="2786"/>
      <c r="C203" s="2769"/>
      <c r="N203" s="2769"/>
      <c r="O203" s="2752"/>
    </row>
    <row r="204" spans="1:15" ht="12.75" thickBot="1">
      <c r="A204" s="2787"/>
      <c r="C204" s="2769"/>
      <c r="D204" s="518"/>
      <c r="E204" s="518"/>
      <c r="F204" s="518"/>
      <c r="G204" s="518"/>
      <c r="H204" s="518"/>
      <c r="I204" s="518"/>
      <c r="J204" s="518"/>
      <c r="K204" s="518"/>
      <c r="L204" s="518"/>
      <c r="N204" s="2769"/>
      <c r="O204" s="2752"/>
    </row>
    <row r="205" spans="1:15" ht="12.75" thickBot="1">
      <c r="C205" s="512"/>
      <c r="D205" s="512"/>
      <c r="E205" s="512"/>
      <c r="F205" s="512"/>
      <c r="G205" s="512"/>
      <c r="H205" s="512"/>
      <c r="I205" s="512"/>
      <c r="J205" s="512"/>
      <c r="K205" s="512"/>
      <c r="L205" s="512"/>
      <c r="N205" s="512"/>
      <c r="O205" s="2752"/>
    </row>
    <row r="206" spans="1:15" ht="12.75" thickBot="1">
      <c r="O206" s="2752"/>
    </row>
    <row r="207" spans="1:15" ht="12.75" thickBot="1">
      <c r="O207" s="2752"/>
    </row>
    <row r="208" spans="1:15" ht="12.75" thickBot="1">
      <c r="O208" s="2752"/>
    </row>
    <row r="209" spans="15:15" ht="12.75" thickBot="1">
      <c r="O209" s="2752"/>
    </row>
    <row r="210" spans="15:15" ht="12.75" thickBot="1">
      <c r="O210" s="2752"/>
    </row>
    <row r="211" spans="15:15" ht="12.75" thickBot="1">
      <c r="O211" s="2752"/>
    </row>
    <row r="212" spans="15:15" ht="12.75" thickBot="1">
      <c r="O212" s="2752"/>
    </row>
    <row r="213" spans="15:15" ht="12.75" thickBot="1">
      <c r="O213" s="2752"/>
    </row>
    <row r="214" spans="15:15">
      <c r="O214" s="2753"/>
    </row>
    <row r="248" spans="15:15" ht="12.75" thickBot="1">
      <c r="O248" s="2372"/>
    </row>
    <row r="249" spans="15:15" ht="12.75" thickBot="1">
      <c r="O249" s="2752"/>
    </row>
    <row r="250" spans="15:15" ht="12.75" thickBot="1">
      <c r="O250" s="2752"/>
    </row>
    <row r="251" spans="15:15" ht="12.75" thickBot="1">
      <c r="O251" s="2752"/>
    </row>
    <row r="252" spans="15:15" ht="12.75" thickBot="1">
      <c r="O252" s="2752"/>
    </row>
    <row r="253" spans="15:15" ht="12.75" thickBot="1">
      <c r="O253" s="2752"/>
    </row>
    <row r="254" spans="15:15" ht="12.75" thickBot="1">
      <c r="O254" s="2752"/>
    </row>
    <row r="255" spans="15:15" ht="12.75" thickBot="1">
      <c r="O255" s="2752"/>
    </row>
    <row r="256" spans="15:15" ht="12.75" thickBot="1">
      <c r="O256" s="2752"/>
    </row>
    <row r="257" spans="15:15" ht="12.75" thickBot="1">
      <c r="O257" s="2752"/>
    </row>
    <row r="258" spans="15:15" ht="12.75" thickBot="1">
      <c r="O258" s="2752"/>
    </row>
    <row r="259" spans="15:15" ht="12.75" thickBot="1">
      <c r="O259" s="2752"/>
    </row>
    <row r="260" spans="15:15" ht="12.75" thickBot="1">
      <c r="O260" s="2752"/>
    </row>
    <row r="261" spans="15:15" ht="12.75" thickBot="1">
      <c r="O261" s="2752"/>
    </row>
    <row r="262" spans="15:15">
      <c r="O262" s="2753"/>
    </row>
    <row r="401" spans="1:15" ht="12.75" thickBot="1">
      <c r="A401" s="2371"/>
    </row>
    <row r="402" spans="1:15" ht="12.75" thickBot="1">
      <c r="A402" s="2786"/>
    </row>
    <row r="403" spans="1:15" ht="12.75" thickBot="1">
      <c r="A403" s="2786"/>
    </row>
    <row r="404" spans="1:15" ht="12.75" thickBot="1">
      <c r="A404" s="2786"/>
    </row>
    <row r="405" spans="1:15" ht="12.75" thickBot="1">
      <c r="A405" s="2786"/>
    </row>
    <row r="406" spans="1:15" ht="12.75" thickBot="1">
      <c r="A406" s="2786"/>
    </row>
    <row r="407" spans="1:15" ht="12.75" thickBot="1">
      <c r="A407" s="2786"/>
      <c r="N407" s="518"/>
      <c r="O407" s="2372"/>
    </row>
    <row r="408" spans="1:15" ht="12.75" thickBot="1">
      <c r="A408" s="2786"/>
      <c r="C408" s="518"/>
      <c r="N408" s="2769"/>
      <c r="O408" s="2752"/>
    </row>
    <row r="409" spans="1:15" ht="12.75" thickBot="1">
      <c r="A409" s="2786"/>
      <c r="C409" s="2769"/>
      <c r="D409" s="518"/>
      <c r="E409" s="518"/>
      <c r="F409" s="518"/>
      <c r="G409" s="518"/>
      <c r="H409" s="518"/>
      <c r="I409" s="518"/>
      <c r="J409" s="518"/>
      <c r="K409" s="518"/>
      <c r="L409" s="518"/>
      <c r="N409" s="2769"/>
      <c r="O409" s="2752"/>
    </row>
    <row r="410" spans="1:15" ht="12.75" thickBot="1">
      <c r="A410" s="2786"/>
      <c r="C410" s="512"/>
      <c r="D410" s="512"/>
      <c r="E410" s="512"/>
      <c r="F410" s="512"/>
      <c r="G410" s="512"/>
      <c r="H410" s="512"/>
      <c r="I410" s="512"/>
      <c r="J410" s="512"/>
      <c r="K410" s="512"/>
      <c r="L410" s="512"/>
      <c r="N410" s="512"/>
      <c r="O410" s="2752"/>
    </row>
    <row r="411" spans="1:15" ht="12.75" thickBot="1">
      <c r="A411" s="2786"/>
      <c r="O411" s="2752"/>
    </row>
    <row r="412" spans="1:15" ht="12.75" thickBot="1">
      <c r="A412" s="2786"/>
      <c r="O412" s="2752"/>
    </row>
    <row r="413" spans="1:15" ht="12.75" thickBot="1">
      <c r="A413" s="2786"/>
      <c r="O413" s="2752"/>
    </row>
    <row r="414" spans="1:15" ht="12.75" thickBot="1">
      <c r="A414" s="2786"/>
      <c r="O414" s="2752"/>
    </row>
    <row r="415" spans="1:15" ht="12.75" thickBot="1">
      <c r="A415" s="2786"/>
      <c r="O415" s="2753"/>
    </row>
    <row r="416" spans="1:15" ht="12.75" thickBot="1">
      <c r="A416" s="2786"/>
    </row>
    <row r="417" spans="1:1" ht="12.75" thickBot="1">
      <c r="A417" s="2786"/>
    </row>
    <row r="418" spans="1:1">
      <c r="A418" s="2787"/>
    </row>
    <row r="516" spans="1:15" ht="12.75" thickBot="1">
      <c r="O516" s="2372"/>
    </row>
    <row r="517" spans="1:15" ht="12.75" thickBot="1">
      <c r="O517" s="2752"/>
    </row>
    <row r="518" spans="1:15" ht="12.75" thickBot="1">
      <c r="O518" s="2752"/>
    </row>
    <row r="519" spans="1:15" ht="12.75" thickBot="1">
      <c r="O519" s="2752"/>
    </row>
    <row r="520" spans="1:15" ht="12.75" thickBot="1">
      <c r="N520" s="518"/>
      <c r="O520" s="2752"/>
    </row>
    <row r="521" spans="1:15" ht="12.75" thickBot="1">
      <c r="N521" s="2769"/>
      <c r="O521" s="2752"/>
    </row>
    <row r="522" spans="1:15" ht="12.75" thickBot="1">
      <c r="N522" s="2769"/>
      <c r="O522" s="2752"/>
    </row>
    <row r="523" spans="1:15" ht="12.75" thickBot="1">
      <c r="N523" s="2769"/>
      <c r="O523" s="2752"/>
    </row>
    <row r="524" spans="1:15" ht="12.75" thickBot="1">
      <c r="N524" s="2769"/>
      <c r="O524" s="2752"/>
    </row>
    <row r="525" spans="1:15" ht="12.75" thickBot="1">
      <c r="A525" s="2371"/>
      <c r="B525" s="518"/>
      <c r="C525" s="518"/>
      <c r="D525" s="518"/>
      <c r="E525" s="518"/>
      <c r="F525" s="518"/>
      <c r="G525" s="518"/>
      <c r="H525" s="518"/>
      <c r="I525" s="518"/>
      <c r="J525" s="518"/>
      <c r="K525" s="518"/>
      <c r="L525" s="518"/>
      <c r="N525" s="2769"/>
      <c r="O525" s="2752"/>
    </row>
    <row r="526" spans="1:15" ht="12.75" thickBot="1">
      <c r="A526" s="2786"/>
      <c r="B526" s="512"/>
      <c r="C526" s="512"/>
      <c r="D526" s="512"/>
      <c r="E526" s="512"/>
      <c r="F526" s="512"/>
      <c r="G526" s="512"/>
      <c r="H526" s="512"/>
      <c r="I526" s="512"/>
      <c r="J526" s="512"/>
      <c r="K526" s="512"/>
      <c r="L526" s="512"/>
      <c r="N526" s="512"/>
      <c r="O526" s="2752"/>
    </row>
    <row r="527" spans="1:15" ht="12.75" thickBot="1">
      <c r="A527" s="2786"/>
      <c r="O527" s="2752"/>
    </row>
    <row r="528" spans="1:15" ht="12.75" thickBot="1">
      <c r="A528" s="2786"/>
      <c r="O528" s="2752"/>
    </row>
    <row r="529" spans="1:15" ht="12.75" thickBot="1">
      <c r="A529" s="2786"/>
      <c r="O529" s="2752"/>
    </row>
    <row r="530" spans="1:15" ht="12.75" thickBot="1">
      <c r="A530" s="2786"/>
      <c r="O530" s="2752"/>
    </row>
    <row r="531" spans="1:15" ht="12.75" thickBot="1">
      <c r="A531" s="2786"/>
      <c r="O531" s="2752"/>
    </row>
    <row r="532" spans="1:15" ht="12.75" thickBot="1">
      <c r="A532" s="2786"/>
      <c r="O532" s="2752"/>
    </row>
    <row r="533" spans="1:15">
      <c r="A533" s="2787"/>
      <c r="O533" s="2753"/>
    </row>
  </sheetData>
  <mergeCells count="73">
    <mergeCell ref="O86:O91"/>
    <mergeCell ref="M92:M94"/>
    <mergeCell ref="N92:N94"/>
    <mergeCell ref="O92:O94"/>
    <mergeCell ref="A95:A103"/>
    <mergeCell ref="C97:C100"/>
    <mergeCell ref="C102:C103"/>
    <mergeCell ref="O95:O100"/>
    <mergeCell ref="M101:M103"/>
    <mergeCell ref="N101:N103"/>
    <mergeCell ref="O101:O103"/>
    <mergeCell ref="O57:O67"/>
    <mergeCell ref="C59:C62"/>
    <mergeCell ref="M63:M67"/>
    <mergeCell ref="N63:N67"/>
    <mergeCell ref="C64:C67"/>
    <mergeCell ref="M38:M42"/>
    <mergeCell ref="N115:N120"/>
    <mergeCell ref="A121:A128"/>
    <mergeCell ref="C127:C128"/>
    <mergeCell ref="N126:N128"/>
    <mergeCell ref="A43:A55"/>
    <mergeCell ref="A32:A42"/>
    <mergeCell ref="A68:A76"/>
    <mergeCell ref="A77:A85"/>
    <mergeCell ref="A57:A67"/>
    <mergeCell ref="A86:A94"/>
    <mergeCell ref="C88:C91"/>
    <mergeCell ref="C93:C94"/>
    <mergeCell ref="O121:O128"/>
    <mergeCell ref="C123:C125"/>
    <mergeCell ref="M115:M120"/>
    <mergeCell ref="M126:M128"/>
    <mergeCell ref="A134:A140"/>
    <mergeCell ref="O134:O140"/>
    <mergeCell ref="C136:C137"/>
    <mergeCell ref="C139:C140"/>
    <mergeCell ref="A130:A133"/>
    <mergeCell ref="O130:O133"/>
    <mergeCell ref="C132:C133"/>
    <mergeCell ref="O43:O55"/>
    <mergeCell ref="C45:C49"/>
    <mergeCell ref="C51:C55"/>
    <mergeCell ref="N50:N55"/>
    <mergeCell ref="M50:M55"/>
    <mergeCell ref="O32:O42"/>
    <mergeCell ref="C34:C37"/>
    <mergeCell ref="C39:C42"/>
    <mergeCell ref="N38:N42"/>
    <mergeCell ref="F1:G1"/>
    <mergeCell ref="A4:O4"/>
    <mergeCell ref="B5:B6"/>
    <mergeCell ref="C5:C6"/>
    <mergeCell ref="D5:D6"/>
    <mergeCell ref="O5:O6"/>
    <mergeCell ref="N5:N6"/>
    <mergeCell ref="N21:N31"/>
    <mergeCell ref="F5:F6"/>
    <mergeCell ref="G5:L5"/>
    <mergeCell ref="M5:M6"/>
    <mergeCell ref="M21:M31"/>
    <mergeCell ref="O68:O73"/>
    <mergeCell ref="C70:C73"/>
    <mergeCell ref="M74:M76"/>
    <mergeCell ref="N74:N76"/>
    <mergeCell ref="O74:O76"/>
    <mergeCell ref="C75:C76"/>
    <mergeCell ref="O77:O82"/>
    <mergeCell ref="C79:C82"/>
    <mergeCell ref="M83:M85"/>
    <mergeCell ref="N83:N85"/>
    <mergeCell ref="O83:O85"/>
    <mergeCell ref="C84:C85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70" firstPageNumber="52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____________________________________________________________________________________________________________________________</oddHeader>
    <oddFooter>&amp;C&amp;8&amp;P</oddFooter>
  </headerFooter>
  <rowBreaks count="1" manualBreakCount="1">
    <brk id="67" max="1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B050"/>
  </sheetPr>
  <dimension ref="A1:Q658"/>
  <sheetViews>
    <sheetView showGridLines="0" tabSelected="1" view="pageBreakPreview" zoomScaleSheetLayoutView="100" workbookViewId="0">
      <pane ySplit="6" topLeftCell="A64" activePane="bottomLeft" state="frozen"/>
      <selection activeCell="D14" sqref="D14"/>
      <selection pane="bottomLeft" activeCell="B70" sqref="B70"/>
    </sheetView>
  </sheetViews>
  <sheetFormatPr defaultColWidth="9.140625" defaultRowHeight="11.25"/>
  <cols>
    <col min="1" max="1" width="3.28515625" style="656" customWidth="1"/>
    <col min="2" max="2" width="66.28515625" style="196" customWidth="1"/>
    <col min="3" max="3" width="12" style="196" customWidth="1"/>
    <col min="4" max="5" width="13.7109375" style="196" customWidth="1"/>
    <col min="6" max="6" width="13.140625" style="600" customWidth="1"/>
    <col min="7" max="7" width="11.5703125" style="600" customWidth="1"/>
    <col min="8" max="8" width="11.28515625" style="600" customWidth="1"/>
    <col min="9" max="9" width="9.140625" style="600" customWidth="1"/>
    <col min="10" max="10" width="11.7109375" style="600" customWidth="1"/>
    <col min="11" max="12" width="8.42578125" style="600" customWidth="1"/>
    <col min="13" max="13" width="12.5703125" style="600" hidden="1" customWidth="1"/>
    <col min="14" max="14" width="12.5703125" style="600" customWidth="1"/>
    <col min="15" max="15" width="16.5703125" style="689" customWidth="1"/>
    <col min="16" max="16" width="16.5703125" style="196" hidden="1" customWidth="1"/>
    <col min="17" max="20" width="0" style="196" hidden="1" customWidth="1"/>
    <col min="21" max="16384" width="9.140625" style="196"/>
  </cols>
  <sheetData>
    <row r="1" spans="1:17" ht="22.5" customHeight="1">
      <c r="G1" s="246" t="s">
        <v>404</v>
      </c>
      <c r="H1" s="196"/>
      <c r="I1" s="6"/>
      <c r="J1" s="6"/>
      <c r="K1" s="6"/>
      <c r="L1" s="6"/>
      <c r="M1" s="6"/>
      <c r="N1" s="6"/>
      <c r="O1" s="7"/>
    </row>
    <row r="2" spans="1:17" ht="18.75"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7"/>
    </row>
    <row r="3" spans="1:17" ht="48.75" customHeight="1" thickBot="1">
      <c r="A3" s="4170" t="s">
        <v>168</v>
      </c>
      <c r="B3" s="4170"/>
      <c r="C3" s="4170"/>
      <c r="D3" s="4170"/>
      <c r="E3" s="4170"/>
      <c r="F3" s="4170"/>
      <c r="G3" s="4170"/>
      <c r="H3" s="4170"/>
      <c r="I3" s="4170"/>
      <c r="J3" s="4170"/>
      <c r="K3" s="4170"/>
      <c r="L3" s="4170"/>
      <c r="M3" s="4170"/>
      <c r="N3" s="4170"/>
      <c r="O3" s="4170"/>
    </row>
    <row r="4" spans="1:17" ht="60.75" customHeight="1">
      <c r="A4" s="657"/>
      <c r="B4" s="4407" t="s">
        <v>75</v>
      </c>
      <c r="C4" s="3774" t="s">
        <v>71</v>
      </c>
      <c r="D4" s="3980" t="s">
        <v>117</v>
      </c>
      <c r="E4" s="3041" t="s">
        <v>230</v>
      </c>
      <c r="F4" s="3602" t="s">
        <v>436</v>
      </c>
      <c r="G4" s="3791" t="s">
        <v>392</v>
      </c>
      <c r="H4" s="3792"/>
      <c r="I4" s="3792"/>
      <c r="J4" s="3792"/>
      <c r="K4" s="3792"/>
      <c r="L4" s="3793"/>
      <c r="M4" s="4263" t="s">
        <v>406</v>
      </c>
      <c r="N4" s="4263" t="s">
        <v>393</v>
      </c>
      <c r="O4" s="4173" t="s">
        <v>73</v>
      </c>
    </row>
    <row r="5" spans="1:17" ht="16.5" customHeight="1" thickBot="1">
      <c r="A5" s="658"/>
      <c r="B5" s="4408"/>
      <c r="C5" s="4409"/>
      <c r="D5" s="3982"/>
      <c r="E5" s="2614" t="s">
        <v>381</v>
      </c>
      <c r="F5" s="3604"/>
      <c r="G5" s="3042" t="s">
        <v>6</v>
      </c>
      <c r="H5" s="312" t="s">
        <v>179</v>
      </c>
      <c r="I5" s="312" t="s">
        <v>180</v>
      </c>
      <c r="J5" s="312" t="s">
        <v>222</v>
      </c>
      <c r="K5" s="312" t="s">
        <v>223</v>
      </c>
      <c r="L5" s="312" t="s">
        <v>224</v>
      </c>
      <c r="M5" s="4410"/>
      <c r="N5" s="4410"/>
      <c r="O5" s="4174"/>
    </row>
    <row r="6" spans="1:17" ht="15" customHeight="1">
      <c r="A6" s="911">
        <v>1</v>
      </c>
      <c r="B6" s="912">
        <v>2</v>
      </c>
      <c r="C6" s="1405" t="s">
        <v>118</v>
      </c>
      <c r="D6" s="913" t="s">
        <v>119</v>
      </c>
      <c r="E6" s="913">
        <v>5</v>
      </c>
      <c r="F6" s="1405">
        <v>6</v>
      </c>
      <c r="G6" s="1405">
        <v>7</v>
      </c>
      <c r="H6" s="1405">
        <v>8</v>
      </c>
      <c r="I6" s="1405">
        <v>9</v>
      </c>
      <c r="J6" s="1405">
        <v>10</v>
      </c>
      <c r="K6" s="1405">
        <v>11</v>
      </c>
      <c r="L6" s="1405">
        <v>12</v>
      </c>
      <c r="M6" s="1524">
        <v>13</v>
      </c>
      <c r="N6" s="1524">
        <v>13</v>
      </c>
      <c r="O6" s="1525">
        <v>14</v>
      </c>
    </row>
    <row r="7" spans="1:17" s="226" customFormat="1" ht="16.5" customHeight="1">
      <c r="A7" s="534"/>
      <c r="B7" s="1190" t="s">
        <v>76</v>
      </c>
      <c r="C7" s="1191"/>
      <c r="D7" s="217">
        <f>+D8+D9</f>
        <v>98587593</v>
      </c>
      <c r="E7" s="217">
        <f t="shared" ref="E7:L7" si="0">+E8+E9</f>
        <v>926404</v>
      </c>
      <c r="F7" s="217">
        <f t="shared" si="0"/>
        <v>1228190</v>
      </c>
      <c r="G7" s="217">
        <f t="shared" si="0"/>
        <v>70938522</v>
      </c>
      <c r="H7" s="217">
        <f t="shared" si="0"/>
        <v>20256313</v>
      </c>
      <c r="I7" s="217">
        <f t="shared" si="0"/>
        <v>5238164</v>
      </c>
      <c r="J7" s="217">
        <f t="shared" si="0"/>
        <v>0</v>
      </c>
      <c r="K7" s="217">
        <f t="shared" si="0"/>
        <v>0</v>
      </c>
      <c r="L7" s="217">
        <f t="shared" si="0"/>
        <v>0</v>
      </c>
      <c r="M7" s="146">
        <f>+M8+M9</f>
        <v>97661189</v>
      </c>
      <c r="N7" s="146">
        <f>+N8+N9</f>
        <v>96432999</v>
      </c>
      <c r="O7" s="659"/>
      <c r="P7" s="2707">
        <f>D26+D38+D50+D62+D71+D97+D106+D118+D131+D140+D153+D171+D184+D193+D206+D215+D227+D236</f>
        <v>93726169</v>
      </c>
      <c r="Q7" s="2704"/>
    </row>
    <row r="8" spans="1:17" s="226" customFormat="1" ht="13.5" customHeight="1">
      <c r="A8" s="534"/>
      <c r="B8" s="1192" t="s">
        <v>77</v>
      </c>
      <c r="C8" s="1193"/>
      <c r="D8" s="209">
        <f>D97+D118+D140+D171+D193+D206+D227</f>
        <v>3471711</v>
      </c>
      <c r="E8" s="209">
        <f t="shared" ref="E8:L8" si="1">E97+E118+E140+E171+E193+E206+E227</f>
        <v>0</v>
      </c>
      <c r="F8" s="209">
        <f t="shared" si="1"/>
        <v>80037</v>
      </c>
      <c r="G8" s="209">
        <f t="shared" si="1"/>
        <v>1411498</v>
      </c>
      <c r="H8" s="209">
        <f t="shared" si="1"/>
        <v>1498175</v>
      </c>
      <c r="I8" s="209">
        <f t="shared" si="1"/>
        <v>482001</v>
      </c>
      <c r="J8" s="209">
        <f t="shared" si="1"/>
        <v>0</v>
      </c>
      <c r="K8" s="209">
        <f t="shared" si="1"/>
        <v>0</v>
      </c>
      <c r="L8" s="209">
        <f t="shared" si="1"/>
        <v>0</v>
      </c>
      <c r="M8" s="1773">
        <f>SUM(F8:L8)</f>
        <v>3471711</v>
      </c>
      <c r="N8" s="18">
        <f>SUM(G8:L8)</f>
        <v>3391674</v>
      </c>
      <c r="O8" s="659"/>
      <c r="P8" s="2707"/>
      <c r="Q8" s="2704"/>
    </row>
    <row r="9" spans="1:17" s="226" customFormat="1" ht="13.5" customHeight="1" thickBot="1">
      <c r="A9" s="534"/>
      <c r="B9" s="1194" t="s">
        <v>9</v>
      </c>
      <c r="C9" s="1195"/>
      <c r="D9" s="660">
        <f t="shared" ref="D9:L9" si="2">D26+D38+D50+D62+D71+D106+D131+D215+D236+D84</f>
        <v>95115882</v>
      </c>
      <c r="E9" s="660">
        <f t="shared" si="2"/>
        <v>926404</v>
      </c>
      <c r="F9" s="660">
        <f t="shared" si="2"/>
        <v>1148153</v>
      </c>
      <c r="G9" s="660">
        <f t="shared" si="2"/>
        <v>69527024</v>
      </c>
      <c r="H9" s="660">
        <f t="shared" si="2"/>
        <v>18758138</v>
      </c>
      <c r="I9" s="660">
        <f t="shared" si="2"/>
        <v>4756163</v>
      </c>
      <c r="J9" s="660">
        <f t="shared" si="2"/>
        <v>0</v>
      </c>
      <c r="K9" s="660">
        <f t="shared" si="2"/>
        <v>0</v>
      </c>
      <c r="L9" s="660">
        <f t="shared" si="2"/>
        <v>0</v>
      </c>
      <c r="M9" s="148">
        <f>SUM(F9:L9)</f>
        <v>94189478</v>
      </c>
      <c r="N9" s="148">
        <f>SUM(G9:L9)</f>
        <v>93041325</v>
      </c>
      <c r="O9" s="659"/>
      <c r="P9" s="2707"/>
      <c r="Q9" s="2704"/>
    </row>
    <row r="10" spans="1:17" ht="12">
      <c r="A10" s="534"/>
      <c r="B10" s="192" t="s">
        <v>10</v>
      </c>
      <c r="C10" s="88"/>
      <c r="D10" s="193">
        <f>D11+D15</f>
        <v>98587593</v>
      </c>
      <c r="E10" s="193">
        <f t="shared" ref="E10:L10" si="3">E11+E15</f>
        <v>926404</v>
      </c>
      <c r="F10" s="193">
        <f t="shared" si="3"/>
        <v>1228190</v>
      </c>
      <c r="G10" s="193">
        <f t="shared" si="3"/>
        <v>70938522</v>
      </c>
      <c r="H10" s="193">
        <f t="shared" si="3"/>
        <v>20256313</v>
      </c>
      <c r="I10" s="193">
        <f t="shared" si="3"/>
        <v>5238164</v>
      </c>
      <c r="J10" s="193">
        <f t="shared" si="3"/>
        <v>0</v>
      </c>
      <c r="K10" s="193">
        <f t="shared" si="3"/>
        <v>0</v>
      </c>
      <c r="L10" s="193">
        <f t="shared" si="3"/>
        <v>0</v>
      </c>
      <c r="M10" s="1252">
        <f>M11+M15</f>
        <v>94345046</v>
      </c>
      <c r="N10" s="63">
        <f>N11+N15</f>
        <v>95703785</v>
      </c>
      <c r="O10" s="661"/>
      <c r="P10" s="197"/>
      <c r="Q10" s="197"/>
    </row>
    <row r="11" spans="1:17" ht="13.5" customHeight="1">
      <c r="A11" s="534"/>
      <c r="B11" s="662" t="s">
        <v>24</v>
      </c>
      <c r="C11" s="1196"/>
      <c r="D11" s="1197">
        <f>D12+D13+D14</f>
        <v>15956882</v>
      </c>
      <c r="E11" s="1197">
        <f t="shared" ref="E11:K11" si="4">E12+E13+E14</f>
        <v>500721</v>
      </c>
      <c r="F11" s="1197">
        <f t="shared" si="4"/>
        <v>226948</v>
      </c>
      <c r="G11" s="1197">
        <f t="shared" si="4"/>
        <v>11399943</v>
      </c>
      <c r="H11" s="1197">
        <f t="shared" si="4"/>
        <v>3041038</v>
      </c>
      <c r="I11" s="1197">
        <f t="shared" si="4"/>
        <v>788232</v>
      </c>
      <c r="J11" s="1197">
        <f t="shared" si="4"/>
        <v>0</v>
      </c>
      <c r="K11" s="1197">
        <f t="shared" si="4"/>
        <v>0</v>
      </c>
      <c r="L11" s="1197">
        <f t="shared" ref="L11" si="5">L12+L13+L14</f>
        <v>0</v>
      </c>
      <c r="M11" s="1198">
        <f>+M12+M13+M14</f>
        <v>12140018</v>
      </c>
      <c r="N11" s="1198">
        <f>+N12+N13+N14</f>
        <v>14499999</v>
      </c>
      <c r="O11" s="663"/>
    </row>
    <row r="12" spans="1:17" ht="13.5" customHeight="1">
      <c r="A12" s="534"/>
      <c r="B12" s="1199" t="s">
        <v>12</v>
      </c>
      <c r="C12" s="1200"/>
      <c r="D12" s="1201">
        <f t="shared" ref="D12:I12" si="6">D28+D40+D52+D64+D73+D99+D108+D120+D133+D142+D155+D164+D173+D186+D195+D208+D217+D229+D238+D86</f>
        <v>12899953</v>
      </c>
      <c r="E12" s="1201">
        <f t="shared" si="6"/>
        <v>380721</v>
      </c>
      <c r="F12" s="1201">
        <f t="shared" si="6"/>
        <v>181062</v>
      </c>
      <c r="G12" s="1201">
        <f t="shared" si="6"/>
        <v>8508900</v>
      </c>
      <c r="H12" s="1201">
        <f t="shared" si="6"/>
        <v>3041038</v>
      </c>
      <c r="I12" s="1201">
        <f t="shared" si="6"/>
        <v>788232</v>
      </c>
      <c r="J12" s="1201">
        <f>J28+J40+J52+J64+J73+J99+J108+J120+J133+J142+J155+J164+J173+J186+J195+J208+J217+J229+J238</f>
        <v>0</v>
      </c>
      <c r="K12" s="1201">
        <f>K28+K40+K52+K64+K73+K99+K108+K120+K133+K142+K155+K164+K173+K186+K195+K208+K217+K229+K238</f>
        <v>0</v>
      </c>
      <c r="L12" s="1201">
        <f>L28+L40+L52+L64+L73+L99+L108+L120+L133+L142+L155+L164+L173+L186+L195+L208+L217+L229+L238</f>
        <v>0</v>
      </c>
      <c r="M12" s="1201">
        <f>M28+M40+M52+M64+M73+M99+M108+M120+M133+M142+M155+M164+M173+M186+M195+M208+M217+M229+M238</f>
        <v>11790018</v>
      </c>
      <c r="N12" s="1277">
        <f>N28+N40+N52+N64+N73+N99+N108+N120+N133+N142+N155+N164+N173+N186+N195+N208+N217+N229+N238</f>
        <v>11608956</v>
      </c>
      <c r="O12" s="663"/>
      <c r="P12" s="197"/>
    </row>
    <row r="13" spans="1:17" ht="13.5" customHeight="1">
      <c r="A13" s="534"/>
      <c r="B13" s="1274" t="s">
        <v>62</v>
      </c>
      <c r="C13" s="1275"/>
      <c r="D13" s="1276">
        <f>+D109</f>
        <v>320000</v>
      </c>
      <c r="E13" s="1276">
        <f t="shared" ref="E13:K13" si="7">+E109</f>
        <v>0</v>
      </c>
      <c r="F13" s="1276">
        <f t="shared" si="7"/>
        <v>0</v>
      </c>
      <c r="G13" s="1276">
        <f t="shared" si="7"/>
        <v>320000</v>
      </c>
      <c r="H13" s="1276">
        <f t="shared" si="7"/>
        <v>0</v>
      </c>
      <c r="I13" s="1276">
        <f t="shared" si="7"/>
        <v>0</v>
      </c>
      <c r="J13" s="1276">
        <f t="shared" si="7"/>
        <v>0</v>
      </c>
      <c r="K13" s="1276">
        <f t="shared" si="7"/>
        <v>0</v>
      </c>
      <c r="L13" s="1276">
        <f t="shared" ref="L13" si="8">+L109</f>
        <v>0</v>
      </c>
      <c r="M13" s="1277">
        <f>SUM(F13:K13)</f>
        <v>320000</v>
      </c>
      <c r="N13" s="1277">
        <f>SUM(G13:L13)</f>
        <v>320000</v>
      </c>
      <c r="O13" s="663"/>
      <c r="P13" s="197"/>
    </row>
    <row r="14" spans="1:17" ht="13.5" customHeight="1">
      <c r="A14" s="534"/>
      <c r="B14" s="1840" t="s">
        <v>15</v>
      </c>
      <c r="C14" s="1841"/>
      <c r="D14" s="1842">
        <f>D218+D239+D29+D41+D53</f>
        <v>2736929</v>
      </c>
      <c r="E14" s="1842">
        <f t="shared" ref="E14:N14" si="9">E218+E239+E29+E41+E53</f>
        <v>120000</v>
      </c>
      <c r="F14" s="1842">
        <f t="shared" si="9"/>
        <v>45886</v>
      </c>
      <c r="G14" s="1842">
        <f t="shared" si="9"/>
        <v>2571043</v>
      </c>
      <c r="H14" s="1842">
        <f t="shared" si="9"/>
        <v>0</v>
      </c>
      <c r="I14" s="1842">
        <f t="shared" si="9"/>
        <v>0</v>
      </c>
      <c r="J14" s="1842">
        <f t="shared" si="9"/>
        <v>0</v>
      </c>
      <c r="K14" s="1842">
        <f t="shared" si="9"/>
        <v>0</v>
      </c>
      <c r="L14" s="1842">
        <f t="shared" si="9"/>
        <v>0</v>
      </c>
      <c r="M14" s="1842">
        <f t="shared" si="9"/>
        <v>30000</v>
      </c>
      <c r="N14" s="1277">
        <f t="shared" si="9"/>
        <v>2571043</v>
      </c>
      <c r="O14" s="663"/>
      <c r="P14" s="197"/>
    </row>
    <row r="15" spans="1:17" ht="13.5" customHeight="1">
      <c r="A15" s="534"/>
      <c r="B15" s="662" t="s">
        <v>18</v>
      </c>
      <c r="C15" s="1196"/>
      <c r="D15" s="1197">
        <f>+D16+D17</f>
        <v>82630711</v>
      </c>
      <c r="E15" s="1197">
        <f t="shared" ref="E15:K15" si="10">+E16+E17</f>
        <v>425683</v>
      </c>
      <c r="F15" s="1197">
        <f t="shared" si="10"/>
        <v>1001242</v>
      </c>
      <c r="G15" s="1197">
        <f t="shared" si="10"/>
        <v>59538579</v>
      </c>
      <c r="H15" s="1197">
        <f t="shared" si="10"/>
        <v>17215275</v>
      </c>
      <c r="I15" s="1197">
        <f t="shared" si="10"/>
        <v>4449932</v>
      </c>
      <c r="J15" s="1197">
        <f t="shared" si="10"/>
        <v>0</v>
      </c>
      <c r="K15" s="1197">
        <f t="shared" si="10"/>
        <v>0</v>
      </c>
      <c r="L15" s="1197">
        <f t="shared" ref="L15" si="11">+L16+L17</f>
        <v>0</v>
      </c>
      <c r="M15" s="1198">
        <f>+M16</f>
        <v>82205028</v>
      </c>
      <c r="N15" s="1198">
        <f>+N16</f>
        <v>81203786</v>
      </c>
      <c r="O15" s="663"/>
    </row>
    <row r="16" spans="1:17" ht="13.5" customHeight="1">
      <c r="A16" s="534"/>
      <c r="B16" s="1199" t="s">
        <v>21</v>
      </c>
      <c r="C16" s="195"/>
      <c r="D16" s="142">
        <f t="shared" ref="D16:L16" si="12">D31+D43+D55+D66+D77+D101+D111+D124+D135+D146+D177+D199+D210+D220+D231+D241+D90</f>
        <v>82630711</v>
      </c>
      <c r="E16" s="142">
        <f t="shared" si="12"/>
        <v>425683</v>
      </c>
      <c r="F16" s="142">
        <f t="shared" si="12"/>
        <v>1001242</v>
      </c>
      <c r="G16" s="142">
        <f t="shared" si="12"/>
        <v>59538579</v>
      </c>
      <c r="H16" s="142">
        <f t="shared" si="12"/>
        <v>17215275</v>
      </c>
      <c r="I16" s="142">
        <f t="shared" si="12"/>
        <v>4449932</v>
      </c>
      <c r="J16" s="142">
        <f t="shared" si="12"/>
        <v>0</v>
      </c>
      <c r="K16" s="142">
        <f t="shared" si="12"/>
        <v>0</v>
      </c>
      <c r="L16" s="142">
        <f t="shared" si="12"/>
        <v>0</v>
      </c>
      <c r="M16" s="664">
        <f>SUM(F16:L16)</f>
        <v>82205028</v>
      </c>
      <c r="N16" s="664">
        <f>SUM(G16:L16)</f>
        <v>81203786</v>
      </c>
      <c r="O16" s="663"/>
      <c r="P16" s="197"/>
    </row>
    <row r="17" spans="1:17" ht="13.5" hidden="1" customHeight="1">
      <c r="A17" s="534"/>
      <c r="B17" s="3094" t="s">
        <v>20</v>
      </c>
      <c r="C17" s="3296"/>
      <c r="D17" s="142"/>
      <c r="E17" s="142"/>
      <c r="F17" s="142"/>
      <c r="G17" s="142"/>
      <c r="H17" s="142"/>
      <c r="I17" s="142"/>
      <c r="J17" s="142"/>
      <c r="K17" s="142"/>
      <c r="L17" s="142"/>
      <c r="M17" s="268"/>
      <c r="N17" s="268"/>
      <c r="O17" s="663"/>
    </row>
    <row r="18" spans="1:17" ht="12">
      <c r="A18" s="534"/>
      <c r="B18" s="192" t="s">
        <v>22</v>
      </c>
      <c r="C18" s="22"/>
      <c r="D18" s="193">
        <f>D22+D19</f>
        <v>85687640</v>
      </c>
      <c r="E18" s="193">
        <f>E22+E19</f>
        <v>120000</v>
      </c>
      <c r="F18" s="193">
        <f t="shared" ref="F18:L18" si="13">F22+F19</f>
        <v>46863</v>
      </c>
      <c r="G18" s="193">
        <f t="shared" si="13"/>
        <v>54007325</v>
      </c>
      <c r="H18" s="193">
        <f t="shared" si="13"/>
        <v>21247289</v>
      </c>
      <c r="I18" s="193">
        <f t="shared" si="13"/>
        <v>6918375</v>
      </c>
      <c r="J18" s="193">
        <f t="shared" si="13"/>
        <v>3347788</v>
      </c>
      <c r="K18" s="193">
        <f t="shared" si="13"/>
        <v>0</v>
      </c>
      <c r="L18" s="193">
        <f t="shared" si="13"/>
        <v>0</v>
      </c>
      <c r="M18" s="3674" t="s">
        <v>61</v>
      </c>
      <c r="N18" s="3674" t="s">
        <v>61</v>
      </c>
      <c r="O18" s="663"/>
      <c r="P18" s="197"/>
    </row>
    <row r="19" spans="1:17" ht="16.5" customHeight="1">
      <c r="A19" s="534"/>
      <c r="B19" s="662" t="s">
        <v>11</v>
      </c>
      <c r="C19" s="195"/>
      <c r="D19" s="225">
        <f>D20+D21</f>
        <v>3056929</v>
      </c>
      <c r="E19" s="225">
        <f t="shared" ref="E19:L19" si="14">E20+E21</f>
        <v>120000</v>
      </c>
      <c r="F19" s="225">
        <f t="shared" si="14"/>
        <v>45886</v>
      </c>
      <c r="G19" s="225">
        <f t="shared" si="14"/>
        <v>2891043</v>
      </c>
      <c r="H19" s="225">
        <f t="shared" si="14"/>
        <v>0</v>
      </c>
      <c r="I19" s="225">
        <f t="shared" si="14"/>
        <v>0</v>
      </c>
      <c r="J19" s="225">
        <f t="shared" si="14"/>
        <v>0</v>
      </c>
      <c r="K19" s="225">
        <f t="shared" si="14"/>
        <v>0</v>
      </c>
      <c r="L19" s="225">
        <f t="shared" si="14"/>
        <v>0</v>
      </c>
      <c r="M19" s="3675"/>
      <c r="N19" s="3675"/>
      <c r="O19" s="663"/>
      <c r="P19" s="197"/>
    </row>
    <row r="20" spans="1:17" ht="12">
      <c r="A20" s="534"/>
      <c r="B20" s="1199" t="s">
        <v>62</v>
      </c>
      <c r="C20" s="195"/>
      <c r="D20" s="142">
        <f>D114</f>
        <v>320000</v>
      </c>
      <c r="E20" s="142">
        <f t="shared" ref="E20:L20" si="15">E114</f>
        <v>0</v>
      </c>
      <c r="F20" s="142">
        <f t="shared" si="15"/>
        <v>0</v>
      </c>
      <c r="G20" s="142">
        <f t="shared" si="15"/>
        <v>320000</v>
      </c>
      <c r="H20" s="142">
        <f t="shared" si="15"/>
        <v>0</v>
      </c>
      <c r="I20" s="142">
        <f t="shared" si="15"/>
        <v>0</v>
      </c>
      <c r="J20" s="142">
        <f t="shared" si="15"/>
        <v>0</v>
      </c>
      <c r="K20" s="142">
        <f t="shared" si="15"/>
        <v>0</v>
      </c>
      <c r="L20" s="142">
        <f t="shared" si="15"/>
        <v>0</v>
      </c>
      <c r="M20" s="3675"/>
      <c r="N20" s="3675"/>
      <c r="O20" s="663"/>
      <c r="P20" s="197"/>
    </row>
    <row r="21" spans="1:17" ht="12">
      <c r="A21" s="534"/>
      <c r="B21" s="1840" t="s">
        <v>15</v>
      </c>
      <c r="C21" s="1843"/>
      <c r="D21" s="1844">
        <f>D223+D244+D34+D46+D58</f>
        <v>2736929</v>
      </c>
      <c r="E21" s="1844">
        <f t="shared" ref="E21:L21" si="16">E223+E244+E34+E46+E58</f>
        <v>120000</v>
      </c>
      <c r="F21" s="1844">
        <f t="shared" si="16"/>
        <v>45886</v>
      </c>
      <c r="G21" s="1844">
        <f t="shared" si="16"/>
        <v>2571043</v>
      </c>
      <c r="H21" s="1844">
        <f t="shared" si="16"/>
        <v>0</v>
      </c>
      <c r="I21" s="1844">
        <f t="shared" si="16"/>
        <v>0</v>
      </c>
      <c r="J21" s="1844">
        <f t="shared" si="16"/>
        <v>0</v>
      </c>
      <c r="K21" s="1844">
        <f t="shared" si="16"/>
        <v>0</v>
      </c>
      <c r="L21" s="1844">
        <f t="shared" si="16"/>
        <v>0</v>
      </c>
      <c r="M21" s="3675"/>
      <c r="N21" s="3675"/>
      <c r="O21" s="663"/>
      <c r="P21" s="197"/>
    </row>
    <row r="22" spans="1:17" ht="13.5" customHeight="1">
      <c r="A22" s="534"/>
      <c r="B22" s="662" t="s">
        <v>18</v>
      </c>
      <c r="C22" s="195"/>
      <c r="D22" s="225">
        <f>+D23+D24</f>
        <v>82630711</v>
      </c>
      <c r="E22" s="225">
        <f t="shared" ref="E22:L22" si="17">+E23+E24</f>
        <v>0</v>
      </c>
      <c r="F22" s="225">
        <f t="shared" si="17"/>
        <v>977</v>
      </c>
      <c r="G22" s="225">
        <f t="shared" si="17"/>
        <v>51116282</v>
      </c>
      <c r="H22" s="225">
        <f t="shared" si="17"/>
        <v>21247289</v>
      </c>
      <c r="I22" s="225">
        <f t="shared" si="17"/>
        <v>6918375</v>
      </c>
      <c r="J22" s="225">
        <f t="shared" si="17"/>
        <v>3347788</v>
      </c>
      <c r="K22" s="225">
        <f t="shared" si="17"/>
        <v>0</v>
      </c>
      <c r="L22" s="225">
        <f t="shared" si="17"/>
        <v>0</v>
      </c>
      <c r="M22" s="3675"/>
      <c r="N22" s="3675"/>
      <c r="O22" s="663"/>
    </row>
    <row r="23" spans="1:17" ht="13.5" customHeight="1" thickBot="1">
      <c r="A23" s="665"/>
      <c r="B23" s="1199" t="s">
        <v>21</v>
      </c>
      <c r="C23" s="195"/>
      <c r="D23" s="142">
        <f t="shared" ref="D23:L23" si="18">+D36+D48+D82+D104+D116+D69+D129+D138+D151+D160+D169+D60+D182+D191+D204+D212+D224+D234+D246+D95</f>
        <v>82630711</v>
      </c>
      <c r="E23" s="142">
        <f t="shared" si="18"/>
        <v>0</v>
      </c>
      <c r="F23" s="142">
        <f t="shared" si="18"/>
        <v>977</v>
      </c>
      <c r="G23" s="142">
        <f t="shared" si="18"/>
        <v>51116282</v>
      </c>
      <c r="H23" s="142">
        <f t="shared" si="18"/>
        <v>21247289</v>
      </c>
      <c r="I23" s="142">
        <f t="shared" si="18"/>
        <v>6918375</v>
      </c>
      <c r="J23" s="142">
        <f t="shared" si="18"/>
        <v>3347788</v>
      </c>
      <c r="K23" s="142">
        <f t="shared" si="18"/>
        <v>0</v>
      </c>
      <c r="L23" s="142">
        <f t="shared" si="18"/>
        <v>0</v>
      </c>
      <c r="M23" s="3675"/>
      <c r="N23" s="3675"/>
      <c r="O23" s="663"/>
      <c r="P23" s="197">
        <f>D23-D16</f>
        <v>0</v>
      </c>
    </row>
    <row r="24" spans="1:17" ht="13.5" hidden="1" customHeight="1" thickBot="1">
      <c r="A24" s="665"/>
      <c r="B24" s="666" t="s">
        <v>20</v>
      </c>
      <c r="C24" s="666"/>
      <c r="D24" s="666"/>
      <c r="E24" s="666"/>
      <c r="F24" s="666"/>
      <c r="G24" s="666"/>
      <c r="H24" s="666"/>
      <c r="I24" s="666"/>
      <c r="J24" s="666"/>
      <c r="K24" s="666"/>
      <c r="L24" s="240"/>
      <c r="M24" s="3676"/>
      <c r="N24" s="3676"/>
      <c r="O24" s="663"/>
    </row>
    <row r="25" spans="1:17" s="226" customFormat="1" ht="27" customHeight="1">
      <c r="A25" s="4381" t="s">
        <v>63</v>
      </c>
      <c r="B25" s="180" t="s">
        <v>547</v>
      </c>
      <c r="C25" s="3180" t="s">
        <v>81</v>
      </c>
      <c r="D25" s="668"/>
      <c r="E25" s="2303"/>
      <c r="F25" s="3181"/>
      <c r="G25" s="3181"/>
      <c r="H25" s="3181"/>
      <c r="I25" s="2303"/>
      <c r="J25" s="2303"/>
      <c r="K25" s="2303"/>
      <c r="L25" s="3182"/>
      <c r="M25" s="670"/>
      <c r="N25" s="670"/>
      <c r="O25" s="3661" t="s">
        <v>86</v>
      </c>
      <c r="P25" s="2704"/>
      <c r="Q25" s="2704"/>
    </row>
    <row r="26" spans="1:17" s="226" customFormat="1" ht="12.75">
      <c r="A26" s="4382"/>
      <c r="B26" s="3201" t="s">
        <v>10</v>
      </c>
      <c r="C26" s="22"/>
      <c r="D26" s="2291">
        <f>D27+D30</f>
        <v>32740500</v>
      </c>
      <c r="E26" s="2291">
        <f>+E30+E27</f>
        <v>146960</v>
      </c>
      <c r="F26" s="2291">
        <f>+F30+F27</f>
        <v>482652</v>
      </c>
      <c r="G26" s="2291">
        <f>+G27+G30</f>
        <v>32110888</v>
      </c>
      <c r="H26" s="2291">
        <f t="shared" ref="H26" si="19">+H30</f>
        <v>0</v>
      </c>
      <c r="I26" s="2291"/>
      <c r="J26" s="2291"/>
      <c r="K26" s="2291"/>
      <c r="L26" s="2291"/>
      <c r="M26" s="2292">
        <f>+M30+M27</f>
        <v>31282652</v>
      </c>
      <c r="N26" s="2292">
        <f>+N30+N27</f>
        <v>32110888</v>
      </c>
      <c r="O26" s="3662"/>
      <c r="P26" s="2704"/>
      <c r="Q26" s="2704"/>
    </row>
    <row r="27" spans="1:17" s="226" customFormat="1" ht="14.25" customHeight="1">
      <c r="A27" s="4382"/>
      <c r="B27" s="3202" t="s">
        <v>24</v>
      </c>
      <c r="C27" s="4403" t="s">
        <v>169</v>
      </c>
      <c r="D27" s="3203">
        <f>D28+D29</f>
        <v>5537983</v>
      </c>
      <c r="E27" s="3204">
        <f>E28+E29</f>
        <v>146960</v>
      </c>
      <c r="F27" s="3205">
        <f>F28+F29</f>
        <v>80135</v>
      </c>
      <c r="G27" s="2293">
        <f>G28+G29</f>
        <v>5310888</v>
      </c>
      <c r="H27" s="2293">
        <f t="shared" ref="H27" si="20">H28</f>
        <v>0</v>
      </c>
      <c r="I27" s="2293"/>
      <c r="J27" s="2293"/>
      <c r="K27" s="2293"/>
      <c r="L27" s="2293"/>
      <c r="M27" s="2294">
        <f>M28</f>
        <v>4080135</v>
      </c>
      <c r="N27" s="2294">
        <f>N28+N29</f>
        <v>5310888</v>
      </c>
      <c r="O27" s="3662"/>
      <c r="P27" s="2704"/>
      <c r="Q27" s="2704"/>
    </row>
    <row r="28" spans="1:17" s="226" customFormat="1" ht="14.25" customHeight="1">
      <c r="A28" s="4382"/>
      <c r="B28" s="3206" t="s">
        <v>12</v>
      </c>
      <c r="C28" s="3649"/>
      <c r="D28" s="239">
        <f>E28+F28+G28+H28+I28+J28+K28+L28</f>
        <v>4227095</v>
      </c>
      <c r="E28" s="239">
        <v>146960</v>
      </c>
      <c r="F28" s="2295">
        <f>2732267+170000-2664017-80000-78115</f>
        <v>80135</v>
      </c>
      <c r="G28" s="2295">
        <f>4041376+2664017+80000-171363-909150-1704880</f>
        <v>4000000</v>
      </c>
      <c r="H28" s="2295">
        <v>0</v>
      </c>
      <c r="I28" s="2295"/>
      <c r="J28" s="2295"/>
      <c r="K28" s="2295"/>
      <c r="L28" s="2295"/>
      <c r="M28" s="664">
        <f>SUM(F28:K28)</f>
        <v>4080135</v>
      </c>
      <c r="N28" s="664">
        <f>SUM(G28:L28)</f>
        <v>4000000</v>
      </c>
      <c r="O28" s="3662"/>
      <c r="P28" s="2704"/>
      <c r="Q28" s="2704"/>
    </row>
    <row r="29" spans="1:17" s="226" customFormat="1" ht="14.25" customHeight="1">
      <c r="A29" s="4382"/>
      <c r="B29" s="3297" t="s">
        <v>15</v>
      </c>
      <c r="C29" s="3649"/>
      <c r="D29" s="239">
        <f>E29+F29+G29+H29+I29+J29+K29+L29</f>
        <v>1310888</v>
      </c>
      <c r="E29" s="839">
        <v>0</v>
      </c>
      <c r="F29" s="872">
        <v>0</v>
      </c>
      <c r="G29" s="872">
        <f>237308+909150+164430</f>
        <v>1310888</v>
      </c>
      <c r="H29" s="872"/>
      <c r="I29" s="872"/>
      <c r="J29" s="872"/>
      <c r="K29" s="872"/>
      <c r="L29" s="872"/>
      <c r="M29" s="1848"/>
      <c r="N29" s="664">
        <f>SUM(G29:L29)</f>
        <v>1310888</v>
      </c>
      <c r="O29" s="3662"/>
      <c r="P29" s="2704"/>
      <c r="Q29" s="2704"/>
    </row>
    <row r="30" spans="1:17" s="226" customFormat="1" ht="14.25" customHeight="1">
      <c r="A30" s="4382"/>
      <c r="B30" s="3207" t="s">
        <v>18</v>
      </c>
      <c r="C30" s="3649"/>
      <c r="D30" s="3203">
        <f>D31</f>
        <v>27202517</v>
      </c>
      <c r="E30" s="3204">
        <f t="shared" ref="E30" si="21">+E31</f>
        <v>0</v>
      </c>
      <c r="F30" s="2293">
        <f>+F31</f>
        <v>402517</v>
      </c>
      <c r="G30" s="2293">
        <f>+G31</f>
        <v>26800000</v>
      </c>
      <c r="H30" s="2293">
        <v>0</v>
      </c>
      <c r="I30" s="2293"/>
      <c r="J30" s="2293"/>
      <c r="K30" s="2293"/>
      <c r="L30" s="2293"/>
      <c r="M30" s="2294">
        <f>+M31</f>
        <v>27202517</v>
      </c>
      <c r="N30" s="2294">
        <f>+N31</f>
        <v>26800000</v>
      </c>
      <c r="O30" s="3662"/>
      <c r="P30" s="2704"/>
      <c r="Q30" s="2704"/>
    </row>
    <row r="31" spans="1:17" s="226" customFormat="1" ht="15" customHeight="1">
      <c r="A31" s="4382"/>
      <c r="B31" s="3094" t="s">
        <v>21</v>
      </c>
      <c r="C31" s="3650"/>
      <c r="D31" s="239">
        <f>E31+F31+G31+H31+I31+J31+K31+L31</f>
        <v>27202517</v>
      </c>
      <c r="E31" s="239">
        <v>0</v>
      </c>
      <c r="F31" s="2295">
        <f>15482849-14416099-255000-409233</f>
        <v>402517</v>
      </c>
      <c r="G31" s="2295">
        <f>22901129+14416099+255000+340272-11112500</f>
        <v>26800000</v>
      </c>
      <c r="H31" s="2295">
        <v>0</v>
      </c>
      <c r="I31" s="2295"/>
      <c r="J31" s="2295"/>
      <c r="K31" s="2295"/>
      <c r="L31" s="2295"/>
      <c r="M31" s="664">
        <f>SUM(F31:K31)</f>
        <v>27202517</v>
      </c>
      <c r="N31" s="664">
        <f>SUM(G31:L31)</f>
        <v>26800000</v>
      </c>
      <c r="O31" s="4313"/>
      <c r="P31" s="2704"/>
      <c r="Q31" s="2704"/>
    </row>
    <row r="32" spans="1:17" s="226" customFormat="1" ht="12.75">
      <c r="A32" s="4382"/>
      <c r="B32" s="21" t="s">
        <v>22</v>
      </c>
      <c r="C32" s="22"/>
      <c r="D32" s="2291">
        <f>+D35+D33</f>
        <v>28513405</v>
      </c>
      <c r="E32" s="2291">
        <f>+E35</f>
        <v>0</v>
      </c>
      <c r="F32" s="2291">
        <f>F35</f>
        <v>0</v>
      </c>
      <c r="G32" s="2291">
        <f>G35+G33</f>
        <v>26416341</v>
      </c>
      <c r="H32" s="2291">
        <f>H35+H33</f>
        <v>2097064</v>
      </c>
      <c r="I32" s="2291"/>
      <c r="J32" s="2291"/>
      <c r="K32" s="2291"/>
      <c r="L32" s="2291"/>
      <c r="M32" s="4404" t="s">
        <v>61</v>
      </c>
      <c r="N32" s="4404" t="s">
        <v>61</v>
      </c>
      <c r="O32" s="4401" t="s">
        <v>102</v>
      </c>
      <c r="P32" s="2707"/>
      <c r="Q32" s="2704"/>
    </row>
    <row r="33" spans="1:17" s="226" customFormat="1" ht="12.75">
      <c r="A33" s="4382"/>
      <c r="B33" s="555" t="s">
        <v>415</v>
      </c>
      <c r="C33" s="3730" t="s">
        <v>169</v>
      </c>
      <c r="D33" s="1485">
        <f t="shared" ref="D33:L33" si="22">D34</f>
        <v>1310888</v>
      </c>
      <c r="E33" s="1849">
        <f t="shared" ref="E33" si="23">+E34</f>
        <v>0</v>
      </c>
      <c r="F33" s="3208">
        <f t="shared" si="22"/>
        <v>0</v>
      </c>
      <c r="G33" s="2293">
        <f t="shared" si="22"/>
        <v>1310888</v>
      </c>
      <c r="H33" s="1849">
        <f t="shared" si="22"/>
        <v>0</v>
      </c>
      <c r="I33" s="1849">
        <f t="shared" si="22"/>
        <v>0</v>
      </c>
      <c r="J33" s="1849">
        <f t="shared" si="22"/>
        <v>0</v>
      </c>
      <c r="K33" s="1849">
        <f t="shared" si="22"/>
        <v>0</v>
      </c>
      <c r="L33" s="1849">
        <f t="shared" si="22"/>
        <v>0</v>
      </c>
      <c r="M33" s="3675"/>
      <c r="N33" s="3675"/>
      <c r="O33" s="4401"/>
      <c r="P33" s="2707"/>
      <c r="Q33" s="2704"/>
    </row>
    <row r="34" spans="1:17" s="226" customFormat="1" ht="12.75">
      <c r="A34" s="4382"/>
      <c r="B34" s="3297" t="s">
        <v>15</v>
      </c>
      <c r="C34" s="4421"/>
      <c r="D34" s="1453">
        <f>E34+F34+G34+H34+I34+J34+K34+L34</f>
        <v>1310888</v>
      </c>
      <c r="E34" s="1518">
        <v>0</v>
      </c>
      <c r="F34" s="3209">
        <v>0</v>
      </c>
      <c r="G34" s="2295">
        <f>237308+909150+164430</f>
        <v>1310888</v>
      </c>
      <c r="H34" s="1518">
        <v>0</v>
      </c>
      <c r="I34" s="1518">
        <v>0</v>
      </c>
      <c r="J34" s="1518">
        <v>0</v>
      </c>
      <c r="K34" s="1518">
        <v>0</v>
      </c>
      <c r="L34" s="1518">
        <v>0</v>
      </c>
      <c r="M34" s="3675"/>
      <c r="N34" s="3675"/>
      <c r="O34" s="4401"/>
      <c r="P34" s="2707">
        <f>G34-'[4]Tab. 6H - Kultura fiz. i turyst'!$G$34</f>
        <v>164430</v>
      </c>
      <c r="Q34" s="2704"/>
    </row>
    <row r="35" spans="1:17" s="226" customFormat="1" ht="14.25" customHeight="1">
      <c r="A35" s="4382"/>
      <c r="B35" s="167" t="s">
        <v>18</v>
      </c>
      <c r="C35" s="3808" t="s">
        <v>191</v>
      </c>
      <c r="D35" s="3203">
        <f>+D36</f>
        <v>27202517</v>
      </c>
      <c r="E35" s="2296">
        <f t="shared" ref="E35" si="24">+E36</f>
        <v>0</v>
      </c>
      <c r="F35" s="2296">
        <f t="shared" ref="F35:H35" si="25">F36</f>
        <v>0</v>
      </c>
      <c r="G35" s="2296">
        <f t="shared" si="25"/>
        <v>25105453</v>
      </c>
      <c r="H35" s="2296">
        <f t="shared" si="25"/>
        <v>2097064</v>
      </c>
      <c r="I35" s="2296"/>
      <c r="J35" s="2296"/>
      <c r="K35" s="2296"/>
      <c r="L35" s="2296"/>
      <c r="M35" s="3675"/>
      <c r="N35" s="3675"/>
      <c r="O35" s="4401"/>
      <c r="P35" s="2704"/>
      <c r="Q35" s="2704"/>
    </row>
    <row r="36" spans="1:17" s="226" customFormat="1" ht="14.25" customHeight="1" thickBot="1">
      <c r="A36" s="4383"/>
      <c r="B36" s="3298" t="s">
        <v>21</v>
      </c>
      <c r="C36" s="4358"/>
      <c r="D36" s="239">
        <f>E36+F36+G36+H36+I36+J36+K36+L36</f>
        <v>27202517</v>
      </c>
      <c r="E36" s="239">
        <v>0</v>
      </c>
      <c r="F36" s="70">
        <f>14000000-13175000-825000</f>
        <v>0</v>
      </c>
      <c r="G36" s="70">
        <f>23383978+11175000+825000-63571-10214954</f>
        <v>25105453</v>
      </c>
      <c r="H36" s="70">
        <f>1000000+2000000-5390-897546</f>
        <v>2097064</v>
      </c>
      <c r="I36" s="70"/>
      <c r="J36" s="70"/>
      <c r="K36" s="70"/>
      <c r="L36" s="70"/>
      <c r="M36" s="3676"/>
      <c r="N36" s="3676"/>
      <c r="O36" s="4402"/>
      <c r="P36" s="2704"/>
      <c r="Q36" s="2704"/>
    </row>
    <row r="37" spans="1:17" ht="23.25" customHeight="1">
      <c r="A37" s="4381" t="s">
        <v>64</v>
      </c>
      <c r="B37" s="180" t="s">
        <v>548</v>
      </c>
      <c r="C37" s="3180" t="s">
        <v>81</v>
      </c>
      <c r="D37" s="1312"/>
      <c r="E37" s="3210"/>
      <c r="F37" s="3211"/>
      <c r="G37" s="3211"/>
      <c r="H37" s="3211"/>
      <c r="I37" s="3185"/>
      <c r="J37" s="3185"/>
      <c r="K37" s="3185"/>
      <c r="L37" s="3186"/>
      <c r="M37" s="1313"/>
      <c r="N37" s="1313"/>
      <c r="O37" s="3661" t="s">
        <v>86</v>
      </c>
    </row>
    <row r="38" spans="1:17" ht="12">
      <c r="A38" s="4384"/>
      <c r="B38" s="3212" t="s">
        <v>10</v>
      </c>
      <c r="C38" s="3213"/>
      <c r="D38" s="674">
        <f>+D39+D42</f>
        <v>12445618</v>
      </c>
      <c r="E38" s="674">
        <f t="shared" ref="E38" si="26">+E39+E42</f>
        <v>52306</v>
      </c>
      <c r="F38" s="674">
        <f>+F39+F42</f>
        <v>251149</v>
      </c>
      <c r="G38" s="674">
        <f>+G39+G42</f>
        <v>12142163</v>
      </c>
      <c r="H38" s="674"/>
      <c r="I38" s="674"/>
      <c r="J38" s="674"/>
      <c r="K38" s="674"/>
      <c r="L38" s="674"/>
      <c r="M38" s="2292">
        <f>M39+M42</f>
        <v>11600547</v>
      </c>
      <c r="N38" s="2292">
        <f>N39+N42</f>
        <v>12142163</v>
      </c>
      <c r="O38" s="3662"/>
      <c r="P38" s="197"/>
      <c r="Q38" s="197"/>
    </row>
    <row r="39" spans="1:17" s="226" customFormat="1" ht="14.25" customHeight="1">
      <c r="A39" s="4384"/>
      <c r="B39" s="675" t="s">
        <v>24</v>
      </c>
      <c r="C39" s="4377" t="s">
        <v>169</v>
      </c>
      <c r="D39" s="298">
        <f>D40+D41</f>
        <v>2075618</v>
      </c>
      <c r="E39" s="298">
        <f t="shared" ref="E39:G39" si="27">E40+E41</f>
        <v>52306</v>
      </c>
      <c r="F39" s="298">
        <f t="shared" si="27"/>
        <v>37672</v>
      </c>
      <c r="G39" s="298">
        <f t="shared" si="27"/>
        <v>1985640</v>
      </c>
      <c r="H39" s="300"/>
      <c r="I39" s="300"/>
      <c r="J39" s="300"/>
      <c r="K39" s="300"/>
      <c r="L39" s="300"/>
      <c r="M39" s="296">
        <f>M40</f>
        <v>1230547</v>
      </c>
      <c r="N39" s="296">
        <f>N40+N41</f>
        <v>1985640</v>
      </c>
      <c r="O39" s="3662"/>
      <c r="P39" s="2704"/>
      <c r="Q39" s="2704"/>
    </row>
    <row r="40" spans="1:17" s="226" customFormat="1" ht="12.75">
      <c r="A40" s="4384"/>
      <c r="B40" s="676" t="s">
        <v>12</v>
      </c>
      <c r="C40" s="3649"/>
      <c r="D40" s="239">
        <f>E40+F40+G40+H40+I40+J40+K40+L40</f>
        <v>1282853</v>
      </c>
      <c r="E40" s="239">
        <v>52306</v>
      </c>
      <c r="F40" s="297">
        <f>1009016+55696-942462-60000-31703</f>
        <v>30547</v>
      </c>
      <c r="G40" s="297">
        <f>1500949-14542+942462+60000-14513-508668-765688</f>
        <v>1200000</v>
      </c>
      <c r="H40" s="297"/>
      <c r="I40" s="297"/>
      <c r="J40" s="297"/>
      <c r="K40" s="297"/>
      <c r="L40" s="297"/>
      <c r="M40" s="664">
        <f>SUM(F40:K40)</f>
        <v>1230547</v>
      </c>
      <c r="N40" s="664">
        <f>SUM(G40:L40)</f>
        <v>1200000</v>
      </c>
      <c r="O40" s="3662"/>
      <c r="P40" s="2704"/>
      <c r="Q40" s="2704"/>
    </row>
    <row r="41" spans="1:17" s="226" customFormat="1" ht="12.75">
      <c r="A41" s="4384"/>
      <c r="B41" s="3297" t="s">
        <v>15</v>
      </c>
      <c r="C41" s="3649"/>
      <c r="D41" s="239">
        <f>E41+F41+G41+H41+I41+J41+K41+L41</f>
        <v>792765</v>
      </c>
      <c r="E41" s="2526">
        <v>0</v>
      </c>
      <c r="F41" s="872">
        <v>7125</v>
      </c>
      <c r="G41" s="872">
        <f>26722+508668+250250</f>
        <v>785640</v>
      </c>
      <c r="H41" s="872"/>
      <c r="I41" s="872"/>
      <c r="J41" s="872"/>
      <c r="K41" s="872"/>
      <c r="L41" s="872"/>
      <c r="M41" s="1277"/>
      <c r="N41" s="664">
        <f>SUM(G41:L41)</f>
        <v>785640</v>
      </c>
      <c r="O41" s="3662"/>
      <c r="P41" s="2704"/>
      <c r="Q41" s="2704"/>
    </row>
    <row r="42" spans="1:17" ht="14.25" customHeight="1">
      <c r="A42" s="4384"/>
      <c r="B42" s="3214" t="s">
        <v>18</v>
      </c>
      <c r="C42" s="3649"/>
      <c r="D42" s="298">
        <f>+D43</f>
        <v>10370000</v>
      </c>
      <c r="E42" s="3215">
        <f t="shared" ref="E42" si="28">+E43</f>
        <v>0</v>
      </c>
      <c r="F42" s="3216">
        <f>F43</f>
        <v>213477</v>
      </c>
      <c r="G42" s="3216">
        <f>G43</f>
        <v>10156523</v>
      </c>
      <c r="H42" s="300"/>
      <c r="I42" s="300"/>
      <c r="J42" s="300"/>
      <c r="K42" s="300"/>
      <c r="L42" s="300"/>
      <c r="M42" s="2297">
        <f>+M43</f>
        <v>10370000</v>
      </c>
      <c r="N42" s="2297">
        <f>+N43</f>
        <v>10156523</v>
      </c>
      <c r="O42" s="3662"/>
    </row>
    <row r="43" spans="1:17" ht="12.75">
      <c r="A43" s="4384"/>
      <c r="B43" s="3094" t="s">
        <v>21</v>
      </c>
      <c r="C43" s="3650"/>
      <c r="D43" s="239">
        <f>E43+F43+G43+H43+I43+J43+K43+L43</f>
        <v>10370000</v>
      </c>
      <c r="E43" s="2610">
        <v>0</v>
      </c>
      <c r="F43" s="297">
        <f>5717756-52724-5057282-255000-139273</f>
        <v>213477</v>
      </c>
      <c r="G43" s="297">
        <f>8505377-82402+5057282+255000+69185-3647919</f>
        <v>10156523</v>
      </c>
      <c r="H43" s="297"/>
      <c r="I43" s="297"/>
      <c r="J43" s="297"/>
      <c r="K43" s="297"/>
      <c r="L43" s="297"/>
      <c r="M43" s="664">
        <f>SUM(F43:K43)</f>
        <v>10370000</v>
      </c>
      <c r="N43" s="664">
        <f>SUM(G43:L43)</f>
        <v>10156523</v>
      </c>
      <c r="O43" s="4313"/>
    </row>
    <row r="44" spans="1:17" ht="12">
      <c r="A44" s="4384"/>
      <c r="B44" s="21" t="s">
        <v>22</v>
      </c>
      <c r="C44" s="22"/>
      <c r="D44" s="674">
        <f>+D47+D45</f>
        <v>11162765</v>
      </c>
      <c r="E44" s="3217">
        <f>+E47</f>
        <v>0</v>
      </c>
      <c r="F44" s="674">
        <f>F47+F45</f>
        <v>7125</v>
      </c>
      <c r="G44" s="674">
        <f t="shared" ref="G44:H44" si="29">G47+G45</f>
        <v>11155640</v>
      </c>
      <c r="H44" s="674">
        <f t="shared" si="29"/>
        <v>0</v>
      </c>
      <c r="I44" s="674"/>
      <c r="J44" s="674"/>
      <c r="K44" s="674"/>
      <c r="L44" s="674"/>
      <c r="M44" s="4415"/>
      <c r="N44" s="4415"/>
      <c r="O44" s="4424" t="s">
        <v>102</v>
      </c>
    </row>
    <row r="45" spans="1:17" ht="12">
      <c r="A45" s="4384"/>
      <c r="B45" s="555" t="s">
        <v>415</v>
      </c>
      <c r="C45" s="4419" t="s">
        <v>169</v>
      </c>
      <c r="D45" s="1485">
        <f t="shared" ref="D45:L45" si="30">D46</f>
        <v>792765</v>
      </c>
      <c r="E45" s="1849">
        <f t="shared" ref="E45" si="31">+E46</f>
        <v>0</v>
      </c>
      <c r="F45" s="3208">
        <f t="shared" si="30"/>
        <v>7125</v>
      </c>
      <c r="G45" s="2293">
        <f t="shared" si="30"/>
        <v>785640</v>
      </c>
      <c r="H45" s="1849">
        <f t="shared" si="30"/>
        <v>0</v>
      </c>
      <c r="I45" s="1849">
        <f t="shared" si="30"/>
        <v>0</v>
      </c>
      <c r="J45" s="1849">
        <f t="shared" si="30"/>
        <v>0</v>
      </c>
      <c r="K45" s="1849">
        <f t="shared" si="30"/>
        <v>0</v>
      </c>
      <c r="L45" s="1849">
        <f t="shared" si="30"/>
        <v>0</v>
      </c>
      <c r="M45" s="4413"/>
      <c r="N45" s="4413"/>
      <c r="O45" s="4401"/>
    </row>
    <row r="46" spans="1:17" ht="12.75">
      <c r="A46" s="4384"/>
      <c r="B46" s="3297" t="s">
        <v>15</v>
      </c>
      <c r="C46" s="4420"/>
      <c r="D46" s="1453">
        <f>E46+F46+G46+H46+I46+J46+K46+L46</f>
        <v>792765</v>
      </c>
      <c r="E46" s="1518">
        <v>0</v>
      </c>
      <c r="F46" s="3209">
        <v>7125</v>
      </c>
      <c r="G46" s="2295">
        <f>26722+508668+250250</f>
        <v>785640</v>
      </c>
      <c r="H46" s="1518">
        <v>0</v>
      </c>
      <c r="I46" s="1518">
        <v>0</v>
      </c>
      <c r="J46" s="1518">
        <v>0</v>
      </c>
      <c r="K46" s="1518">
        <v>0</v>
      </c>
      <c r="L46" s="1518">
        <v>0</v>
      </c>
      <c r="M46" s="4413"/>
      <c r="N46" s="4413"/>
      <c r="O46" s="4401"/>
      <c r="P46" s="197">
        <f>G46-'[4]Tab. 6H - Kultura fiz. i turyst'!$G$46</f>
        <v>250250</v>
      </c>
    </row>
    <row r="47" spans="1:17" ht="12.75" customHeight="1">
      <c r="A47" s="4384"/>
      <c r="B47" s="167" t="s">
        <v>18</v>
      </c>
      <c r="C47" s="3730" t="s">
        <v>191</v>
      </c>
      <c r="D47" s="298">
        <f>+D48</f>
        <v>10370000</v>
      </c>
      <c r="E47" s="3299">
        <f t="shared" ref="E47" si="32">+E48</f>
        <v>0</v>
      </c>
      <c r="F47" s="3299">
        <f t="shared" ref="F47:H47" si="33">F48</f>
        <v>0</v>
      </c>
      <c r="G47" s="299">
        <f t="shared" si="33"/>
        <v>10370000</v>
      </c>
      <c r="H47" s="299">
        <f t="shared" si="33"/>
        <v>0</v>
      </c>
      <c r="I47" s="299"/>
      <c r="J47" s="299"/>
      <c r="K47" s="299"/>
      <c r="L47" s="299"/>
      <c r="M47" s="4413"/>
      <c r="N47" s="4413"/>
      <c r="O47" s="4401"/>
    </row>
    <row r="48" spans="1:17" ht="13.5" thickBot="1">
      <c r="A48" s="4397"/>
      <c r="B48" s="3300" t="s">
        <v>21</v>
      </c>
      <c r="C48" s="4358"/>
      <c r="D48" s="2283">
        <f>E48+F48+G48+H48+I48+J48+K48+L48</f>
        <v>10370000</v>
      </c>
      <c r="E48" s="2814">
        <v>0</v>
      </c>
      <c r="F48" s="1787">
        <f>5600000-135126-4889874-575000</f>
        <v>0</v>
      </c>
      <c r="G48" s="1786">
        <f>8123133+3389874+575000-60138-1657869</f>
        <v>10370000</v>
      </c>
      <c r="H48" s="1786">
        <f>500000+1500000-9950-1990050</f>
        <v>0</v>
      </c>
      <c r="I48" s="1786"/>
      <c r="J48" s="1786"/>
      <c r="K48" s="1786"/>
      <c r="L48" s="1786"/>
      <c r="M48" s="4414"/>
      <c r="N48" s="4414"/>
      <c r="O48" s="4402"/>
    </row>
    <row r="49" spans="1:17" ht="27" customHeight="1">
      <c r="A49" s="4381" t="s">
        <v>65</v>
      </c>
      <c r="B49" s="180" t="s">
        <v>560</v>
      </c>
      <c r="C49" s="3180" t="s">
        <v>81</v>
      </c>
      <c r="D49" s="1312"/>
      <c r="E49" s="3210"/>
      <c r="F49" s="3211"/>
      <c r="G49" s="3211"/>
      <c r="H49" s="3211"/>
      <c r="I49" s="3185"/>
      <c r="J49" s="3185"/>
      <c r="K49" s="3185"/>
      <c r="L49" s="3186"/>
      <c r="M49" s="1313"/>
      <c r="N49" s="1313"/>
      <c r="O49" s="3661" t="s">
        <v>86</v>
      </c>
    </row>
    <row r="50" spans="1:17" ht="12">
      <c r="A50" s="4384"/>
      <c r="B50" s="1474" t="s">
        <v>10</v>
      </c>
      <c r="C50" s="3301"/>
      <c r="D50" s="1476">
        <f>+D51+D54</f>
        <v>6221444</v>
      </c>
      <c r="E50" s="1780">
        <f t="shared" ref="E50" si="34">+E51+E54</f>
        <v>0</v>
      </c>
      <c r="F50" s="1476">
        <f>+F51+F54</f>
        <v>217780</v>
      </c>
      <c r="G50" s="1476">
        <f>+G51+G54</f>
        <v>6003664</v>
      </c>
      <c r="H50" s="1476"/>
      <c r="I50" s="1476"/>
      <c r="J50" s="1476"/>
      <c r="K50" s="1476"/>
      <c r="L50" s="1476"/>
      <c r="M50" s="1477">
        <f>M51+M54</f>
        <v>5738168</v>
      </c>
      <c r="N50" s="1477">
        <f>N51+N54</f>
        <v>6003664</v>
      </c>
      <c r="O50" s="3662"/>
      <c r="P50" s="197"/>
      <c r="Q50" s="197"/>
    </row>
    <row r="51" spans="1:17" s="226" customFormat="1" ht="14.25" customHeight="1">
      <c r="A51" s="4384"/>
      <c r="B51" s="1478" t="s">
        <v>24</v>
      </c>
      <c r="C51" s="3655" t="s">
        <v>169</v>
      </c>
      <c r="D51" s="1479">
        <f>D52+D53</f>
        <v>1026664</v>
      </c>
      <c r="E51" s="1778">
        <f t="shared" ref="E51:G51" si="35">E52+E53</f>
        <v>0</v>
      </c>
      <c r="F51" s="1479">
        <f t="shared" si="35"/>
        <v>42149</v>
      </c>
      <c r="G51" s="1479">
        <f t="shared" si="35"/>
        <v>984515</v>
      </c>
      <c r="H51" s="1484"/>
      <c r="I51" s="1484"/>
      <c r="J51" s="1484"/>
      <c r="K51" s="1484"/>
      <c r="L51" s="1484"/>
      <c r="M51" s="1480">
        <f>M52</f>
        <v>543388</v>
      </c>
      <c r="N51" s="1480">
        <f>N52+N53</f>
        <v>984515</v>
      </c>
      <c r="O51" s="3662"/>
      <c r="P51" s="2704"/>
      <c r="Q51" s="2704"/>
    </row>
    <row r="52" spans="1:17" s="226" customFormat="1" ht="12.75">
      <c r="A52" s="4384"/>
      <c r="B52" s="1481" t="s">
        <v>12</v>
      </c>
      <c r="C52" s="3649"/>
      <c r="D52" s="1406">
        <f>E52+F52+G52+H52+I52+J52+K52+L52</f>
        <v>543388</v>
      </c>
      <c r="E52" s="3302">
        <v>0</v>
      </c>
      <c r="F52" s="1482">
        <f>610000-360000-72500-105621-38491</f>
        <v>33388</v>
      </c>
      <c r="G52" s="1482">
        <f>495000+360000+72500+105621+19779-403710-139190</f>
        <v>510000</v>
      </c>
      <c r="H52" s="1482"/>
      <c r="I52" s="1482"/>
      <c r="J52" s="1482"/>
      <c r="K52" s="1482"/>
      <c r="L52" s="1482"/>
      <c r="M52" s="1799">
        <f>SUM(F52:K52)</f>
        <v>543388</v>
      </c>
      <c r="N52" s="1799">
        <f>SUM(G52:L52)</f>
        <v>510000</v>
      </c>
      <c r="O52" s="3662"/>
      <c r="P52" s="2704"/>
      <c r="Q52" s="2704"/>
    </row>
    <row r="53" spans="1:17" s="226" customFormat="1" ht="12.75">
      <c r="A53" s="4384"/>
      <c r="B53" s="3297" t="s">
        <v>15</v>
      </c>
      <c r="C53" s="3649"/>
      <c r="D53" s="239">
        <f>E53+F53+G53+H53+I53+J53+K53+L53</f>
        <v>483276</v>
      </c>
      <c r="E53" s="2526">
        <v>0</v>
      </c>
      <c r="F53" s="872">
        <v>8761</v>
      </c>
      <c r="G53" s="872">
        <f>403710+70805</f>
        <v>474515</v>
      </c>
      <c r="H53" s="872"/>
      <c r="I53" s="872"/>
      <c r="J53" s="872"/>
      <c r="K53" s="872"/>
      <c r="L53" s="872"/>
      <c r="M53" s="1277"/>
      <c r="N53" s="664">
        <f>SUM(G53:L53)</f>
        <v>474515</v>
      </c>
      <c r="O53" s="3662"/>
      <c r="P53" s="2704"/>
      <c r="Q53" s="2704"/>
    </row>
    <row r="54" spans="1:17" ht="12">
      <c r="A54" s="4384"/>
      <c r="B54" s="1483" t="s">
        <v>18</v>
      </c>
      <c r="C54" s="3649"/>
      <c r="D54" s="1479">
        <f>+D55</f>
        <v>5194780</v>
      </c>
      <c r="E54" s="2321">
        <f t="shared" ref="E54" si="36">+E55</f>
        <v>0</v>
      </c>
      <c r="F54" s="3303">
        <f>F55</f>
        <v>175631</v>
      </c>
      <c r="G54" s="3303">
        <f>G55</f>
        <v>5019149</v>
      </c>
      <c r="H54" s="1484"/>
      <c r="I54" s="1484"/>
      <c r="J54" s="1484"/>
      <c r="K54" s="1484"/>
      <c r="L54" s="1484"/>
      <c r="M54" s="2298">
        <f>+M55</f>
        <v>5194780</v>
      </c>
      <c r="N54" s="2298">
        <f>+N55</f>
        <v>5019149</v>
      </c>
      <c r="O54" s="3662"/>
    </row>
    <row r="55" spans="1:17" ht="12.75">
      <c r="A55" s="4384"/>
      <c r="B55" s="3094" t="s">
        <v>21</v>
      </c>
      <c r="C55" s="3650"/>
      <c r="D55" s="1406">
        <f>E55+F55+G55+H55+I55+J55+K55+L55</f>
        <v>5194780</v>
      </c>
      <c r="E55" s="3302">
        <v>0</v>
      </c>
      <c r="F55" s="1482">
        <f>2890000-2040000-127500-546585-284</f>
        <v>175631</v>
      </c>
      <c r="G55" s="1482">
        <f>2805000+2040000+127500+546585-56102-443834</f>
        <v>5019149</v>
      </c>
      <c r="H55" s="1482"/>
      <c r="I55" s="1482"/>
      <c r="J55" s="1482"/>
      <c r="K55" s="1482"/>
      <c r="L55" s="1482"/>
      <c r="M55" s="1799">
        <f>SUM(F55:K55)</f>
        <v>5194780</v>
      </c>
      <c r="N55" s="1799">
        <f>SUM(G55:L55)</f>
        <v>5019149</v>
      </c>
      <c r="O55" s="4313"/>
    </row>
    <row r="56" spans="1:17" ht="12">
      <c r="A56" s="4384"/>
      <c r="B56" s="581" t="s">
        <v>22</v>
      </c>
      <c r="C56" s="1475"/>
      <c r="D56" s="1476">
        <f>+D59+D57</f>
        <v>5678056</v>
      </c>
      <c r="E56" s="1780">
        <f t="shared" ref="E56:G56" si="37">+E59+E57</f>
        <v>0</v>
      </c>
      <c r="F56" s="1476">
        <f t="shared" si="37"/>
        <v>8761</v>
      </c>
      <c r="G56" s="1476">
        <f t="shared" si="37"/>
        <v>5669295</v>
      </c>
      <c r="H56" s="1780">
        <f>H59</f>
        <v>0</v>
      </c>
      <c r="I56" s="1476"/>
      <c r="J56" s="1476"/>
      <c r="K56" s="1476"/>
      <c r="L56" s="1476"/>
      <c r="M56" s="4412"/>
      <c r="N56" s="4412"/>
      <c r="O56" s="4401" t="s">
        <v>102</v>
      </c>
    </row>
    <row r="57" spans="1:17" ht="12">
      <c r="A57" s="4384"/>
      <c r="B57" s="555" t="s">
        <v>415</v>
      </c>
      <c r="C57" s="4419" t="s">
        <v>169</v>
      </c>
      <c r="D57" s="1485">
        <f t="shared" ref="D57:L57" si="38">D58</f>
        <v>483276</v>
      </c>
      <c r="E57" s="1849">
        <f t="shared" ref="E57" si="39">+E58</f>
        <v>0</v>
      </c>
      <c r="F57" s="3208">
        <f t="shared" si="38"/>
        <v>8761</v>
      </c>
      <c r="G57" s="2293">
        <f t="shared" si="38"/>
        <v>474515</v>
      </c>
      <c r="H57" s="1849">
        <f t="shared" si="38"/>
        <v>0</v>
      </c>
      <c r="I57" s="1849">
        <f t="shared" si="38"/>
        <v>0</v>
      </c>
      <c r="J57" s="1849">
        <f t="shared" si="38"/>
        <v>0</v>
      </c>
      <c r="K57" s="1849">
        <f t="shared" si="38"/>
        <v>0</v>
      </c>
      <c r="L57" s="1849">
        <f t="shared" si="38"/>
        <v>0</v>
      </c>
      <c r="M57" s="4413"/>
      <c r="N57" s="4413"/>
      <c r="O57" s="4401"/>
    </row>
    <row r="58" spans="1:17" ht="12.75">
      <c r="A58" s="4384"/>
      <c r="B58" s="3297" t="s">
        <v>15</v>
      </c>
      <c r="C58" s="4420"/>
      <c r="D58" s="1453">
        <f>E58+F58+G58+H58+I58+J58+K58+L58</f>
        <v>483276</v>
      </c>
      <c r="E58" s="1518">
        <v>0</v>
      </c>
      <c r="F58" s="3209">
        <v>8761</v>
      </c>
      <c r="G58" s="2295">
        <f>403710+70805</f>
        <v>474515</v>
      </c>
      <c r="H58" s="1518">
        <v>0</v>
      </c>
      <c r="I58" s="1518">
        <v>0</v>
      </c>
      <c r="J58" s="1518">
        <v>0</v>
      </c>
      <c r="K58" s="1518">
        <v>0</v>
      </c>
      <c r="L58" s="1518">
        <v>0</v>
      </c>
      <c r="M58" s="4413"/>
      <c r="N58" s="4413"/>
      <c r="O58" s="4401"/>
      <c r="P58" s="197">
        <f>G58-'[4]Tab. 6H - Kultura fiz. i turyst'!$G$58</f>
        <v>70805</v>
      </c>
    </row>
    <row r="59" spans="1:17" ht="12.75" customHeight="1">
      <c r="A59" s="4384"/>
      <c r="B59" s="555" t="s">
        <v>18</v>
      </c>
      <c r="C59" s="3749" t="s">
        <v>191</v>
      </c>
      <c r="D59" s="1479">
        <f>+D60</f>
        <v>5194780</v>
      </c>
      <c r="E59" s="1537">
        <f t="shared" ref="E59" si="40">+E60</f>
        <v>0</v>
      </c>
      <c r="F59" s="1485">
        <f t="shared" ref="F59:H59" si="41">F60</f>
        <v>0</v>
      </c>
      <c r="G59" s="1485">
        <f t="shared" si="41"/>
        <v>5194780</v>
      </c>
      <c r="H59" s="1537">
        <f t="shared" si="41"/>
        <v>0</v>
      </c>
      <c r="I59" s="1485"/>
      <c r="J59" s="1485"/>
      <c r="K59" s="1485"/>
      <c r="L59" s="1485"/>
      <c r="M59" s="4413"/>
      <c r="N59" s="4413"/>
      <c r="O59" s="4401"/>
    </row>
    <row r="60" spans="1:17" ht="13.5" thickBot="1">
      <c r="A60" s="4397"/>
      <c r="B60" s="3298" t="s">
        <v>21</v>
      </c>
      <c r="C60" s="3657"/>
      <c r="D60" s="1578">
        <f>E60+F60+G60+H60+I60+J60+K60+L60</f>
        <v>5194780</v>
      </c>
      <c r="E60" s="3293">
        <v>0</v>
      </c>
      <c r="F60" s="1786">
        <f>2890000-2040000-850000</f>
        <v>0</v>
      </c>
      <c r="G60" s="1786">
        <f>2805000+2040000+850000-56386-443834</f>
        <v>5194780</v>
      </c>
      <c r="H60" s="1787">
        <v>0</v>
      </c>
      <c r="I60" s="1786"/>
      <c r="J60" s="1786"/>
      <c r="K60" s="1786"/>
      <c r="L60" s="1786"/>
      <c r="M60" s="4414"/>
      <c r="N60" s="4414"/>
      <c r="O60" s="4402"/>
    </row>
    <row r="61" spans="1:17" ht="24">
      <c r="A61" s="4381" t="s">
        <v>66</v>
      </c>
      <c r="B61" s="180" t="s">
        <v>561</v>
      </c>
      <c r="C61" s="3180" t="s">
        <v>81</v>
      </c>
      <c r="D61" s="1312"/>
      <c r="E61" s="3210"/>
      <c r="F61" s="3211"/>
      <c r="G61" s="3211"/>
      <c r="H61" s="3211"/>
      <c r="I61" s="3185"/>
      <c r="J61" s="3185"/>
      <c r="K61" s="3185"/>
      <c r="L61" s="3186"/>
      <c r="M61" s="1313"/>
      <c r="N61" s="1313"/>
      <c r="O61" s="3661" t="s">
        <v>86</v>
      </c>
    </row>
    <row r="62" spans="1:17" ht="16.5" customHeight="1">
      <c r="A62" s="4384"/>
      <c r="B62" s="881" t="s">
        <v>10</v>
      </c>
      <c r="C62" s="3304"/>
      <c r="D62" s="626">
        <f>+D63+D65</f>
        <v>7500000</v>
      </c>
      <c r="E62" s="626">
        <f t="shared" ref="E62" si="42">+E63+E65</f>
        <v>0</v>
      </c>
      <c r="F62" s="655">
        <f>+F63+F65</f>
        <v>0</v>
      </c>
      <c r="G62" s="626">
        <f>+G63+G65</f>
        <v>3500000</v>
      </c>
      <c r="H62" s="626">
        <f>+H63+H65</f>
        <v>4000000</v>
      </c>
      <c r="I62" s="626"/>
      <c r="J62" s="626"/>
      <c r="K62" s="626"/>
      <c r="L62" s="626"/>
      <c r="M62" s="847">
        <f>M63+M65</f>
        <v>7500000</v>
      </c>
      <c r="N62" s="847">
        <f>N63+N65</f>
        <v>7500000</v>
      </c>
      <c r="O62" s="3662"/>
      <c r="P62" s="197"/>
      <c r="Q62" s="197"/>
    </row>
    <row r="63" spans="1:17" s="226" customFormat="1" ht="14.25" customHeight="1">
      <c r="A63" s="4384"/>
      <c r="B63" s="874" t="s">
        <v>24</v>
      </c>
      <c r="C63" s="3646" t="s">
        <v>169</v>
      </c>
      <c r="D63" s="564">
        <f>D64</f>
        <v>1125000</v>
      </c>
      <c r="E63" s="1170">
        <f t="shared" ref="E63:H63" si="43">E64</f>
        <v>0</v>
      </c>
      <c r="F63" s="3305">
        <f t="shared" si="43"/>
        <v>0</v>
      </c>
      <c r="G63" s="3306">
        <f t="shared" si="43"/>
        <v>525000</v>
      </c>
      <c r="H63" s="3306">
        <f t="shared" si="43"/>
        <v>600000</v>
      </c>
      <c r="I63" s="1171"/>
      <c r="J63" s="1171"/>
      <c r="K63" s="1171"/>
      <c r="L63" s="1171"/>
      <c r="M63" s="563">
        <f>M64</f>
        <v>1125000</v>
      </c>
      <c r="N63" s="563">
        <f>N64</f>
        <v>1125000</v>
      </c>
      <c r="O63" s="3662"/>
      <c r="P63" s="2704"/>
      <c r="Q63" s="2704"/>
    </row>
    <row r="64" spans="1:17" s="226" customFormat="1" ht="14.25" customHeight="1">
      <c r="A64" s="4384"/>
      <c r="B64" s="1147" t="s">
        <v>12</v>
      </c>
      <c r="C64" s="3649"/>
      <c r="D64" s="239">
        <f>E64+F64+G64+H64+I64+J64+K64+L64</f>
        <v>1125000</v>
      </c>
      <c r="E64" s="239">
        <v>0</v>
      </c>
      <c r="F64" s="1210">
        <f>225000-225000</f>
        <v>0</v>
      </c>
      <c r="G64" s="872">
        <f>900000-375000</f>
        <v>525000</v>
      </c>
      <c r="H64" s="872">
        <v>600000</v>
      </c>
      <c r="I64" s="872"/>
      <c r="J64" s="872"/>
      <c r="K64" s="872"/>
      <c r="L64" s="872"/>
      <c r="M64" s="664">
        <f>SUM(F64:K64)</f>
        <v>1125000</v>
      </c>
      <c r="N64" s="664">
        <f>SUM(G64:L64)</f>
        <v>1125000</v>
      </c>
      <c r="O64" s="3662"/>
      <c r="P64" s="2704"/>
      <c r="Q64" s="2704"/>
    </row>
    <row r="65" spans="1:17" ht="14.25" customHeight="1">
      <c r="A65" s="4384"/>
      <c r="B65" s="866" t="s">
        <v>18</v>
      </c>
      <c r="C65" s="3649"/>
      <c r="D65" s="564">
        <f>+D66</f>
        <v>6375000</v>
      </c>
      <c r="E65" s="1170">
        <f t="shared" ref="E65" si="44">+E66</f>
        <v>0</v>
      </c>
      <c r="F65" s="3305">
        <f>F66</f>
        <v>0</v>
      </c>
      <c r="G65" s="3306">
        <f>G66</f>
        <v>2975000</v>
      </c>
      <c r="H65" s="3306">
        <f>H66</f>
        <v>3400000</v>
      </c>
      <c r="I65" s="1171"/>
      <c r="J65" s="1171"/>
      <c r="K65" s="1171"/>
      <c r="L65" s="1171"/>
      <c r="M65" s="899">
        <f>+M66</f>
        <v>6375000</v>
      </c>
      <c r="N65" s="899">
        <f>+N66</f>
        <v>6375000</v>
      </c>
      <c r="O65" s="3662"/>
    </row>
    <row r="66" spans="1:17" ht="13.5" customHeight="1">
      <c r="A66" s="4384"/>
      <c r="B66" s="3094" t="s">
        <v>21</v>
      </c>
      <c r="C66" s="3650"/>
      <c r="D66" s="239">
        <f>E66+F66+G66+H66+I66+J66+K66+L66</f>
        <v>6375000</v>
      </c>
      <c r="E66" s="239">
        <v>0</v>
      </c>
      <c r="F66" s="1210">
        <f>1275000-1275000</f>
        <v>0</v>
      </c>
      <c r="G66" s="872">
        <f>5100000-2125000</f>
        <v>2975000</v>
      </c>
      <c r="H66" s="872">
        <v>3400000</v>
      </c>
      <c r="I66" s="872"/>
      <c r="J66" s="872"/>
      <c r="K66" s="872"/>
      <c r="L66" s="872"/>
      <c r="M66" s="664">
        <f>SUM(F66:K66)</f>
        <v>6375000</v>
      </c>
      <c r="N66" s="664">
        <f>SUM(G66:L66)</f>
        <v>6375000</v>
      </c>
      <c r="O66" s="4313"/>
    </row>
    <row r="67" spans="1:17" ht="15.75" customHeight="1">
      <c r="A67" s="4384"/>
      <c r="B67" s="581" t="s">
        <v>22</v>
      </c>
      <c r="C67" s="654"/>
      <c r="D67" s="626">
        <f>+D68</f>
        <v>6375000</v>
      </c>
      <c r="E67" s="626">
        <f t="shared" ref="E67:E68" si="45">+E68</f>
        <v>0</v>
      </c>
      <c r="F67" s="655">
        <f t="shared" ref="F67:H68" si="46">F68</f>
        <v>0</v>
      </c>
      <c r="G67" s="626">
        <f t="shared" si="46"/>
        <v>0</v>
      </c>
      <c r="H67" s="626">
        <f t="shared" si="46"/>
        <v>6375000</v>
      </c>
      <c r="I67" s="626"/>
      <c r="J67" s="626"/>
      <c r="K67" s="626"/>
      <c r="L67" s="626"/>
      <c r="M67" s="4415"/>
      <c r="N67" s="4415"/>
      <c r="O67" s="4401" t="s">
        <v>102</v>
      </c>
    </row>
    <row r="68" spans="1:17" ht="17.25" customHeight="1">
      <c r="A68" s="4384"/>
      <c r="B68" s="555" t="s">
        <v>18</v>
      </c>
      <c r="C68" s="3730" t="s">
        <v>191</v>
      </c>
      <c r="D68" s="564">
        <f>+D69</f>
        <v>6375000</v>
      </c>
      <c r="E68" s="852">
        <f t="shared" si="45"/>
        <v>0</v>
      </c>
      <c r="F68" s="870">
        <f t="shared" si="46"/>
        <v>0</v>
      </c>
      <c r="G68" s="852">
        <f t="shared" si="46"/>
        <v>0</v>
      </c>
      <c r="H68" s="852">
        <f t="shared" si="46"/>
        <v>6375000</v>
      </c>
      <c r="I68" s="852"/>
      <c r="J68" s="852"/>
      <c r="K68" s="852"/>
      <c r="L68" s="852"/>
      <c r="M68" s="4413"/>
      <c r="N68" s="4413"/>
      <c r="O68" s="4401"/>
    </row>
    <row r="69" spans="1:17" ht="17.25" customHeight="1" thickBot="1">
      <c r="A69" s="4397"/>
      <c r="B69" s="3298" t="s">
        <v>21</v>
      </c>
      <c r="C69" s="3657"/>
      <c r="D69" s="239">
        <f>E69+F69+G69+H69+I69+J69+K69+L69</f>
        <v>6375000</v>
      </c>
      <c r="E69" s="239">
        <v>0</v>
      </c>
      <c r="F69" s="871">
        <v>0</v>
      </c>
      <c r="G69" s="448">
        <f>1800000-1800000</f>
        <v>0</v>
      </c>
      <c r="H69" s="448">
        <f>4575000+1800000</f>
        <v>6375000</v>
      </c>
      <c r="I69" s="448"/>
      <c r="J69" s="448"/>
      <c r="K69" s="448"/>
      <c r="L69" s="448"/>
      <c r="M69" s="4414"/>
      <c r="N69" s="4414"/>
      <c r="O69" s="4402"/>
    </row>
    <row r="70" spans="1:17" s="226" customFormat="1" ht="27.75" customHeight="1">
      <c r="A70" s="4381" t="s">
        <v>67</v>
      </c>
      <c r="B70" s="180" t="s">
        <v>574</v>
      </c>
      <c r="C70" s="3180" t="s">
        <v>81</v>
      </c>
      <c r="D70" s="668"/>
      <c r="E70" s="3187"/>
      <c r="F70" s="3181"/>
      <c r="G70" s="3181"/>
      <c r="H70" s="3181"/>
      <c r="I70" s="2303"/>
      <c r="J70" s="2303"/>
      <c r="K70" s="2303"/>
      <c r="L70" s="3182"/>
      <c r="M70" s="670"/>
      <c r="N70" s="670"/>
      <c r="O70" s="3307"/>
      <c r="P70" s="2704"/>
      <c r="Q70" s="2704"/>
    </row>
    <row r="71" spans="1:17" s="226" customFormat="1" ht="14.25" customHeight="1">
      <c r="A71" s="4382"/>
      <c r="B71" s="3212" t="s">
        <v>10</v>
      </c>
      <c r="C71" s="22"/>
      <c r="D71" s="674">
        <f t="shared" ref="D71" si="47">+D76+D72</f>
        <v>6045971</v>
      </c>
      <c r="E71" s="674">
        <f t="shared" ref="E71" si="48">+E76+E72</f>
        <v>0</v>
      </c>
      <c r="F71" s="674">
        <f>+F76+F72</f>
        <v>0</v>
      </c>
      <c r="G71" s="674">
        <f t="shared" ref="G71:L71" si="49">+G76+G72</f>
        <v>2200125</v>
      </c>
      <c r="H71" s="674">
        <f t="shared" si="49"/>
        <v>3845846</v>
      </c>
      <c r="I71" s="674">
        <f t="shared" si="49"/>
        <v>0</v>
      </c>
      <c r="J71" s="674">
        <f t="shared" si="49"/>
        <v>0</v>
      </c>
      <c r="K71" s="674">
        <f t="shared" si="49"/>
        <v>0</v>
      </c>
      <c r="L71" s="674">
        <f t="shared" si="49"/>
        <v>0</v>
      </c>
      <c r="M71" s="3308">
        <f>+M76+M72</f>
        <v>6045971</v>
      </c>
      <c r="N71" s="3308">
        <f>+N76+N72</f>
        <v>6045971</v>
      </c>
      <c r="O71" s="3662" t="s">
        <v>528</v>
      </c>
      <c r="P71" s="2704"/>
      <c r="Q71" s="2704"/>
    </row>
    <row r="72" spans="1:17" s="226" customFormat="1" ht="14.25" customHeight="1">
      <c r="A72" s="4382"/>
      <c r="B72" s="675" t="s">
        <v>24</v>
      </c>
      <c r="C72" s="4377" t="s">
        <v>169</v>
      </c>
      <c r="D72" s="298">
        <f>D73</f>
        <v>906896</v>
      </c>
      <c r="E72" s="3309">
        <f t="shared" ref="E72:L72" si="50">E73</f>
        <v>0</v>
      </c>
      <c r="F72" s="300">
        <f t="shared" si="50"/>
        <v>0</v>
      </c>
      <c r="G72" s="300">
        <f t="shared" si="50"/>
        <v>330020</v>
      </c>
      <c r="H72" s="300">
        <f t="shared" si="50"/>
        <v>576876</v>
      </c>
      <c r="I72" s="300">
        <f t="shared" si="50"/>
        <v>0</v>
      </c>
      <c r="J72" s="300">
        <f t="shared" si="50"/>
        <v>0</v>
      </c>
      <c r="K72" s="300">
        <f t="shared" si="50"/>
        <v>0</v>
      </c>
      <c r="L72" s="300">
        <f t="shared" si="50"/>
        <v>0</v>
      </c>
      <c r="M72" s="296">
        <f>M73</f>
        <v>906896</v>
      </c>
      <c r="N72" s="296">
        <f>N73</f>
        <v>906896</v>
      </c>
      <c r="O72" s="3662"/>
      <c r="P72" s="2704"/>
      <c r="Q72" s="2704"/>
    </row>
    <row r="73" spans="1:17" s="226" customFormat="1" ht="14.25" customHeight="1">
      <c r="A73" s="4382"/>
      <c r="B73" s="676" t="s">
        <v>12</v>
      </c>
      <c r="C73" s="3649"/>
      <c r="D73" s="3310">
        <f t="shared" ref="D73:F73" si="51">D74+D75</f>
        <v>906896</v>
      </c>
      <c r="E73" s="3310">
        <f t="shared" si="51"/>
        <v>0</v>
      </c>
      <c r="F73" s="3310">
        <f t="shared" si="51"/>
        <v>0</v>
      </c>
      <c r="G73" s="3310">
        <f>G74+G75</f>
        <v>330020</v>
      </c>
      <c r="H73" s="3310">
        <f t="shared" ref="H73:L73" si="52">H74+H75</f>
        <v>576876</v>
      </c>
      <c r="I73" s="3310">
        <f t="shared" si="52"/>
        <v>0</v>
      </c>
      <c r="J73" s="3310">
        <f t="shared" si="52"/>
        <v>0</v>
      </c>
      <c r="K73" s="3310">
        <f t="shared" si="52"/>
        <v>0</v>
      </c>
      <c r="L73" s="3310">
        <f t="shared" si="52"/>
        <v>0</v>
      </c>
      <c r="M73" s="664">
        <f>SUM(F73:K73)</f>
        <v>906896</v>
      </c>
      <c r="N73" s="664">
        <f>SUM(G73:L73)</f>
        <v>906896</v>
      </c>
      <c r="O73" s="3662"/>
      <c r="P73" s="2704"/>
      <c r="Q73" s="2704"/>
    </row>
    <row r="74" spans="1:17" s="226" customFormat="1" ht="14.25" hidden="1" customHeight="1">
      <c r="A74" s="4382"/>
      <c r="B74" s="3311" t="s">
        <v>529</v>
      </c>
      <c r="C74" s="3649"/>
      <c r="D74" s="3312">
        <f>E74+F74+G74+H74+I74+J74+K74+L74</f>
        <v>324805</v>
      </c>
      <c r="E74" s="3313"/>
      <c r="F74" s="3314"/>
      <c r="G74" s="3314">
        <v>324805</v>
      </c>
      <c r="H74" s="3314">
        <v>0</v>
      </c>
      <c r="I74" s="3314">
        <v>0</v>
      </c>
      <c r="J74" s="3314">
        <v>0</v>
      </c>
      <c r="K74" s="3314">
        <v>0</v>
      </c>
      <c r="L74" s="3314">
        <v>0</v>
      </c>
      <c r="M74" s="3315"/>
      <c r="N74" s="664">
        <f>SUM(G74:L74)</f>
        <v>324805</v>
      </c>
      <c r="O74" s="3662"/>
      <c r="P74" s="2704"/>
      <c r="Q74" s="2704"/>
    </row>
    <row r="75" spans="1:17" s="226" customFormat="1" ht="14.25" hidden="1" customHeight="1">
      <c r="A75" s="4382"/>
      <c r="B75" s="3316" t="s">
        <v>193</v>
      </c>
      <c r="C75" s="3649"/>
      <c r="D75" s="3317">
        <f>E75+F75+G75+H75+I75+J75+K75+L75</f>
        <v>582091</v>
      </c>
      <c r="E75" s="3318"/>
      <c r="F75" s="3319"/>
      <c r="G75" s="3319">
        <v>5215</v>
      </c>
      <c r="H75" s="3319">
        <v>576876</v>
      </c>
      <c r="I75" s="3319"/>
      <c r="J75" s="3319"/>
      <c r="K75" s="3319"/>
      <c r="L75" s="3319"/>
      <c r="M75" s="3315"/>
      <c r="N75" s="664">
        <f>SUM(G75:L75)</f>
        <v>582091</v>
      </c>
      <c r="O75" s="3662"/>
      <c r="P75" s="2704"/>
      <c r="Q75" s="2704"/>
    </row>
    <row r="76" spans="1:17" s="226" customFormat="1" ht="14.25" customHeight="1">
      <c r="A76" s="4382"/>
      <c r="B76" s="3214" t="s">
        <v>18</v>
      </c>
      <c r="C76" s="3649"/>
      <c r="D76" s="298">
        <f>D77</f>
        <v>5139075</v>
      </c>
      <c r="E76" s="298">
        <f t="shared" ref="E76:L76" si="53">E77</f>
        <v>0</v>
      </c>
      <c r="F76" s="298">
        <f t="shared" si="53"/>
        <v>0</v>
      </c>
      <c r="G76" s="298">
        <f t="shared" si="53"/>
        <v>1870105</v>
      </c>
      <c r="H76" s="298">
        <f t="shared" si="53"/>
        <v>3268970</v>
      </c>
      <c r="I76" s="298">
        <f t="shared" si="53"/>
        <v>0</v>
      </c>
      <c r="J76" s="298">
        <f t="shared" si="53"/>
        <v>0</v>
      </c>
      <c r="K76" s="298">
        <f t="shared" si="53"/>
        <v>0</v>
      </c>
      <c r="L76" s="298">
        <f t="shared" si="53"/>
        <v>0</v>
      </c>
      <c r="M76" s="296">
        <f>+M77</f>
        <v>5139075</v>
      </c>
      <c r="N76" s="296">
        <f>+N77</f>
        <v>5139075</v>
      </c>
      <c r="O76" s="3662"/>
      <c r="P76" s="2704"/>
      <c r="Q76" s="2704"/>
    </row>
    <row r="77" spans="1:17" s="226" customFormat="1" ht="15" customHeight="1">
      <c r="A77" s="4382"/>
      <c r="B77" s="3094" t="s">
        <v>21</v>
      </c>
      <c r="C77" s="3650"/>
      <c r="D77" s="3310">
        <f t="shared" ref="D77" si="54">D78+D79</f>
        <v>5139075</v>
      </c>
      <c r="E77" s="3310">
        <f t="shared" ref="E77" si="55">E78+E79</f>
        <v>0</v>
      </c>
      <c r="F77" s="3310">
        <f t="shared" ref="F77" si="56">F78+F79</f>
        <v>0</v>
      </c>
      <c r="G77" s="3310">
        <f>G78+G79</f>
        <v>1870105</v>
      </c>
      <c r="H77" s="3310">
        <f t="shared" ref="H77" si="57">H78+H79</f>
        <v>3268970</v>
      </c>
      <c r="I77" s="3310">
        <f t="shared" ref="I77" si="58">I78+I79</f>
        <v>0</v>
      </c>
      <c r="J77" s="3310">
        <f t="shared" ref="J77" si="59">J78+J79</f>
        <v>0</v>
      </c>
      <c r="K77" s="3310">
        <f t="shared" ref="K77" si="60">K78+K79</f>
        <v>0</v>
      </c>
      <c r="L77" s="3310">
        <f t="shared" ref="L77" si="61">L78+L79</f>
        <v>0</v>
      </c>
      <c r="M77" s="664">
        <f>SUM(F77:K77)</f>
        <v>5139075</v>
      </c>
      <c r="N77" s="664">
        <f>SUM(G77:L77)</f>
        <v>5139075</v>
      </c>
      <c r="O77" s="4313"/>
      <c r="P77" s="2704"/>
      <c r="Q77" s="2704"/>
    </row>
    <row r="78" spans="1:17" s="226" customFormat="1" ht="15" hidden="1" customHeight="1">
      <c r="A78" s="4382"/>
      <c r="B78" s="3311" t="s">
        <v>529</v>
      </c>
      <c r="C78" s="3064"/>
      <c r="D78" s="3312">
        <f>E78+F78+G78+H78+I78+J78+K78+L78</f>
        <v>1840559</v>
      </c>
      <c r="E78" s="3313"/>
      <c r="F78" s="3314"/>
      <c r="G78" s="3314">
        <v>1840559</v>
      </c>
      <c r="H78" s="3314">
        <v>0</v>
      </c>
      <c r="I78" s="3314">
        <v>0</v>
      </c>
      <c r="J78" s="3314">
        <v>0</v>
      </c>
      <c r="K78" s="3314">
        <v>0</v>
      </c>
      <c r="L78" s="3314">
        <v>0</v>
      </c>
      <c r="M78" s="2347"/>
      <c r="N78" s="664">
        <f>SUM(G78:L78)</f>
        <v>1840559</v>
      </c>
      <c r="O78" s="3066"/>
      <c r="P78" s="2704"/>
      <c r="Q78" s="2704"/>
    </row>
    <row r="79" spans="1:17" s="226" customFormat="1" ht="15" hidden="1" customHeight="1">
      <c r="A79" s="4382"/>
      <c r="B79" s="3316" t="s">
        <v>193</v>
      </c>
      <c r="C79" s="3064"/>
      <c r="D79" s="3317">
        <f>E79+F79+G79+H79+I79+J79+K79+L79</f>
        <v>3298516</v>
      </c>
      <c r="E79" s="3318"/>
      <c r="F79" s="3319"/>
      <c r="G79" s="3319">
        <v>29546</v>
      </c>
      <c r="H79" s="3319">
        <v>3268970</v>
      </c>
      <c r="I79" s="3319">
        <v>0</v>
      </c>
      <c r="J79" s="3319">
        <v>0</v>
      </c>
      <c r="K79" s="3319">
        <v>0</v>
      </c>
      <c r="L79" s="3319">
        <v>0</v>
      </c>
      <c r="M79" s="2347"/>
      <c r="N79" s="664">
        <f>SUM(G79:L79)</f>
        <v>3298516</v>
      </c>
      <c r="O79" s="3066"/>
      <c r="P79" s="2704"/>
      <c r="Q79" s="2704"/>
    </row>
    <row r="80" spans="1:17" s="226" customFormat="1" ht="15.75" customHeight="1">
      <c r="A80" s="4382"/>
      <c r="B80" s="21" t="s">
        <v>22</v>
      </c>
      <c r="C80" s="22"/>
      <c r="D80" s="674">
        <f t="shared" ref="D80:L81" si="62">D81</f>
        <v>5139075</v>
      </c>
      <c r="E80" s="674">
        <f t="shared" ref="E80:E81" si="63">+E81</f>
        <v>0</v>
      </c>
      <c r="F80" s="674">
        <f t="shared" si="62"/>
        <v>0</v>
      </c>
      <c r="G80" s="674">
        <f t="shared" si="62"/>
        <v>0</v>
      </c>
      <c r="H80" s="674">
        <f t="shared" si="62"/>
        <v>5139075</v>
      </c>
      <c r="I80" s="674">
        <f t="shared" si="62"/>
        <v>0</v>
      </c>
      <c r="J80" s="674">
        <f t="shared" si="62"/>
        <v>0</v>
      </c>
      <c r="K80" s="674">
        <f t="shared" si="62"/>
        <v>0</v>
      </c>
      <c r="L80" s="674">
        <f t="shared" si="62"/>
        <v>0</v>
      </c>
      <c r="M80" s="4411" t="s">
        <v>61</v>
      </c>
      <c r="N80" s="4411" t="s">
        <v>61</v>
      </c>
      <c r="O80" s="4405" t="s">
        <v>193</v>
      </c>
      <c r="P80" s="2704"/>
      <c r="Q80" s="2704"/>
    </row>
    <row r="81" spans="1:17" s="226" customFormat="1" ht="15" customHeight="1">
      <c r="A81" s="4382"/>
      <c r="B81" s="167" t="s">
        <v>18</v>
      </c>
      <c r="C81" s="4380" t="s">
        <v>191</v>
      </c>
      <c r="D81" s="299">
        <f t="shared" si="62"/>
        <v>5139075</v>
      </c>
      <c r="E81" s="299">
        <f t="shared" si="63"/>
        <v>0</v>
      </c>
      <c r="F81" s="299">
        <f t="shared" si="62"/>
        <v>0</v>
      </c>
      <c r="G81" s="299">
        <f t="shared" si="62"/>
        <v>0</v>
      </c>
      <c r="H81" s="299">
        <f t="shared" si="62"/>
        <v>5139075</v>
      </c>
      <c r="I81" s="299">
        <f t="shared" si="62"/>
        <v>0</v>
      </c>
      <c r="J81" s="299">
        <f t="shared" si="62"/>
        <v>0</v>
      </c>
      <c r="K81" s="299">
        <f t="shared" si="62"/>
        <v>0</v>
      </c>
      <c r="L81" s="299">
        <f t="shared" si="62"/>
        <v>0</v>
      </c>
      <c r="M81" s="3675"/>
      <c r="N81" s="3675"/>
      <c r="O81" s="3699"/>
      <c r="P81" s="2704"/>
      <c r="Q81" s="2704"/>
    </row>
    <row r="82" spans="1:17" s="226" customFormat="1" ht="15" customHeight="1" thickBot="1">
      <c r="A82" s="4383"/>
      <c r="B82" s="3298" t="s">
        <v>21</v>
      </c>
      <c r="C82" s="3657"/>
      <c r="D82" s="239">
        <f>E82+F82+G82+H82+I82+J82+K82+L82</f>
        <v>5139075</v>
      </c>
      <c r="E82" s="239">
        <v>0</v>
      </c>
      <c r="F82" s="70">
        <f>6462083-2818040-3644043</f>
        <v>0</v>
      </c>
      <c r="G82" s="70">
        <v>0</v>
      </c>
      <c r="H82" s="70">
        <v>5139075</v>
      </c>
      <c r="I82" s="70">
        <v>0</v>
      </c>
      <c r="J82" s="70">
        <v>0</v>
      </c>
      <c r="K82" s="70">
        <v>0</v>
      </c>
      <c r="L82" s="70">
        <v>0</v>
      </c>
      <c r="M82" s="3676"/>
      <c r="N82" s="3676"/>
      <c r="O82" s="3699"/>
      <c r="P82" s="2704"/>
      <c r="Q82" s="2704"/>
    </row>
    <row r="83" spans="1:17" s="226" customFormat="1" ht="42" customHeight="1">
      <c r="A83" s="4381" t="s">
        <v>115</v>
      </c>
      <c r="B83" s="180" t="s">
        <v>575</v>
      </c>
      <c r="C83" s="3180" t="s">
        <v>81</v>
      </c>
      <c r="D83" s="668"/>
      <c r="E83" s="3187"/>
      <c r="F83" s="3181"/>
      <c r="G83" s="3181"/>
      <c r="H83" s="3181"/>
      <c r="I83" s="2303"/>
      <c r="J83" s="2303"/>
      <c r="K83" s="2303"/>
      <c r="L83" s="3182"/>
      <c r="M83" s="670"/>
      <c r="N83" s="2846"/>
      <c r="O83" s="4310" t="s">
        <v>528</v>
      </c>
      <c r="P83" s="2704"/>
      <c r="Q83" s="2704"/>
    </row>
    <row r="84" spans="1:17" s="226" customFormat="1" ht="15" customHeight="1">
      <c r="A84" s="4384"/>
      <c r="B84" s="1474" t="s">
        <v>10</v>
      </c>
      <c r="C84" s="2951"/>
      <c r="D84" s="1476">
        <f t="shared" ref="D84:E84" si="64">+D89+D85</f>
        <v>4861424</v>
      </c>
      <c r="E84" s="1476">
        <f t="shared" si="64"/>
        <v>0</v>
      </c>
      <c r="F84" s="1476">
        <f>+F89+F85</f>
        <v>0</v>
      </c>
      <c r="G84" s="1476">
        <f t="shared" ref="G84:L84" si="65">+G89+G85</f>
        <v>2049234</v>
      </c>
      <c r="H84" s="1476">
        <f t="shared" si="65"/>
        <v>2812190</v>
      </c>
      <c r="I84" s="1476">
        <f t="shared" si="65"/>
        <v>0</v>
      </c>
      <c r="J84" s="1476">
        <f t="shared" si="65"/>
        <v>0</v>
      </c>
      <c r="K84" s="1476">
        <f t="shared" si="65"/>
        <v>0</v>
      </c>
      <c r="L84" s="1476">
        <f t="shared" si="65"/>
        <v>0</v>
      </c>
      <c r="M84" s="1477">
        <f>+M89+M85</f>
        <v>4861424</v>
      </c>
      <c r="N84" s="2998">
        <f>+N89+N85</f>
        <v>4861424</v>
      </c>
      <c r="O84" s="4311"/>
      <c r="P84" s="2704"/>
      <c r="Q84" s="2704"/>
    </row>
    <row r="85" spans="1:17" s="226" customFormat="1" ht="15" customHeight="1">
      <c r="A85" s="4384"/>
      <c r="B85" s="1478" t="s">
        <v>24</v>
      </c>
      <c r="C85" s="3655" t="s">
        <v>169</v>
      </c>
      <c r="D85" s="1479">
        <f>D86</f>
        <v>729214</v>
      </c>
      <c r="E85" s="1845">
        <f t="shared" ref="E85:I85" si="66">E86</f>
        <v>0</v>
      </c>
      <c r="F85" s="1484">
        <f t="shared" si="66"/>
        <v>0</v>
      </c>
      <c r="G85" s="1484">
        <f t="shared" si="66"/>
        <v>307386</v>
      </c>
      <c r="H85" s="1484">
        <f t="shared" si="66"/>
        <v>421828</v>
      </c>
      <c r="I85" s="1484">
        <f t="shared" si="66"/>
        <v>0</v>
      </c>
      <c r="J85" s="1484"/>
      <c r="K85" s="1484"/>
      <c r="L85" s="1484"/>
      <c r="M85" s="1480">
        <f>M86</f>
        <v>729214</v>
      </c>
      <c r="N85" s="2996">
        <f>N86</f>
        <v>729214</v>
      </c>
      <c r="O85" s="4311"/>
      <c r="P85" s="2704"/>
      <c r="Q85" s="2704"/>
    </row>
    <row r="86" spans="1:17" s="226" customFormat="1" ht="15" customHeight="1">
      <c r="A86" s="4384"/>
      <c r="B86" s="1481" t="s">
        <v>12</v>
      </c>
      <c r="C86" s="3649"/>
      <c r="D86" s="3567">
        <f t="shared" ref="D86" si="67">D87+D88</f>
        <v>729214</v>
      </c>
      <c r="E86" s="3567">
        <f t="shared" ref="E86" si="68">E87+E88</f>
        <v>0</v>
      </c>
      <c r="F86" s="3567">
        <f t="shared" ref="F86" si="69">F87+F88</f>
        <v>0</v>
      </c>
      <c r="G86" s="3567">
        <f>G87+G88</f>
        <v>307386</v>
      </c>
      <c r="H86" s="3567">
        <f t="shared" ref="H86" si="70">H87+H88</f>
        <v>421828</v>
      </c>
      <c r="I86" s="3567">
        <f t="shared" ref="I86" si="71">I87+I88</f>
        <v>0</v>
      </c>
      <c r="J86" s="3567">
        <f t="shared" ref="J86" si="72">J87+J88</f>
        <v>0</v>
      </c>
      <c r="K86" s="3567">
        <f t="shared" ref="K86" si="73">K87+K88</f>
        <v>0</v>
      </c>
      <c r="L86" s="3567">
        <f t="shared" ref="L86" si="74">L87+L88</f>
        <v>0</v>
      </c>
      <c r="M86" s="1799">
        <f>SUM(F86:K86)</f>
        <v>729214</v>
      </c>
      <c r="N86" s="2997">
        <f>SUM(G86:L86)</f>
        <v>729214</v>
      </c>
      <c r="O86" s="4311"/>
      <c r="P86" s="2704"/>
      <c r="Q86" s="2704"/>
    </row>
    <row r="87" spans="1:17" s="226" customFormat="1" ht="15" hidden="1" customHeight="1">
      <c r="A87" s="4384"/>
      <c r="B87" s="3568" t="s">
        <v>529</v>
      </c>
      <c r="C87" s="3649"/>
      <c r="D87" s="3569">
        <f>E87+F87+G87+H87+I87+J87+K87+L87</f>
        <v>302171</v>
      </c>
      <c r="E87" s="3313"/>
      <c r="F87" s="3314"/>
      <c r="G87" s="3314">
        <v>302171</v>
      </c>
      <c r="H87" s="3314">
        <v>0</v>
      </c>
      <c r="I87" s="3314">
        <v>0</v>
      </c>
      <c r="J87" s="3314">
        <v>0</v>
      </c>
      <c r="K87" s="3314">
        <v>0</v>
      </c>
      <c r="L87" s="3314">
        <v>0</v>
      </c>
      <c r="M87" s="3570"/>
      <c r="N87" s="2997">
        <f>SUM(G87:L87)</f>
        <v>302171</v>
      </c>
      <c r="O87" s="4311"/>
      <c r="P87" s="2704"/>
      <c r="Q87" s="2704"/>
    </row>
    <row r="88" spans="1:17" s="226" customFormat="1" ht="15" hidden="1" customHeight="1">
      <c r="A88" s="4384"/>
      <c r="B88" s="3571" t="s">
        <v>193</v>
      </c>
      <c r="C88" s="3649"/>
      <c r="D88" s="3572">
        <f>E88+F88+G88+H88+I88+J88+K88+L88</f>
        <v>427043</v>
      </c>
      <c r="E88" s="3318"/>
      <c r="F88" s="3319"/>
      <c r="G88" s="3319">
        <v>5215</v>
      </c>
      <c r="H88" s="3319">
        <v>421828</v>
      </c>
      <c r="I88" s="3319">
        <v>0</v>
      </c>
      <c r="J88" s="3319">
        <v>0</v>
      </c>
      <c r="K88" s="3319">
        <v>0</v>
      </c>
      <c r="L88" s="3319">
        <v>0</v>
      </c>
      <c r="M88" s="3570"/>
      <c r="N88" s="2997">
        <f>SUM(G88:L88)</f>
        <v>427043</v>
      </c>
      <c r="O88" s="4311"/>
      <c r="P88" s="2704"/>
      <c r="Q88" s="2704"/>
    </row>
    <row r="89" spans="1:17" s="226" customFormat="1" ht="15" customHeight="1" thickBot="1">
      <c r="A89" s="4422"/>
      <c r="B89" s="1483" t="s">
        <v>18</v>
      </c>
      <c r="C89" s="3649"/>
      <c r="D89" s="1479">
        <f>D90</f>
        <v>4132210</v>
      </c>
      <c r="E89" s="1479">
        <f t="shared" ref="E89:L89" si="75">E90</f>
        <v>0</v>
      </c>
      <c r="F89" s="1479">
        <f t="shared" si="75"/>
        <v>0</v>
      </c>
      <c r="G89" s="1479">
        <f t="shared" si="75"/>
        <v>1741848</v>
      </c>
      <c r="H89" s="1479">
        <f t="shared" si="75"/>
        <v>2390362</v>
      </c>
      <c r="I89" s="1479">
        <f t="shared" si="75"/>
        <v>0</v>
      </c>
      <c r="J89" s="1479">
        <f t="shared" si="75"/>
        <v>0</v>
      </c>
      <c r="K89" s="1479">
        <f t="shared" si="75"/>
        <v>0</v>
      </c>
      <c r="L89" s="1479">
        <f t="shared" si="75"/>
        <v>0</v>
      </c>
      <c r="M89" s="1480">
        <f>+M90</f>
        <v>4132210</v>
      </c>
      <c r="N89" s="2996">
        <f>+N90</f>
        <v>4132210</v>
      </c>
      <c r="O89" s="4312"/>
      <c r="P89" s="2704"/>
      <c r="Q89" s="2704"/>
    </row>
    <row r="90" spans="1:17" s="226" customFormat="1" ht="15" customHeight="1" thickBot="1">
      <c r="A90" s="4382"/>
      <c r="B90" s="3541" t="s">
        <v>21</v>
      </c>
      <c r="C90" s="3650"/>
      <c r="D90" s="3567">
        <f t="shared" ref="D90" si="76">D91+D92</f>
        <v>4132210</v>
      </c>
      <c r="E90" s="3567">
        <f t="shared" ref="E90" si="77">E91+E92</f>
        <v>0</v>
      </c>
      <c r="F90" s="3567">
        <f t="shared" ref="F90" si="78">F91+F92</f>
        <v>0</v>
      </c>
      <c r="G90" s="3567">
        <f>G91+G92</f>
        <v>1741848</v>
      </c>
      <c r="H90" s="3567">
        <f t="shared" ref="H90" si="79">H91+H92</f>
        <v>2390362</v>
      </c>
      <c r="I90" s="3567">
        <f t="shared" ref="I90" si="80">I91+I92</f>
        <v>0</v>
      </c>
      <c r="J90" s="3567">
        <f t="shared" ref="J90" si="81">J91+J92</f>
        <v>0</v>
      </c>
      <c r="K90" s="3567">
        <f t="shared" ref="K90" si="82">K91+K92</f>
        <v>0</v>
      </c>
      <c r="L90" s="3567">
        <f t="shared" ref="L90" si="83">L91+L92</f>
        <v>0</v>
      </c>
      <c r="M90" s="1799">
        <f>SUM(F90:K90)</f>
        <v>4132210</v>
      </c>
      <c r="N90" s="2997">
        <f>SUM(G90:L90)</f>
        <v>4132210</v>
      </c>
      <c r="O90" s="3762" t="s">
        <v>193</v>
      </c>
      <c r="P90" s="2704"/>
      <c r="Q90" s="2704"/>
    </row>
    <row r="91" spans="1:17" s="226" customFormat="1" ht="15" hidden="1" customHeight="1">
      <c r="A91" s="4382"/>
      <c r="B91" s="3568" t="s">
        <v>529</v>
      </c>
      <c r="C91" s="3540"/>
      <c r="D91" s="3569">
        <f>E91+F91+G91+H91+I91+J91+K91+L91</f>
        <v>1712302</v>
      </c>
      <c r="E91" s="3313"/>
      <c r="F91" s="3314"/>
      <c r="G91" s="3314">
        <v>1712302</v>
      </c>
      <c r="H91" s="3314">
        <v>0</v>
      </c>
      <c r="I91" s="3314">
        <v>0</v>
      </c>
      <c r="J91" s="3314">
        <v>0</v>
      </c>
      <c r="K91" s="3314">
        <v>0</v>
      </c>
      <c r="L91" s="3314">
        <v>0</v>
      </c>
      <c r="M91" s="2347"/>
      <c r="N91" s="2997">
        <f>SUM(G91:L91)</f>
        <v>1712302</v>
      </c>
      <c r="O91" s="3762"/>
      <c r="P91" s="2704"/>
      <c r="Q91" s="2704"/>
    </row>
    <row r="92" spans="1:17" s="226" customFormat="1" ht="15" hidden="1" customHeight="1">
      <c r="A92" s="4382"/>
      <c r="B92" s="3571" t="s">
        <v>193</v>
      </c>
      <c r="C92" s="3540"/>
      <c r="D92" s="3572">
        <f>E92+F92+G92+H92+I92+J92+K92+L92</f>
        <v>2419908</v>
      </c>
      <c r="E92" s="3318"/>
      <c r="F92" s="3319"/>
      <c r="G92" s="3319">
        <v>29546</v>
      </c>
      <c r="H92" s="3319">
        <v>2390362</v>
      </c>
      <c r="I92" s="3319">
        <v>0</v>
      </c>
      <c r="J92" s="3319">
        <v>0</v>
      </c>
      <c r="K92" s="3319">
        <v>0</v>
      </c>
      <c r="L92" s="3319">
        <v>0</v>
      </c>
      <c r="M92" s="2347"/>
      <c r="N92" s="2997">
        <f>SUM(G92:L92)</f>
        <v>2419908</v>
      </c>
      <c r="O92" s="3722"/>
      <c r="P92" s="2704"/>
      <c r="Q92" s="2704"/>
    </row>
    <row r="93" spans="1:17" s="226" customFormat="1" ht="15" customHeight="1" thickBot="1">
      <c r="A93" s="4384"/>
      <c r="B93" s="2440" t="s">
        <v>22</v>
      </c>
      <c r="C93" s="2951"/>
      <c r="D93" s="1476">
        <f t="shared" ref="D93:L94" si="84">D94</f>
        <v>4132210</v>
      </c>
      <c r="E93" s="1476">
        <f t="shared" ref="E93:E94" si="85">+E94</f>
        <v>0</v>
      </c>
      <c r="F93" s="1476">
        <f t="shared" si="84"/>
        <v>0</v>
      </c>
      <c r="G93" s="1476">
        <f t="shared" si="84"/>
        <v>0</v>
      </c>
      <c r="H93" s="1476">
        <f t="shared" si="84"/>
        <v>4132210</v>
      </c>
      <c r="I93" s="1476">
        <f t="shared" si="84"/>
        <v>0</v>
      </c>
      <c r="J93" s="1476">
        <f t="shared" si="84"/>
        <v>0</v>
      </c>
      <c r="K93" s="1476">
        <f t="shared" si="84"/>
        <v>0</v>
      </c>
      <c r="L93" s="1476">
        <f t="shared" si="84"/>
        <v>0</v>
      </c>
      <c r="M93" s="3677" t="s">
        <v>61</v>
      </c>
      <c r="N93" s="4307" t="s">
        <v>61</v>
      </c>
      <c r="O93" s="4406"/>
      <c r="P93" s="2704"/>
      <c r="Q93" s="2704"/>
    </row>
    <row r="94" spans="1:17" s="226" customFormat="1" ht="15" customHeight="1" thickBot="1">
      <c r="A94" s="4384"/>
      <c r="B94" s="2478" t="s">
        <v>18</v>
      </c>
      <c r="C94" s="4423" t="s">
        <v>191</v>
      </c>
      <c r="D94" s="1485">
        <f t="shared" si="84"/>
        <v>4132210</v>
      </c>
      <c r="E94" s="1485">
        <f t="shared" si="85"/>
        <v>0</v>
      </c>
      <c r="F94" s="1485">
        <f t="shared" si="84"/>
        <v>0</v>
      </c>
      <c r="G94" s="1485">
        <f t="shared" si="84"/>
        <v>0</v>
      </c>
      <c r="H94" s="1485">
        <f t="shared" si="84"/>
        <v>4132210</v>
      </c>
      <c r="I94" s="1485">
        <f t="shared" si="84"/>
        <v>0</v>
      </c>
      <c r="J94" s="1485">
        <f t="shared" si="84"/>
        <v>0</v>
      </c>
      <c r="K94" s="1485">
        <f t="shared" si="84"/>
        <v>0</v>
      </c>
      <c r="L94" s="1485">
        <f t="shared" si="84"/>
        <v>0</v>
      </c>
      <c r="M94" s="3675"/>
      <c r="N94" s="4308"/>
      <c r="O94" s="3762"/>
      <c r="P94" s="2704"/>
      <c r="Q94" s="2704"/>
    </row>
    <row r="95" spans="1:17" s="226" customFormat="1" ht="15" customHeight="1" thickBot="1">
      <c r="A95" s="4397"/>
      <c r="B95" s="3320" t="s">
        <v>21</v>
      </c>
      <c r="C95" s="3835"/>
      <c r="D95" s="1766">
        <f>E95+F95+G95+H95+I95+J95+K95+L95</f>
        <v>4132210</v>
      </c>
      <c r="E95" s="2283">
        <v>0</v>
      </c>
      <c r="F95" s="1786">
        <f>6462083-2818040-3644043</f>
        <v>0</v>
      </c>
      <c r="G95" s="1786">
        <v>0</v>
      </c>
      <c r="H95" s="1786">
        <v>4132210</v>
      </c>
      <c r="I95" s="1786">
        <v>0</v>
      </c>
      <c r="J95" s="1786">
        <v>0</v>
      </c>
      <c r="K95" s="1786">
        <v>0</v>
      </c>
      <c r="L95" s="1786">
        <v>0</v>
      </c>
      <c r="M95" s="3676"/>
      <c r="N95" s="4309"/>
      <c r="O95" s="3762"/>
      <c r="P95" s="2704"/>
      <c r="Q95" s="2704"/>
    </row>
    <row r="96" spans="1:17" s="226" customFormat="1" ht="36.75" thickBot="1">
      <c r="A96" s="4397" t="s">
        <v>87</v>
      </c>
      <c r="B96" s="2299" t="s">
        <v>512</v>
      </c>
      <c r="C96" s="3561" t="s">
        <v>170</v>
      </c>
      <c r="D96" s="685"/>
      <c r="E96" s="3562"/>
      <c r="F96" s="3563"/>
      <c r="G96" s="3563"/>
      <c r="H96" s="3563"/>
      <c r="I96" s="3564"/>
      <c r="J96" s="3564"/>
      <c r="K96" s="3564"/>
      <c r="L96" s="3565"/>
      <c r="M96" s="686"/>
      <c r="N96" s="3566"/>
      <c r="O96" s="4313" t="s">
        <v>314</v>
      </c>
      <c r="P96" s="2704"/>
      <c r="Q96" s="2704"/>
    </row>
    <row r="97" spans="1:17" s="226" customFormat="1" ht="15" customHeight="1" thickBot="1">
      <c r="A97" s="4376"/>
      <c r="B97" s="28" t="s">
        <v>10</v>
      </c>
      <c r="C97" s="22"/>
      <c r="D97" s="193">
        <f>D98+D100</f>
        <v>119600</v>
      </c>
      <c r="E97" s="193">
        <f t="shared" ref="E97" si="86">E98+E100</f>
        <v>0</v>
      </c>
      <c r="F97" s="766">
        <f t="shared" ref="F97:L97" si="87">+F100</f>
        <v>0</v>
      </c>
      <c r="G97" s="193">
        <f>G98+G102</f>
        <v>119600</v>
      </c>
      <c r="H97" s="193">
        <f t="shared" si="87"/>
        <v>0</v>
      </c>
      <c r="I97" s="193">
        <f t="shared" si="87"/>
        <v>0</v>
      </c>
      <c r="J97" s="193">
        <f t="shared" si="87"/>
        <v>0</v>
      </c>
      <c r="K97" s="193">
        <f t="shared" si="87"/>
        <v>0</v>
      </c>
      <c r="L97" s="193">
        <f t="shared" si="87"/>
        <v>0</v>
      </c>
      <c r="M97" s="63">
        <f>+M100+M98</f>
        <v>119600</v>
      </c>
      <c r="N97" s="2998">
        <f>+N100+N98</f>
        <v>119600</v>
      </c>
      <c r="O97" s="4369"/>
      <c r="P97" s="2704"/>
      <c r="Q97" s="2704"/>
    </row>
    <row r="98" spans="1:17" s="226" customFormat="1" ht="15" customHeight="1">
      <c r="A98" s="4398"/>
      <c r="B98" s="1547" t="s">
        <v>24</v>
      </c>
      <c r="C98" s="3655" t="s">
        <v>188</v>
      </c>
      <c r="D98" s="1479">
        <f>D99</f>
        <v>17940</v>
      </c>
      <c r="E98" s="1845">
        <f t="shared" ref="E98:F98" si="88">E99</f>
        <v>0</v>
      </c>
      <c r="F98" s="1849">
        <f t="shared" si="88"/>
        <v>0</v>
      </c>
      <c r="G98" s="1484">
        <f>G99</f>
        <v>17940</v>
      </c>
      <c r="H98" s="1484">
        <v>0</v>
      </c>
      <c r="I98" s="1484">
        <v>0</v>
      </c>
      <c r="J98" s="1484">
        <v>0</v>
      </c>
      <c r="K98" s="1484">
        <v>0</v>
      </c>
      <c r="L98" s="1484">
        <v>0</v>
      </c>
      <c r="M98" s="2996">
        <f>M99</f>
        <v>17940</v>
      </c>
      <c r="N98" s="66">
        <f>N99</f>
        <v>17940</v>
      </c>
      <c r="O98" s="3661"/>
      <c r="P98" s="2704"/>
      <c r="Q98" s="2704"/>
    </row>
    <row r="99" spans="1:17" s="226" customFormat="1" ht="15" customHeight="1" thickBot="1">
      <c r="A99" s="4383"/>
      <c r="B99" s="3146" t="s">
        <v>12</v>
      </c>
      <c r="C99" s="3649"/>
      <c r="D99" s="1406">
        <f>E99+F99+G99+H99+I99+J99+K99+L99</f>
        <v>17940</v>
      </c>
      <c r="E99" s="1406">
        <v>0</v>
      </c>
      <c r="F99" s="1846">
        <v>0</v>
      </c>
      <c r="G99" s="1482">
        <v>17940</v>
      </c>
      <c r="H99" s="1482">
        <v>0</v>
      </c>
      <c r="I99" s="1482">
        <v>0</v>
      </c>
      <c r="J99" s="1482">
        <v>0</v>
      </c>
      <c r="K99" s="1482">
        <v>0</v>
      </c>
      <c r="L99" s="1482">
        <v>0</v>
      </c>
      <c r="M99" s="2738">
        <f>SUM(F99:K99)</f>
        <v>17940</v>
      </c>
      <c r="N99" s="3000">
        <f>SUM(G99:L99)</f>
        <v>17940</v>
      </c>
      <c r="O99" s="3663"/>
      <c r="P99" s="2704"/>
      <c r="Q99" s="2704"/>
    </row>
    <row r="100" spans="1:17" s="226" customFormat="1" ht="15" customHeight="1" thickBot="1">
      <c r="A100" s="4376"/>
      <c r="B100" s="2478" t="s">
        <v>18</v>
      </c>
      <c r="C100" s="3701"/>
      <c r="D100" s="1479">
        <f>D101</f>
        <v>101660</v>
      </c>
      <c r="E100" s="1775">
        <f t="shared" ref="E100:N100" si="89">+E101</f>
        <v>0</v>
      </c>
      <c r="F100" s="1777">
        <v>0</v>
      </c>
      <c r="G100" s="1490">
        <f>G101</f>
        <v>101660</v>
      </c>
      <c r="H100" s="1490">
        <v>0</v>
      </c>
      <c r="I100" s="1490">
        <v>0</v>
      </c>
      <c r="J100" s="1490">
        <v>0</v>
      </c>
      <c r="K100" s="1490">
        <v>0</v>
      </c>
      <c r="L100" s="1490">
        <v>0</v>
      </c>
      <c r="M100" s="1480">
        <f t="shared" si="89"/>
        <v>101660</v>
      </c>
      <c r="N100" s="3001">
        <f t="shared" si="89"/>
        <v>101660</v>
      </c>
      <c r="O100" s="4368"/>
      <c r="P100" s="2704"/>
      <c r="Q100" s="2704"/>
    </row>
    <row r="101" spans="1:17" s="226" customFormat="1" ht="15" customHeight="1" thickBot="1">
      <c r="A101" s="4376"/>
      <c r="B101" s="3297" t="s">
        <v>21</v>
      </c>
      <c r="C101" s="4399"/>
      <c r="D101" s="892">
        <f>E101+F101+G101+H101+I101+J101+K101+L101</f>
        <v>101660</v>
      </c>
      <c r="E101" s="892">
        <v>0</v>
      </c>
      <c r="F101" s="3147">
        <v>0</v>
      </c>
      <c r="G101" s="880">
        <v>101660</v>
      </c>
      <c r="H101" s="880">
        <v>0</v>
      </c>
      <c r="I101" s="880">
        <v>0</v>
      </c>
      <c r="J101" s="880">
        <v>0</v>
      </c>
      <c r="K101" s="880">
        <v>0</v>
      </c>
      <c r="L101" s="880">
        <v>0</v>
      </c>
      <c r="M101" s="2961">
        <f>SUM(F101:K101)</f>
        <v>101660</v>
      </c>
      <c r="N101" s="3000">
        <f>SUM(G101:L101)</f>
        <v>101660</v>
      </c>
      <c r="O101" s="4313"/>
      <c r="P101" s="2704"/>
      <c r="Q101" s="2704"/>
    </row>
    <row r="102" spans="1:17" s="226" customFormat="1" ht="15" customHeight="1">
      <c r="A102" s="4382"/>
      <c r="B102" s="2890" t="s">
        <v>22</v>
      </c>
      <c r="C102" s="3140"/>
      <c r="D102" s="3144">
        <f t="shared" ref="D102:L103" si="90">D103</f>
        <v>101660</v>
      </c>
      <c r="E102" s="3145">
        <f t="shared" ref="E102:E103" si="91">+E103</f>
        <v>0</v>
      </c>
      <c r="F102" s="2282">
        <v>0</v>
      </c>
      <c r="G102" s="1265">
        <f t="shared" si="90"/>
        <v>101660</v>
      </c>
      <c r="H102" s="3145">
        <f t="shared" si="90"/>
        <v>0</v>
      </c>
      <c r="I102" s="3145">
        <f t="shared" si="90"/>
        <v>0</v>
      </c>
      <c r="J102" s="1265">
        <f t="shared" si="90"/>
        <v>0</v>
      </c>
      <c r="K102" s="1265">
        <f t="shared" si="90"/>
        <v>0</v>
      </c>
      <c r="L102" s="1265">
        <f t="shared" si="90"/>
        <v>0</v>
      </c>
      <c r="M102" s="4425" t="s">
        <v>61</v>
      </c>
      <c r="N102" s="4307" t="s">
        <v>61</v>
      </c>
      <c r="O102" s="4379" t="s">
        <v>193</v>
      </c>
      <c r="P102" s="2704"/>
      <c r="Q102" s="2704"/>
    </row>
    <row r="103" spans="1:17" s="226" customFormat="1" ht="15" customHeight="1">
      <c r="A103" s="4382"/>
      <c r="B103" s="3139" t="s">
        <v>18</v>
      </c>
      <c r="C103" s="4400" t="s">
        <v>191</v>
      </c>
      <c r="D103" s="3141">
        <f t="shared" si="90"/>
        <v>101660</v>
      </c>
      <c r="E103" s="1850">
        <f t="shared" si="91"/>
        <v>0</v>
      </c>
      <c r="F103" s="3142">
        <f t="shared" si="90"/>
        <v>0</v>
      </c>
      <c r="G103" s="1850">
        <f t="shared" si="90"/>
        <v>101660</v>
      </c>
      <c r="H103" s="1850">
        <f t="shared" si="90"/>
        <v>0</v>
      </c>
      <c r="I103" s="1850">
        <f t="shared" si="90"/>
        <v>0</v>
      </c>
      <c r="J103" s="1850">
        <f t="shared" si="90"/>
        <v>0</v>
      </c>
      <c r="K103" s="1850">
        <f t="shared" si="90"/>
        <v>0</v>
      </c>
      <c r="L103" s="1850">
        <f t="shared" si="90"/>
        <v>0</v>
      </c>
      <c r="M103" s="3940"/>
      <c r="N103" s="3940"/>
      <c r="O103" s="3662"/>
      <c r="P103" s="2704"/>
      <c r="Q103" s="2704"/>
    </row>
    <row r="104" spans="1:17" s="226" customFormat="1" ht="15" customHeight="1" thickBot="1">
      <c r="A104" s="4382"/>
      <c r="B104" s="3320" t="s">
        <v>21</v>
      </c>
      <c r="C104" s="4366"/>
      <c r="D104" s="3143">
        <f>E104+F104+G104+H104+I104+J104+K104+L104</f>
        <v>101660</v>
      </c>
      <c r="E104" s="1766">
        <v>0</v>
      </c>
      <c r="F104" s="1787">
        <v>0</v>
      </c>
      <c r="G104" s="1786">
        <v>101660</v>
      </c>
      <c r="H104" s="1786">
        <v>0</v>
      </c>
      <c r="I104" s="1786">
        <v>0</v>
      </c>
      <c r="J104" s="1786">
        <v>0</v>
      </c>
      <c r="K104" s="1786">
        <v>0</v>
      </c>
      <c r="L104" s="1786">
        <v>0</v>
      </c>
      <c r="M104" s="4370"/>
      <c r="N104" s="4370"/>
      <c r="O104" s="3662"/>
      <c r="P104" s="2704"/>
      <c r="Q104" s="2704"/>
    </row>
    <row r="105" spans="1:17" s="226" customFormat="1" ht="39.75" customHeight="1">
      <c r="A105" s="4384" t="s">
        <v>88</v>
      </c>
      <c r="B105" s="180" t="s">
        <v>562</v>
      </c>
      <c r="C105" s="3321" t="s">
        <v>81</v>
      </c>
      <c r="D105" s="668"/>
      <c r="E105" s="3187"/>
      <c r="F105" s="3181"/>
      <c r="G105" s="3181"/>
      <c r="H105" s="3181"/>
      <c r="I105" s="2303"/>
      <c r="J105" s="2303"/>
      <c r="K105" s="2303"/>
      <c r="L105" s="2303"/>
      <c r="M105" s="3322"/>
      <c r="N105" s="3323"/>
      <c r="O105" s="3662" t="s">
        <v>314</v>
      </c>
      <c r="P105" s="2704"/>
      <c r="Q105" s="2704"/>
    </row>
    <row r="106" spans="1:17" s="226" customFormat="1" ht="15" customHeight="1" thickBot="1">
      <c r="A106" s="4383"/>
      <c r="B106" s="80" t="s">
        <v>10</v>
      </c>
      <c r="C106" s="184"/>
      <c r="D106" s="98">
        <f t="shared" ref="D106" si="92">D107+D110</f>
        <v>11507147</v>
      </c>
      <c r="E106" s="98">
        <f t="shared" ref="E106" si="93">E107+E110</f>
        <v>250844</v>
      </c>
      <c r="F106" s="98">
        <f>F107+F110</f>
        <v>113780</v>
      </c>
      <c r="G106" s="98">
        <f>G107+G110</f>
        <v>11142523</v>
      </c>
      <c r="H106" s="98">
        <f>+H110</f>
        <v>0</v>
      </c>
      <c r="I106" s="98">
        <f>+I110</f>
        <v>0</v>
      </c>
      <c r="J106" s="98">
        <f>+J110</f>
        <v>0</v>
      </c>
      <c r="K106" s="98">
        <f>+K110</f>
        <v>0</v>
      </c>
      <c r="L106" s="98">
        <f>+L110</f>
        <v>0</v>
      </c>
      <c r="M106" s="1252">
        <f>M107+M110</f>
        <v>11256303</v>
      </c>
      <c r="N106" s="3324">
        <f>N107+N110</f>
        <v>11142523</v>
      </c>
      <c r="O106" s="3663"/>
      <c r="P106" s="2704"/>
      <c r="Q106" s="2704"/>
    </row>
    <row r="107" spans="1:17" s="226" customFormat="1" ht="15" customHeight="1" thickBot="1">
      <c r="A107" s="4376"/>
      <c r="B107" s="2478" t="s">
        <v>24</v>
      </c>
      <c r="C107" s="4305" t="s">
        <v>188</v>
      </c>
      <c r="D107" s="1479">
        <f>D108+D109</f>
        <v>1726072</v>
      </c>
      <c r="E107" s="1479">
        <f t="shared" ref="E107" si="94">E108+E109</f>
        <v>37627</v>
      </c>
      <c r="F107" s="1479">
        <f t="shared" ref="F107:L107" si="95">F108+F109</f>
        <v>17067</v>
      </c>
      <c r="G107" s="1479">
        <f t="shared" si="95"/>
        <v>1671378</v>
      </c>
      <c r="H107" s="1479">
        <f t="shared" si="95"/>
        <v>0</v>
      </c>
      <c r="I107" s="1479">
        <f t="shared" si="95"/>
        <v>0</v>
      </c>
      <c r="J107" s="1479">
        <f t="shared" si="95"/>
        <v>0</v>
      </c>
      <c r="K107" s="1479">
        <f t="shared" si="95"/>
        <v>0</v>
      </c>
      <c r="L107" s="1479">
        <f t="shared" si="95"/>
        <v>0</v>
      </c>
      <c r="M107" s="1480">
        <f>M108+M109</f>
        <v>1688445</v>
      </c>
      <c r="N107" s="2996">
        <f>N108+N109</f>
        <v>1671378</v>
      </c>
      <c r="O107" s="4367"/>
      <c r="P107" s="2704"/>
      <c r="Q107" s="2704"/>
    </row>
    <row r="108" spans="1:17" s="226" customFormat="1" ht="15" customHeight="1" thickBot="1">
      <c r="A108" s="4376"/>
      <c r="B108" s="3280" t="s">
        <v>12</v>
      </c>
      <c r="C108" s="4301"/>
      <c r="D108" s="1406">
        <f>E108+F108+G108+H108+I108+J108+K108+L108</f>
        <v>1406072</v>
      </c>
      <c r="E108" s="1406">
        <f>250844-213217</f>
        <v>37627</v>
      </c>
      <c r="F108" s="1482">
        <f>114186-97119</f>
        <v>17067</v>
      </c>
      <c r="G108" s="1482">
        <f>728299+623079</f>
        <v>1351378</v>
      </c>
      <c r="H108" s="1482">
        <v>0</v>
      </c>
      <c r="I108" s="1482">
        <v>0</v>
      </c>
      <c r="J108" s="1482">
        <v>0</v>
      </c>
      <c r="K108" s="1482">
        <v>0</v>
      </c>
      <c r="L108" s="1482">
        <v>0</v>
      </c>
      <c r="M108" s="1799">
        <f>SUM(F108:K108)</f>
        <v>1368445</v>
      </c>
      <c r="N108" s="2997">
        <f>SUM(G108:L108)</f>
        <v>1351378</v>
      </c>
      <c r="O108" s="4367"/>
      <c r="P108" s="2706"/>
      <c r="Q108" s="2704"/>
    </row>
    <row r="109" spans="1:17" s="226" customFormat="1" ht="15" customHeight="1" thickBot="1">
      <c r="A109" s="4376"/>
      <c r="B109" s="3280" t="s">
        <v>62</v>
      </c>
      <c r="C109" s="4301"/>
      <c r="D109" s="1406">
        <f>E109+F109+G109+H109+I109+J109+K109+L109</f>
        <v>320000</v>
      </c>
      <c r="E109" s="1406">
        <v>0</v>
      </c>
      <c r="F109" s="1482">
        <f>100000-100000</f>
        <v>0</v>
      </c>
      <c r="G109" s="1482">
        <f>900000-580000</f>
        <v>320000</v>
      </c>
      <c r="H109" s="1482">
        <v>0</v>
      </c>
      <c r="I109" s="1482">
        <v>0</v>
      </c>
      <c r="J109" s="1482">
        <v>0</v>
      </c>
      <c r="K109" s="1482">
        <v>0</v>
      </c>
      <c r="L109" s="1482">
        <v>0</v>
      </c>
      <c r="M109" s="1799">
        <f>SUM(F109:K109)</f>
        <v>320000</v>
      </c>
      <c r="N109" s="2997">
        <f>SUM(G109:L109)</f>
        <v>320000</v>
      </c>
      <c r="O109" s="4367"/>
      <c r="P109" s="2706"/>
      <c r="Q109" s="2704"/>
    </row>
    <row r="110" spans="1:17" s="226" customFormat="1" ht="15" customHeight="1" thickBot="1">
      <c r="A110" s="4376"/>
      <c r="B110" s="2478" t="s">
        <v>18</v>
      </c>
      <c r="C110" s="4301"/>
      <c r="D110" s="1479">
        <f>D111</f>
        <v>9781075</v>
      </c>
      <c r="E110" s="1845">
        <f t="shared" ref="E110:N110" si="96">+E111</f>
        <v>213217</v>
      </c>
      <c r="F110" s="1484">
        <f>F111</f>
        <v>96713</v>
      </c>
      <c r="G110" s="1484">
        <f>G111</f>
        <v>9471145</v>
      </c>
      <c r="H110" s="1484">
        <v>0</v>
      </c>
      <c r="I110" s="1484">
        <v>0</v>
      </c>
      <c r="J110" s="1484">
        <v>0</v>
      </c>
      <c r="K110" s="1484">
        <v>0</v>
      </c>
      <c r="L110" s="1484">
        <v>0</v>
      </c>
      <c r="M110" s="1480">
        <f t="shared" si="96"/>
        <v>9567858</v>
      </c>
      <c r="N110" s="2996">
        <f t="shared" si="96"/>
        <v>9471145</v>
      </c>
      <c r="O110" s="4367"/>
      <c r="P110" s="2704"/>
      <c r="Q110" s="2704"/>
    </row>
    <row r="111" spans="1:17" s="226" customFormat="1" ht="15" customHeight="1" thickBot="1">
      <c r="A111" s="4376"/>
      <c r="B111" s="3325" t="s">
        <v>21</v>
      </c>
      <c r="C111" s="4302"/>
      <c r="D111" s="1406">
        <f>E111+F111+G111+H111+I111+J111+K111+L111</f>
        <v>9781075</v>
      </c>
      <c r="E111" s="1406">
        <f>213217</f>
        <v>213217</v>
      </c>
      <c r="F111" s="1482">
        <f>96713</f>
        <v>96713</v>
      </c>
      <c r="G111" s="1482">
        <f>11862203-2391058</f>
        <v>9471145</v>
      </c>
      <c r="H111" s="1482">
        <v>0</v>
      </c>
      <c r="I111" s="1482">
        <v>0</v>
      </c>
      <c r="J111" s="1482">
        <v>0</v>
      </c>
      <c r="K111" s="1482">
        <v>0</v>
      </c>
      <c r="L111" s="1482">
        <v>0</v>
      </c>
      <c r="M111" s="1799">
        <f>SUM(F111:K111)</f>
        <v>9567858</v>
      </c>
      <c r="N111" s="2997">
        <f>SUM(G111:L111)</f>
        <v>9471145</v>
      </c>
      <c r="O111" s="4367"/>
      <c r="P111" s="2704"/>
      <c r="Q111" s="2704"/>
    </row>
    <row r="112" spans="1:17" s="226" customFormat="1" ht="15" customHeight="1" thickBot="1">
      <c r="A112" s="4376"/>
      <c r="B112" s="2440" t="s">
        <v>22</v>
      </c>
      <c r="C112" s="3326"/>
      <c r="D112" s="1476">
        <f>D115+D113</f>
        <v>10101075</v>
      </c>
      <c r="E112" s="1476">
        <f>E115+E113</f>
        <v>0</v>
      </c>
      <c r="F112" s="1476">
        <f>F115+F113</f>
        <v>0</v>
      </c>
      <c r="G112" s="1476">
        <f>G115+G113</f>
        <v>10101075</v>
      </c>
      <c r="H112" s="1476">
        <f>H115</f>
        <v>0</v>
      </c>
      <c r="I112" s="1476">
        <f>I115</f>
        <v>0</v>
      </c>
      <c r="J112" s="1476">
        <f>J115</f>
        <v>0</v>
      </c>
      <c r="K112" s="1476">
        <f>K115</f>
        <v>0</v>
      </c>
      <c r="L112" s="1476">
        <f>L115</f>
        <v>0</v>
      </c>
      <c r="M112" s="3677" t="s">
        <v>61</v>
      </c>
      <c r="N112" s="4307" t="s">
        <v>61</v>
      </c>
      <c r="O112" s="4367" t="s">
        <v>193</v>
      </c>
      <c r="P112" s="2704"/>
      <c r="Q112" s="2704"/>
    </row>
    <row r="113" spans="1:17" s="226" customFormat="1" ht="15" customHeight="1" thickBot="1">
      <c r="A113" s="4376"/>
      <c r="B113" s="2478" t="s">
        <v>11</v>
      </c>
      <c r="C113" s="4416" t="s">
        <v>368</v>
      </c>
      <c r="D113" s="3327">
        <f>SUM(E113:L113)</f>
        <v>320000</v>
      </c>
      <c r="E113" s="3327">
        <f>E114</f>
        <v>0</v>
      </c>
      <c r="F113" s="3327">
        <f>F114</f>
        <v>0</v>
      </c>
      <c r="G113" s="3327">
        <f>G114</f>
        <v>320000</v>
      </c>
      <c r="H113" s="3327">
        <f t="shared" ref="H113:L113" si="97">H114</f>
        <v>0</v>
      </c>
      <c r="I113" s="3327">
        <f t="shared" si="97"/>
        <v>0</v>
      </c>
      <c r="J113" s="3327">
        <f t="shared" si="97"/>
        <v>0</v>
      </c>
      <c r="K113" s="3327">
        <f t="shared" si="97"/>
        <v>0</v>
      </c>
      <c r="L113" s="3327">
        <f t="shared" si="97"/>
        <v>0</v>
      </c>
      <c r="M113" s="3675"/>
      <c r="N113" s="4308"/>
      <c r="O113" s="4367"/>
      <c r="P113" s="2704"/>
      <c r="Q113" s="2704"/>
    </row>
    <row r="114" spans="1:17" s="226" customFormat="1" ht="15" customHeight="1">
      <c r="A114" s="4398"/>
      <c r="B114" s="3328" t="s">
        <v>62</v>
      </c>
      <c r="C114" s="4417"/>
      <c r="D114" s="1406">
        <f>E114+F114+G114+H114+I114+J114+K114+L114</f>
        <v>320000</v>
      </c>
      <c r="E114" s="1406">
        <v>0</v>
      </c>
      <c r="F114" s="3329">
        <f>100000-100000</f>
        <v>0</v>
      </c>
      <c r="G114" s="3329">
        <f>900000-580000</f>
        <v>320000</v>
      </c>
      <c r="H114" s="3327">
        <v>0</v>
      </c>
      <c r="I114" s="3327">
        <v>0</v>
      </c>
      <c r="J114" s="3327">
        <v>0</v>
      </c>
      <c r="K114" s="3327">
        <v>0</v>
      </c>
      <c r="L114" s="3327">
        <v>0</v>
      </c>
      <c r="M114" s="3675"/>
      <c r="N114" s="4308"/>
      <c r="O114" s="3661"/>
      <c r="P114" s="2704"/>
      <c r="Q114" s="2704"/>
    </row>
    <row r="115" spans="1:17" s="226" customFormat="1" ht="15" customHeight="1" thickBot="1">
      <c r="A115" s="4382"/>
      <c r="B115" s="3330" t="s">
        <v>18</v>
      </c>
      <c r="C115" s="4417"/>
      <c r="D115" s="1485">
        <f t="shared" ref="D115:L115" si="98">D116</f>
        <v>9781075</v>
      </c>
      <c r="E115" s="1485">
        <f t="shared" ref="E115" si="99">+E116</f>
        <v>0</v>
      </c>
      <c r="F115" s="1485">
        <f t="shared" si="98"/>
        <v>0</v>
      </c>
      <c r="G115" s="1485">
        <f t="shared" si="98"/>
        <v>9781075</v>
      </c>
      <c r="H115" s="1485">
        <f t="shared" si="98"/>
        <v>0</v>
      </c>
      <c r="I115" s="1485">
        <f t="shared" si="98"/>
        <v>0</v>
      </c>
      <c r="J115" s="1485">
        <f t="shared" si="98"/>
        <v>0</v>
      </c>
      <c r="K115" s="1485">
        <f t="shared" si="98"/>
        <v>0</v>
      </c>
      <c r="L115" s="1485">
        <f t="shared" si="98"/>
        <v>0</v>
      </c>
      <c r="M115" s="3675"/>
      <c r="N115" s="4308"/>
      <c r="O115" s="3662"/>
      <c r="P115" s="2704"/>
      <c r="Q115" s="2704"/>
    </row>
    <row r="116" spans="1:17" s="226" customFormat="1" ht="15" customHeight="1" thickBot="1">
      <c r="A116" s="4383"/>
      <c r="B116" s="3298" t="s">
        <v>21</v>
      </c>
      <c r="C116" s="4418"/>
      <c r="D116" s="1578">
        <f>E116+F116+G116+H116+I116+J116+K116+L116</f>
        <v>9781075</v>
      </c>
      <c r="E116" s="1578">
        <v>0</v>
      </c>
      <c r="F116" s="1786">
        <f>2437304+323000-2760304</f>
        <v>0</v>
      </c>
      <c r="G116" s="1786">
        <f>8889087+212812+2760304-2081128</f>
        <v>9781075</v>
      </c>
      <c r="H116" s="1786">
        <v>0</v>
      </c>
      <c r="I116" s="1786">
        <v>0</v>
      </c>
      <c r="J116" s="1786">
        <v>0</v>
      </c>
      <c r="K116" s="1786">
        <v>0</v>
      </c>
      <c r="L116" s="1786">
        <v>0</v>
      </c>
      <c r="M116" s="3676"/>
      <c r="N116" s="4309"/>
      <c r="O116" s="3663"/>
      <c r="P116" s="2704"/>
      <c r="Q116" s="2704"/>
    </row>
    <row r="117" spans="1:17" s="226" customFormat="1" ht="40.5" customHeight="1">
      <c r="A117" s="4384" t="s">
        <v>89</v>
      </c>
      <c r="B117" s="2299" t="s">
        <v>511</v>
      </c>
      <c r="C117" s="252" t="s">
        <v>170</v>
      </c>
      <c r="D117" s="668"/>
      <c r="E117" s="3187"/>
      <c r="F117" s="3181"/>
      <c r="G117" s="3181"/>
      <c r="H117" s="3181"/>
      <c r="I117" s="2303"/>
      <c r="J117" s="2303"/>
      <c r="K117" s="2303"/>
      <c r="L117" s="3182"/>
      <c r="M117" s="686"/>
      <c r="N117" s="686"/>
      <c r="O117" s="3662" t="s">
        <v>322</v>
      </c>
      <c r="P117" s="2704"/>
      <c r="Q117" s="2704"/>
    </row>
    <row r="118" spans="1:17" s="226" customFormat="1" ht="15" customHeight="1">
      <c r="A118" s="4382"/>
      <c r="B118" s="1474" t="s">
        <v>10</v>
      </c>
      <c r="C118" s="1475"/>
      <c r="D118" s="1476">
        <f>D119+D123</f>
        <v>342701</v>
      </c>
      <c r="E118" s="1476">
        <f t="shared" ref="E118" si="100">E119+E123</f>
        <v>0</v>
      </c>
      <c r="F118" s="1476">
        <f>F119+F123</f>
        <v>21322</v>
      </c>
      <c r="G118" s="1476">
        <f>G119+G123</f>
        <v>146351</v>
      </c>
      <c r="H118" s="1476">
        <f>H119+H123</f>
        <v>175028</v>
      </c>
      <c r="I118" s="1476">
        <f>+I123</f>
        <v>0</v>
      </c>
      <c r="J118" s="1476">
        <f>+J123</f>
        <v>0</v>
      </c>
      <c r="K118" s="1476">
        <f>+K123</f>
        <v>0</v>
      </c>
      <c r="L118" s="1476">
        <f>+L123</f>
        <v>0</v>
      </c>
      <c r="M118" s="1477">
        <f>M119+M123</f>
        <v>342701</v>
      </c>
      <c r="N118" s="1477">
        <f>N119+N123</f>
        <v>321379</v>
      </c>
      <c r="O118" s="3662"/>
      <c r="P118" s="2704"/>
      <c r="Q118" s="2704"/>
    </row>
    <row r="119" spans="1:17" s="226" customFormat="1" ht="15" customHeight="1">
      <c r="A119" s="4382"/>
      <c r="B119" s="1478" t="s">
        <v>24</v>
      </c>
      <c r="C119" s="3655" t="s">
        <v>317</v>
      </c>
      <c r="D119" s="1479">
        <f>D120</f>
        <v>51406</v>
      </c>
      <c r="E119" s="1845">
        <f t="shared" ref="E119:H119" si="101">E120</f>
        <v>0</v>
      </c>
      <c r="F119" s="1171">
        <f t="shared" si="101"/>
        <v>3199</v>
      </c>
      <c r="G119" s="1171">
        <f t="shared" si="101"/>
        <v>21952</v>
      </c>
      <c r="H119" s="1171">
        <f t="shared" si="101"/>
        <v>26255</v>
      </c>
      <c r="I119" s="1171">
        <v>0</v>
      </c>
      <c r="J119" s="1171">
        <v>0</v>
      </c>
      <c r="K119" s="1171">
        <v>0</v>
      </c>
      <c r="L119" s="1171">
        <v>0</v>
      </c>
      <c r="M119" s="1480">
        <f>M120</f>
        <v>51406</v>
      </c>
      <c r="N119" s="1480">
        <f>N120</f>
        <v>48207</v>
      </c>
      <c r="O119" s="3662"/>
      <c r="P119" s="2704"/>
      <c r="Q119" s="2704"/>
    </row>
    <row r="120" spans="1:17" s="226" customFormat="1" ht="15" customHeight="1">
      <c r="A120" s="4382"/>
      <c r="B120" s="1481" t="s">
        <v>12</v>
      </c>
      <c r="C120" s="3649"/>
      <c r="D120" s="839">
        <f>E120+F120+G120+H120+I120+J120+K120+L120</f>
        <v>51406</v>
      </c>
      <c r="E120" s="839">
        <v>0</v>
      </c>
      <c r="F120" s="872">
        <f>SUM(F121:F122)</f>
        <v>3199</v>
      </c>
      <c r="G120" s="872">
        <f t="shared" ref="G120:H120" si="102">SUM(G121:G122)</f>
        <v>21952</v>
      </c>
      <c r="H120" s="872">
        <f t="shared" si="102"/>
        <v>26255</v>
      </c>
      <c r="I120" s="872">
        <v>0</v>
      </c>
      <c r="J120" s="872">
        <v>0</v>
      </c>
      <c r="K120" s="872">
        <v>0</v>
      </c>
      <c r="L120" s="872">
        <v>0</v>
      </c>
      <c r="M120" s="1799">
        <f>SUM(F120:K120)</f>
        <v>51406</v>
      </c>
      <c r="N120" s="1799">
        <f>SUM(G120:L120)</f>
        <v>48207</v>
      </c>
      <c r="O120" s="3662"/>
      <c r="P120" s="2704"/>
      <c r="Q120" s="2704"/>
    </row>
    <row r="121" spans="1:17" s="226" customFormat="1" ht="15" hidden="1" customHeight="1">
      <c r="A121" s="4382"/>
      <c r="B121" s="2346" t="s">
        <v>323</v>
      </c>
      <c r="C121" s="3649"/>
      <c r="D121" s="839"/>
      <c r="E121" s="2300"/>
      <c r="F121" s="2301">
        <f>3347-1656</f>
        <v>1691</v>
      </c>
      <c r="G121" s="2301">
        <f>8073+12063</f>
        <v>20136</v>
      </c>
      <c r="H121" s="2301">
        <f>34839-10400</f>
        <v>24439</v>
      </c>
      <c r="I121" s="872"/>
      <c r="J121" s="872"/>
      <c r="K121" s="872"/>
      <c r="L121" s="872"/>
      <c r="M121" s="1848"/>
      <c r="N121" s="1848"/>
      <c r="O121" s="3662"/>
      <c r="P121" s="2704"/>
      <c r="Q121" s="2704"/>
    </row>
    <row r="122" spans="1:17" s="226" customFormat="1" ht="15" hidden="1" customHeight="1">
      <c r="A122" s="4382"/>
      <c r="B122" s="2346" t="s">
        <v>324</v>
      </c>
      <c r="C122" s="3649"/>
      <c r="D122" s="839"/>
      <c r="E122" s="2300"/>
      <c r="F122" s="2301">
        <f>1514-6</f>
        <v>1508</v>
      </c>
      <c r="G122" s="2301">
        <v>1816</v>
      </c>
      <c r="H122" s="2301">
        <v>1816</v>
      </c>
      <c r="I122" s="872"/>
      <c r="J122" s="872"/>
      <c r="K122" s="872"/>
      <c r="L122" s="872"/>
      <c r="M122" s="1848"/>
      <c r="N122" s="1848"/>
      <c r="O122" s="3662"/>
      <c r="P122" s="2704"/>
      <c r="Q122" s="2704"/>
    </row>
    <row r="123" spans="1:17" s="226" customFormat="1" ht="15" customHeight="1">
      <c r="A123" s="4382"/>
      <c r="B123" s="1483" t="s">
        <v>18</v>
      </c>
      <c r="C123" s="3649"/>
      <c r="D123" s="1479">
        <f>D124</f>
        <v>291295</v>
      </c>
      <c r="E123" s="1845">
        <f t="shared" ref="E123:N123" si="103">+E124</f>
        <v>0</v>
      </c>
      <c r="F123" s="1171">
        <f t="shared" ref="F123:H123" si="104">F124</f>
        <v>18123</v>
      </c>
      <c r="G123" s="1171">
        <f t="shared" si="104"/>
        <v>124399</v>
      </c>
      <c r="H123" s="1171">
        <f t="shared" si="104"/>
        <v>148773</v>
      </c>
      <c r="I123" s="1171">
        <v>0</v>
      </c>
      <c r="J123" s="1171">
        <v>0</v>
      </c>
      <c r="K123" s="1171">
        <v>0</v>
      </c>
      <c r="L123" s="1171">
        <v>0</v>
      </c>
      <c r="M123" s="1480">
        <f t="shared" si="103"/>
        <v>291295</v>
      </c>
      <c r="N123" s="1480">
        <f t="shared" si="103"/>
        <v>273172</v>
      </c>
      <c r="O123" s="3662"/>
      <c r="P123" s="2704"/>
      <c r="Q123" s="2704"/>
    </row>
    <row r="124" spans="1:17" s="226" customFormat="1" ht="15" customHeight="1">
      <c r="A124" s="4382"/>
      <c r="B124" s="3094" t="s">
        <v>21</v>
      </c>
      <c r="C124" s="3649"/>
      <c r="D124" s="839">
        <f>E124+F124+G124+H124+I124+J124+K124+L124</f>
        <v>291295</v>
      </c>
      <c r="E124" s="839">
        <v>0</v>
      </c>
      <c r="F124" s="872">
        <f>SUM(F125:F126)</f>
        <v>18123</v>
      </c>
      <c r="G124" s="872">
        <f t="shared" ref="G124:H124" si="105">SUM(G125:G126)</f>
        <v>124399</v>
      </c>
      <c r="H124" s="872">
        <f t="shared" si="105"/>
        <v>148773</v>
      </c>
      <c r="I124" s="872">
        <v>0</v>
      </c>
      <c r="J124" s="872">
        <v>0</v>
      </c>
      <c r="K124" s="872">
        <v>0</v>
      </c>
      <c r="L124" s="872">
        <v>0</v>
      </c>
      <c r="M124" s="1799">
        <f>SUM(F124:K124)</f>
        <v>291295</v>
      </c>
      <c r="N124" s="1799">
        <f>SUM(G124:L124)</f>
        <v>273172</v>
      </c>
      <c r="O124" s="3662"/>
      <c r="P124" s="2704"/>
      <c r="Q124" s="2704"/>
    </row>
    <row r="125" spans="1:17" s="226" customFormat="1" ht="15" hidden="1" customHeight="1">
      <c r="A125" s="4382"/>
      <c r="B125" s="2346" t="s">
        <v>326</v>
      </c>
      <c r="C125" s="3649"/>
      <c r="D125" s="839"/>
      <c r="E125" s="2322"/>
      <c r="F125" s="2301">
        <f>18973-9391</f>
        <v>9582</v>
      </c>
      <c r="G125" s="2301">
        <f>45747+68360</f>
        <v>114107</v>
      </c>
      <c r="H125" s="2301">
        <f>197415-58934</f>
        <v>138481</v>
      </c>
      <c r="I125" s="872"/>
      <c r="J125" s="872"/>
      <c r="K125" s="872"/>
      <c r="L125" s="872"/>
      <c r="M125" s="2347"/>
      <c r="N125" s="2347"/>
      <c r="O125" s="3662"/>
      <c r="P125" s="2704"/>
      <c r="Q125" s="2704"/>
    </row>
    <row r="126" spans="1:17" s="226" customFormat="1" ht="15" hidden="1" customHeight="1">
      <c r="A126" s="4382"/>
      <c r="B126" s="2346" t="s">
        <v>325</v>
      </c>
      <c r="C126" s="3650"/>
      <c r="D126" s="839"/>
      <c r="E126" s="2322"/>
      <c r="F126" s="2301">
        <f>8576-35</f>
        <v>8541</v>
      </c>
      <c r="G126" s="2301">
        <v>10292</v>
      </c>
      <c r="H126" s="2301">
        <v>10292</v>
      </c>
      <c r="I126" s="872"/>
      <c r="J126" s="872"/>
      <c r="K126" s="872"/>
      <c r="L126" s="872"/>
      <c r="M126" s="2347"/>
      <c r="N126" s="2347"/>
      <c r="O126" s="3662"/>
      <c r="P126" s="2704"/>
      <c r="Q126" s="2704"/>
    </row>
    <row r="127" spans="1:17" s="226" customFormat="1" ht="12.75">
      <c r="A127" s="4382"/>
      <c r="B127" s="581" t="s">
        <v>22</v>
      </c>
      <c r="C127" s="1475"/>
      <c r="D127" s="1476">
        <f t="shared" ref="D127:L128" si="106">D128</f>
        <v>291295</v>
      </c>
      <c r="E127" s="1476">
        <f t="shared" ref="E127:E128" si="107">+E128</f>
        <v>0</v>
      </c>
      <c r="F127" s="1476">
        <f t="shared" si="106"/>
        <v>977</v>
      </c>
      <c r="G127" s="1476">
        <f t="shared" si="106"/>
        <v>14906</v>
      </c>
      <c r="H127" s="1476">
        <f t="shared" si="106"/>
        <v>113937</v>
      </c>
      <c r="I127" s="1476">
        <f t="shared" si="106"/>
        <v>161475</v>
      </c>
      <c r="J127" s="1476">
        <f t="shared" si="106"/>
        <v>0</v>
      </c>
      <c r="K127" s="1476">
        <f t="shared" si="106"/>
        <v>0</v>
      </c>
      <c r="L127" s="1476">
        <f t="shared" si="106"/>
        <v>0</v>
      </c>
      <c r="M127" s="3677" t="s">
        <v>61</v>
      </c>
      <c r="N127" s="3677" t="s">
        <v>61</v>
      </c>
      <c r="O127" s="3662"/>
      <c r="P127" s="2704"/>
      <c r="Q127" s="2704"/>
    </row>
    <row r="128" spans="1:17" s="226" customFormat="1" ht="12.75">
      <c r="A128" s="4382"/>
      <c r="B128" s="555" t="s">
        <v>18</v>
      </c>
      <c r="C128" s="3749" t="s">
        <v>169</v>
      </c>
      <c r="D128" s="1485">
        <f t="shared" si="106"/>
        <v>291295</v>
      </c>
      <c r="E128" s="1485">
        <f t="shared" si="107"/>
        <v>0</v>
      </c>
      <c r="F128" s="1485">
        <f t="shared" si="106"/>
        <v>977</v>
      </c>
      <c r="G128" s="1485">
        <f t="shared" si="106"/>
        <v>14906</v>
      </c>
      <c r="H128" s="1485">
        <f t="shared" si="106"/>
        <v>113937</v>
      </c>
      <c r="I128" s="1485">
        <f t="shared" si="106"/>
        <v>161475</v>
      </c>
      <c r="J128" s="1485">
        <f t="shared" si="106"/>
        <v>0</v>
      </c>
      <c r="K128" s="1485">
        <f t="shared" si="106"/>
        <v>0</v>
      </c>
      <c r="L128" s="1485">
        <f t="shared" si="106"/>
        <v>0</v>
      </c>
      <c r="M128" s="3675"/>
      <c r="N128" s="3675"/>
      <c r="O128" s="3662"/>
      <c r="P128" s="2704"/>
      <c r="Q128" s="2704"/>
    </row>
    <row r="129" spans="1:17" s="226" customFormat="1" ht="13.5" thickBot="1">
      <c r="A129" s="4383"/>
      <c r="B129" s="3298" t="s">
        <v>21</v>
      </c>
      <c r="C129" s="3657"/>
      <c r="D129" s="839">
        <f>E129+F129+G129+H129+I129+J129+K129+L129</f>
        <v>291295</v>
      </c>
      <c r="E129" s="839">
        <v>0</v>
      </c>
      <c r="F129" s="1786">
        <f>2133-1156</f>
        <v>977</v>
      </c>
      <c r="G129" s="1786">
        <f>39145-24239</f>
        <v>14906</v>
      </c>
      <c r="H129" s="1786">
        <f>148930-34993</f>
        <v>113937</v>
      </c>
      <c r="I129" s="1786">
        <f>101087+60388</f>
        <v>161475</v>
      </c>
      <c r="J129" s="1786">
        <v>0</v>
      </c>
      <c r="K129" s="1786">
        <v>0</v>
      </c>
      <c r="L129" s="1786">
        <v>0</v>
      </c>
      <c r="M129" s="3676"/>
      <c r="N129" s="3676"/>
      <c r="O129" s="3663"/>
      <c r="P129" s="2704"/>
      <c r="Q129" s="2704"/>
    </row>
    <row r="130" spans="1:17" s="226" customFormat="1" ht="36.75" customHeight="1" thickBot="1">
      <c r="A130" s="4375" t="s">
        <v>90</v>
      </c>
      <c r="B130" s="180" t="s">
        <v>510</v>
      </c>
      <c r="C130" s="1507" t="s">
        <v>81</v>
      </c>
      <c r="D130" s="668"/>
      <c r="E130" s="3187"/>
      <c r="F130" s="3181"/>
      <c r="G130" s="3181"/>
      <c r="H130" s="3181"/>
      <c r="I130" s="2303"/>
      <c r="J130" s="2303"/>
      <c r="K130" s="2303"/>
      <c r="L130" s="3182"/>
      <c r="M130" s="670"/>
      <c r="N130" s="670"/>
      <c r="O130" s="4367" t="s">
        <v>193</v>
      </c>
      <c r="P130" s="2704"/>
      <c r="Q130" s="2704"/>
    </row>
    <row r="131" spans="1:17" s="226" customFormat="1" ht="13.5" thickBot="1">
      <c r="A131" s="4376"/>
      <c r="B131" s="1474" t="s">
        <v>10</v>
      </c>
      <c r="C131" s="1475"/>
      <c r="D131" s="1476">
        <f>D132+D134</f>
        <v>329300</v>
      </c>
      <c r="E131" s="1476">
        <f t="shared" ref="E131" si="108">E132+E134</f>
        <v>0</v>
      </c>
      <c r="F131" s="1476">
        <f>F132+F134</f>
        <v>52792</v>
      </c>
      <c r="G131" s="1476">
        <f>G132+G134</f>
        <v>276508</v>
      </c>
      <c r="H131" s="1476">
        <f>H132+H134</f>
        <v>0</v>
      </c>
      <c r="I131" s="1476">
        <f>+I134</f>
        <v>0</v>
      </c>
      <c r="J131" s="1476">
        <f>+J134</f>
        <v>0</v>
      </c>
      <c r="K131" s="1476">
        <f>+K134</f>
        <v>0</v>
      </c>
      <c r="L131" s="1476">
        <f>+L134</f>
        <v>0</v>
      </c>
      <c r="M131" s="1477">
        <f>M132+M134</f>
        <v>329300</v>
      </c>
      <c r="N131" s="1477">
        <f>N132+N134</f>
        <v>276508</v>
      </c>
      <c r="O131" s="4367"/>
      <c r="P131" s="2704"/>
      <c r="Q131" s="2704"/>
    </row>
    <row r="132" spans="1:17" s="226" customFormat="1" ht="13.5" thickBot="1">
      <c r="A132" s="4376"/>
      <c r="B132" s="1478" t="s">
        <v>24</v>
      </c>
      <c r="C132" s="3655" t="s">
        <v>169</v>
      </c>
      <c r="D132" s="1479">
        <f>D133</f>
        <v>49395</v>
      </c>
      <c r="E132" s="1845">
        <f t="shared" ref="E132:L132" si="109">E133</f>
        <v>0</v>
      </c>
      <c r="F132" s="1171">
        <f t="shared" si="109"/>
        <v>7919</v>
      </c>
      <c r="G132" s="1171">
        <f t="shared" si="109"/>
        <v>41476</v>
      </c>
      <c r="H132" s="1171">
        <f t="shared" si="109"/>
        <v>0</v>
      </c>
      <c r="I132" s="1171">
        <f t="shared" si="109"/>
        <v>0</v>
      </c>
      <c r="J132" s="1171">
        <f t="shared" si="109"/>
        <v>0</v>
      </c>
      <c r="K132" s="1171">
        <f t="shared" si="109"/>
        <v>0</v>
      </c>
      <c r="L132" s="1171">
        <f t="shared" si="109"/>
        <v>0</v>
      </c>
      <c r="M132" s="1480">
        <f>M133</f>
        <v>49395</v>
      </c>
      <c r="N132" s="1480">
        <f>N133</f>
        <v>41476</v>
      </c>
      <c r="O132" s="4367"/>
      <c r="P132" s="2704"/>
      <c r="Q132" s="2704"/>
    </row>
    <row r="133" spans="1:17" s="226" customFormat="1" ht="13.5" thickBot="1">
      <c r="A133" s="4376"/>
      <c r="B133" s="1481" t="s">
        <v>12</v>
      </c>
      <c r="C133" s="3649"/>
      <c r="D133" s="839">
        <f>E133+F133+G133+H133+I133+J133+K133+L133</f>
        <v>49395</v>
      </c>
      <c r="E133" s="839">
        <v>0</v>
      </c>
      <c r="F133" s="872">
        <f>8310-391</f>
        <v>7919</v>
      </c>
      <c r="G133" s="872">
        <f>37035+4441</f>
        <v>41476</v>
      </c>
      <c r="H133" s="872">
        <f>4050-4050</f>
        <v>0</v>
      </c>
      <c r="I133" s="872">
        <v>0</v>
      </c>
      <c r="J133" s="872">
        <v>0</v>
      </c>
      <c r="K133" s="872">
        <v>0</v>
      </c>
      <c r="L133" s="872">
        <v>0</v>
      </c>
      <c r="M133" s="1799">
        <f>SUM(F133:K133)</f>
        <v>49395</v>
      </c>
      <c r="N133" s="1799">
        <f>SUM(G133:L133)</f>
        <v>41476</v>
      </c>
      <c r="O133" s="4367"/>
      <c r="P133" s="2704"/>
      <c r="Q133" s="2704"/>
    </row>
    <row r="134" spans="1:17" s="226" customFormat="1" ht="13.5" thickBot="1">
      <c r="A134" s="4376"/>
      <c r="B134" s="1483" t="s">
        <v>18</v>
      </c>
      <c r="C134" s="3649"/>
      <c r="D134" s="1479">
        <f>D135</f>
        <v>279905</v>
      </c>
      <c r="E134" s="1845">
        <f t="shared" ref="E134:N134" si="110">+E135</f>
        <v>0</v>
      </c>
      <c r="F134" s="1171">
        <f t="shared" ref="F134:H134" si="111">F135</f>
        <v>44873</v>
      </c>
      <c r="G134" s="1171">
        <f t="shared" si="111"/>
        <v>235032</v>
      </c>
      <c r="H134" s="1171">
        <f t="shared" si="111"/>
        <v>0</v>
      </c>
      <c r="I134" s="1171">
        <f t="shared" ref="I134:L134" si="112">I135</f>
        <v>0</v>
      </c>
      <c r="J134" s="1171">
        <f t="shared" si="112"/>
        <v>0</v>
      </c>
      <c r="K134" s="1171">
        <f t="shared" si="112"/>
        <v>0</v>
      </c>
      <c r="L134" s="1171">
        <f t="shared" si="112"/>
        <v>0</v>
      </c>
      <c r="M134" s="1480">
        <f t="shared" si="110"/>
        <v>279905</v>
      </c>
      <c r="N134" s="1480">
        <f t="shared" si="110"/>
        <v>235032</v>
      </c>
      <c r="O134" s="4367"/>
      <c r="P134" s="2704"/>
      <c r="Q134" s="2704"/>
    </row>
    <row r="135" spans="1:17" s="226" customFormat="1" ht="13.5" thickBot="1">
      <c r="A135" s="4376"/>
      <c r="B135" s="3094" t="s">
        <v>21</v>
      </c>
      <c r="C135" s="3650"/>
      <c r="D135" s="839">
        <f>E135+F135+G135+H135+I135+J135+K135+L135</f>
        <v>279905</v>
      </c>
      <c r="E135" s="839">
        <v>0</v>
      </c>
      <c r="F135" s="872">
        <f>47090-2217</f>
        <v>44873</v>
      </c>
      <c r="G135" s="872">
        <f>209865+25167</f>
        <v>235032</v>
      </c>
      <c r="H135" s="872">
        <f>22950-22950</f>
        <v>0</v>
      </c>
      <c r="I135" s="872">
        <v>0</v>
      </c>
      <c r="J135" s="872">
        <v>0</v>
      </c>
      <c r="K135" s="872">
        <v>0</v>
      </c>
      <c r="L135" s="872">
        <v>0</v>
      </c>
      <c r="M135" s="1799">
        <f>SUM(F135:K135)</f>
        <v>279905</v>
      </c>
      <c r="N135" s="1799">
        <f>SUM(G135:L135)</f>
        <v>235032</v>
      </c>
      <c r="O135" s="4367"/>
      <c r="P135" s="2704"/>
      <c r="Q135" s="2704"/>
    </row>
    <row r="136" spans="1:17" s="226" customFormat="1" ht="13.5" thickBot="1">
      <c r="A136" s="4376"/>
      <c r="B136" s="581" t="s">
        <v>22</v>
      </c>
      <c r="C136" s="1475"/>
      <c r="D136" s="1476">
        <f t="shared" ref="D136:L137" si="113">D137</f>
        <v>279905</v>
      </c>
      <c r="E136" s="1476">
        <f t="shared" ref="E136:E137" si="114">+E137</f>
        <v>0</v>
      </c>
      <c r="F136" s="1476">
        <f t="shared" si="113"/>
        <v>0</v>
      </c>
      <c r="G136" s="1476">
        <f t="shared" si="113"/>
        <v>46640</v>
      </c>
      <c r="H136" s="1476">
        <f t="shared" si="113"/>
        <v>178570</v>
      </c>
      <c r="I136" s="1476">
        <f t="shared" si="113"/>
        <v>54695</v>
      </c>
      <c r="J136" s="1476">
        <f t="shared" si="113"/>
        <v>0</v>
      </c>
      <c r="K136" s="1476">
        <f t="shared" si="113"/>
        <v>0</v>
      </c>
      <c r="L136" s="1476">
        <f t="shared" si="113"/>
        <v>0</v>
      </c>
      <c r="M136" s="3677" t="s">
        <v>61</v>
      </c>
      <c r="N136" s="3678" t="s">
        <v>61</v>
      </c>
      <c r="O136" s="4367"/>
      <c r="P136" s="2704"/>
      <c r="Q136" s="2704"/>
    </row>
    <row r="137" spans="1:17" s="226" customFormat="1" ht="13.5" thickBot="1">
      <c r="A137" s="4376"/>
      <c r="B137" s="555" t="s">
        <v>18</v>
      </c>
      <c r="C137" s="4378" t="s">
        <v>169</v>
      </c>
      <c r="D137" s="1485">
        <f t="shared" si="113"/>
        <v>279905</v>
      </c>
      <c r="E137" s="1485">
        <f t="shared" si="114"/>
        <v>0</v>
      </c>
      <c r="F137" s="1485">
        <f t="shared" si="113"/>
        <v>0</v>
      </c>
      <c r="G137" s="1485">
        <f t="shared" si="113"/>
        <v>46640</v>
      </c>
      <c r="H137" s="1485">
        <f t="shared" si="113"/>
        <v>178570</v>
      </c>
      <c r="I137" s="1485">
        <f t="shared" si="113"/>
        <v>54695</v>
      </c>
      <c r="J137" s="1485">
        <f t="shared" si="113"/>
        <v>0</v>
      </c>
      <c r="K137" s="1485">
        <f t="shared" si="113"/>
        <v>0</v>
      </c>
      <c r="L137" s="1485">
        <f t="shared" si="113"/>
        <v>0</v>
      </c>
      <c r="M137" s="3675"/>
      <c r="N137" s="3679"/>
      <c r="O137" s="4367"/>
      <c r="P137" s="2704"/>
      <c r="Q137" s="2704"/>
    </row>
    <row r="138" spans="1:17" s="226" customFormat="1" ht="13.5" thickBot="1">
      <c r="A138" s="4376"/>
      <c r="B138" s="3298" t="s">
        <v>21</v>
      </c>
      <c r="C138" s="3821"/>
      <c r="D138" s="1766">
        <f>E138+F138+G138+H138+I138+J138+K138+L138</f>
        <v>279905</v>
      </c>
      <c r="E138" s="2283">
        <v>0</v>
      </c>
      <c r="F138" s="1786"/>
      <c r="G138" s="1786">
        <f>73100-26460</f>
        <v>46640</v>
      </c>
      <c r="H138" s="1786">
        <f>183855-5285</f>
        <v>178570</v>
      </c>
      <c r="I138" s="1786">
        <f>22950+31745</f>
        <v>54695</v>
      </c>
      <c r="J138" s="1786">
        <v>0</v>
      </c>
      <c r="K138" s="1786">
        <v>0</v>
      </c>
      <c r="L138" s="1786">
        <v>0</v>
      </c>
      <c r="M138" s="3676"/>
      <c r="N138" s="3679"/>
      <c r="O138" s="4367"/>
      <c r="P138" s="2704"/>
      <c r="Q138" s="2704"/>
    </row>
    <row r="139" spans="1:17" s="226" customFormat="1" ht="34.5" customHeight="1" thickBot="1">
      <c r="A139" s="4375" t="s">
        <v>91</v>
      </c>
      <c r="B139" s="180" t="s">
        <v>509</v>
      </c>
      <c r="C139" s="2302" t="s">
        <v>170</v>
      </c>
      <c r="D139" s="669"/>
      <c r="E139" s="3187"/>
      <c r="F139" s="3188"/>
      <c r="G139" s="3181"/>
      <c r="H139" s="3181"/>
      <c r="I139" s="2303"/>
      <c r="J139" s="2303"/>
      <c r="K139" s="2303"/>
      <c r="L139" s="3182"/>
      <c r="M139" s="670"/>
      <c r="N139" s="670"/>
      <c r="O139" s="4367" t="s">
        <v>322</v>
      </c>
      <c r="P139" s="2704"/>
      <c r="Q139" s="2704"/>
    </row>
    <row r="140" spans="1:17" s="226" customFormat="1" ht="13.5" thickBot="1">
      <c r="A140" s="4376"/>
      <c r="B140" s="1474" t="s">
        <v>10</v>
      </c>
      <c r="C140" s="1475"/>
      <c r="D140" s="1476">
        <f>D141+D145</f>
        <v>693012</v>
      </c>
      <c r="E140" s="1476">
        <f t="shared" ref="E140" si="115">E141+E145</f>
        <v>0</v>
      </c>
      <c r="F140" s="1476">
        <f>F141+F145</f>
        <v>32378</v>
      </c>
      <c r="G140" s="1476">
        <f>G141+G145</f>
        <v>384634</v>
      </c>
      <c r="H140" s="1476">
        <f>H141+H145</f>
        <v>276000</v>
      </c>
      <c r="I140" s="1476">
        <f>+I145</f>
        <v>0</v>
      </c>
      <c r="J140" s="1476">
        <f>+J145</f>
        <v>0</v>
      </c>
      <c r="K140" s="1476">
        <f>+K145</f>
        <v>0</v>
      </c>
      <c r="L140" s="1476">
        <f>+L145</f>
        <v>0</v>
      </c>
      <c r="M140" s="1477">
        <f>M141+M145</f>
        <v>693012</v>
      </c>
      <c r="N140" s="1477">
        <f>N141+N145</f>
        <v>660634</v>
      </c>
      <c r="O140" s="4367"/>
      <c r="P140" s="2704"/>
      <c r="Q140" s="2704"/>
    </row>
    <row r="141" spans="1:17" s="226" customFormat="1" ht="13.5" thickBot="1">
      <c r="A141" s="4376"/>
      <c r="B141" s="2478" t="s">
        <v>24</v>
      </c>
      <c r="C141" s="3820" t="s">
        <v>317</v>
      </c>
      <c r="D141" s="1485">
        <f>D142</f>
        <v>119262</v>
      </c>
      <c r="E141" s="1775">
        <f t="shared" ref="E141:H141" si="116">E142</f>
        <v>0</v>
      </c>
      <c r="F141" s="1490">
        <f t="shared" si="116"/>
        <v>4857</v>
      </c>
      <c r="G141" s="1490">
        <f t="shared" si="116"/>
        <v>73005</v>
      </c>
      <c r="H141" s="1490">
        <f t="shared" si="116"/>
        <v>41400</v>
      </c>
      <c r="I141" s="1490">
        <v>0</v>
      </c>
      <c r="J141" s="1490">
        <v>0</v>
      </c>
      <c r="K141" s="1490">
        <v>0</v>
      </c>
      <c r="L141" s="1490">
        <v>0</v>
      </c>
      <c r="M141" s="1785">
        <f>M142</f>
        <v>119262</v>
      </c>
      <c r="N141" s="1480">
        <f>N142</f>
        <v>114405</v>
      </c>
      <c r="O141" s="4367"/>
      <c r="P141" s="2704"/>
      <c r="Q141" s="2704"/>
    </row>
    <row r="142" spans="1:17" s="226" customFormat="1" ht="13.5" thickBot="1">
      <c r="A142" s="4376"/>
      <c r="B142" s="2348" t="s">
        <v>12</v>
      </c>
      <c r="C142" s="3649"/>
      <c r="D142" s="891">
        <f>E142+F142+G142+H142+I142+J142+K142+L142</f>
        <v>119262</v>
      </c>
      <c r="E142" s="891">
        <v>0</v>
      </c>
      <c r="F142" s="2349">
        <f>15474-10617</f>
        <v>4857</v>
      </c>
      <c r="G142" s="2349">
        <f>62388+10617</f>
        <v>73005</v>
      </c>
      <c r="H142" s="2349">
        <v>41400</v>
      </c>
      <c r="I142" s="2349">
        <v>0</v>
      </c>
      <c r="J142" s="2349">
        <v>0</v>
      </c>
      <c r="K142" s="2349">
        <v>0</v>
      </c>
      <c r="L142" s="2349">
        <v>0</v>
      </c>
      <c r="M142" s="2350">
        <f>SUM(F142:K142)</f>
        <v>119262</v>
      </c>
      <c r="N142" s="2350">
        <f>SUM(G142:L142)</f>
        <v>114405</v>
      </c>
      <c r="O142" s="4367"/>
      <c r="P142" s="2704"/>
      <c r="Q142" s="2704"/>
    </row>
    <row r="143" spans="1:17" s="226" customFormat="1" ht="15" hidden="1" customHeight="1">
      <c r="A143" s="4376"/>
      <c r="B143" s="2346" t="s">
        <v>324</v>
      </c>
      <c r="C143" s="3649"/>
      <c r="D143" s="839">
        <f t="shared" ref="D143:D144" si="117">E143+F143+G143+H143+I143+J143+K143+L143</f>
        <v>5597</v>
      </c>
      <c r="E143" s="2300"/>
      <c r="F143" s="2301">
        <f>1500+258+37-148</f>
        <v>1647</v>
      </c>
      <c r="G143" s="2301">
        <f>1500+258+37+360</f>
        <v>2155</v>
      </c>
      <c r="H143" s="2301">
        <f>1500+258+37</f>
        <v>1795</v>
      </c>
      <c r="I143" s="872"/>
      <c r="J143" s="872"/>
      <c r="K143" s="872"/>
      <c r="L143" s="872"/>
      <c r="M143" s="1799"/>
      <c r="N143" s="1848"/>
      <c r="O143" s="4367"/>
      <c r="P143" s="2704"/>
      <c r="Q143" s="2704"/>
    </row>
    <row r="144" spans="1:17" s="226" customFormat="1" ht="15" hidden="1" customHeight="1">
      <c r="A144" s="4376"/>
      <c r="B144" s="2346" t="s">
        <v>323</v>
      </c>
      <c r="C144" s="3649"/>
      <c r="D144" s="839">
        <f t="shared" si="117"/>
        <v>113665</v>
      </c>
      <c r="E144" s="2300"/>
      <c r="F144" s="2301">
        <f>29862+1010+900-17345-750-10467</f>
        <v>3210</v>
      </c>
      <c r="G144" s="2301">
        <f>37887+3262+1350+17345+750+10256</f>
        <v>70850</v>
      </c>
      <c r="H144" s="2301">
        <f>36006+900+2700-1</f>
        <v>39605</v>
      </c>
      <c r="I144" s="2070"/>
      <c r="J144" s="2070"/>
      <c r="K144" s="2070"/>
      <c r="L144" s="2070"/>
      <c r="M144" s="1799"/>
      <c r="N144" s="1848"/>
      <c r="O144" s="4367"/>
      <c r="P144" s="2704"/>
      <c r="Q144" s="2704"/>
    </row>
    <row r="145" spans="1:17" s="226" customFormat="1" ht="13.5" thickBot="1">
      <c r="A145" s="4376"/>
      <c r="B145" s="1483" t="s">
        <v>18</v>
      </c>
      <c r="C145" s="3649"/>
      <c r="D145" s="1479">
        <f>D146</f>
        <v>573750</v>
      </c>
      <c r="E145" s="1845">
        <f t="shared" ref="E145:N145" si="118">+E146</f>
        <v>0</v>
      </c>
      <c r="F145" s="1171">
        <f t="shared" ref="F145:H145" si="119">F146</f>
        <v>27521</v>
      </c>
      <c r="G145" s="1171">
        <f t="shared" si="119"/>
        <v>311629</v>
      </c>
      <c r="H145" s="1171">
        <f t="shared" si="119"/>
        <v>234600</v>
      </c>
      <c r="I145" s="1171">
        <v>0</v>
      </c>
      <c r="J145" s="1171">
        <v>0</v>
      </c>
      <c r="K145" s="1171">
        <v>0</v>
      </c>
      <c r="L145" s="1171">
        <v>0</v>
      </c>
      <c r="M145" s="1785">
        <f t="shared" si="118"/>
        <v>573750</v>
      </c>
      <c r="N145" s="1480">
        <f t="shared" si="118"/>
        <v>546229</v>
      </c>
      <c r="O145" s="4367"/>
      <c r="P145" s="2704"/>
      <c r="Q145" s="2704"/>
    </row>
    <row r="146" spans="1:17" s="226" customFormat="1" ht="13.5" thickBot="1">
      <c r="A146" s="4376"/>
      <c r="B146" s="3094" t="s">
        <v>21</v>
      </c>
      <c r="C146" s="3650"/>
      <c r="D146" s="839">
        <f>E146+F146+G146+H146+I146+J146+K146+L146</f>
        <v>573750</v>
      </c>
      <c r="E146" s="839">
        <v>0</v>
      </c>
      <c r="F146" s="872">
        <f>36651-9130</f>
        <v>27521</v>
      </c>
      <c r="G146" s="872">
        <f>302499+9130</f>
        <v>311629</v>
      </c>
      <c r="H146" s="872">
        <v>234600</v>
      </c>
      <c r="I146" s="872">
        <v>0</v>
      </c>
      <c r="J146" s="872">
        <v>0</v>
      </c>
      <c r="K146" s="872">
        <v>0</v>
      </c>
      <c r="L146" s="872">
        <v>0</v>
      </c>
      <c r="M146" s="1799">
        <f>SUM(F146:K146)</f>
        <v>573750</v>
      </c>
      <c r="N146" s="1799">
        <f>SUM(G146:L146)</f>
        <v>546229</v>
      </c>
      <c r="O146" s="4367"/>
      <c r="P146" s="2704"/>
      <c r="Q146" s="2704"/>
    </row>
    <row r="147" spans="1:17" s="226" customFormat="1" ht="15" hidden="1" customHeight="1">
      <c r="A147" s="4376"/>
      <c r="B147" s="2346" t="s">
        <v>325</v>
      </c>
      <c r="C147" s="3064"/>
      <c r="D147" s="839">
        <f t="shared" ref="D147:D148" si="120">E147+F147+G147+H147+I147+J147+K147+L147</f>
        <v>31701</v>
      </c>
      <c r="E147" s="2322"/>
      <c r="F147" s="2301">
        <f>8496+1459+208-829</f>
        <v>9334</v>
      </c>
      <c r="G147" s="2301">
        <f>8496+1459+208+2041</f>
        <v>12204</v>
      </c>
      <c r="H147" s="2301">
        <f>8496+1459+208</f>
        <v>10163</v>
      </c>
      <c r="I147" s="872"/>
      <c r="J147" s="872"/>
      <c r="K147" s="872"/>
      <c r="L147" s="872"/>
      <c r="M147" s="2347"/>
      <c r="N147" s="2347"/>
      <c r="O147" s="4367"/>
      <c r="P147" s="2704"/>
      <c r="Q147" s="2704"/>
    </row>
    <row r="148" spans="1:17" s="226" customFormat="1" ht="15" hidden="1" customHeight="1">
      <c r="A148" s="4376"/>
      <c r="B148" s="2346" t="s">
        <v>326</v>
      </c>
      <c r="C148" s="3064"/>
      <c r="D148" s="839">
        <f t="shared" si="120"/>
        <v>542049</v>
      </c>
      <c r="E148" s="2322"/>
      <c r="F148" s="2301">
        <f>129026-98286-4250-8303</f>
        <v>18187</v>
      </c>
      <c r="G148" s="2301">
        <f>163661+18488+7650+98286+4250+7090</f>
        <v>299425</v>
      </c>
      <c r="H148" s="2301">
        <f>204036+5100+15300+1</f>
        <v>224437</v>
      </c>
      <c r="I148" s="2070"/>
      <c r="J148" s="2070"/>
      <c r="K148" s="2070"/>
      <c r="L148" s="2070"/>
      <c r="M148" s="2347"/>
      <c r="N148" s="2347"/>
      <c r="O148" s="4367"/>
      <c r="P148" s="2704"/>
      <c r="Q148" s="2704"/>
    </row>
    <row r="149" spans="1:17" s="226" customFormat="1" ht="13.5" thickBot="1">
      <c r="A149" s="4376"/>
      <c r="B149" s="581" t="s">
        <v>22</v>
      </c>
      <c r="C149" s="1475"/>
      <c r="D149" s="1476">
        <f t="shared" ref="D149:L150" si="121">D150</f>
        <v>573750</v>
      </c>
      <c r="E149" s="1476">
        <f t="shared" ref="E149:E150" si="122">+E150</f>
        <v>0</v>
      </c>
      <c r="F149" s="1476">
        <f t="shared" si="121"/>
        <v>0</v>
      </c>
      <c r="G149" s="1476">
        <f t="shared" si="121"/>
        <v>178482</v>
      </c>
      <c r="H149" s="1476">
        <f t="shared" si="121"/>
        <v>308586</v>
      </c>
      <c r="I149" s="1476">
        <f t="shared" si="121"/>
        <v>86682</v>
      </c>
      <c r="J149" s="1476">
        <f t="shared" si="121"/>
        <v>0</v>
      </c>
      <c r="K149" s="1476">
        <f t="shared" si="121"/>
        <v>0</v>
      </c>
      <c r="L149" s="1476">
        <f t="shared" si="121"/>
        <v>0</v>
      </c>
      <c r="M149" s="3677" t="s">
        <v>61</v>
      </c>
      <c r="N149" s="3677" t="s">
        <v>61</v>
      </c>
      <c r="O149" s="4367"/>
      <c r="P149" s="2704"/>
      <c r="Q149" s="2704"/>
    </row>
    <row r="150" spans="1:17" s="226" customFormat="1" ht="13.5" thickBot="1">
      <c r="A150" s="4376"/>
      <c r="B150" s="555" t="s">
        <v>18</v>
      </c>
      <c r="C150" s="3749" t="s">
        <v>169</v>
      </c>
      <c r="D150" s="1485">
        <f t="shared" si="121"/>
        <v>573750</v>
      </c>
      <c r="E150" s="1485">
        <f t="shared" si="122"/>
        <v>0</v>
      </c>
      <c r="F150" s="1485">
        <f t="shared" si="121"/>
        <v>0</v>
      </c>
      <c r="G150" s="1485">
        <f t="shared" si="121"/>
        <v>178482</v>
      </c>
      <c r="H150" s="1485">
        <f t="shared" si="121"/>
        <v>308586</v>
      </c>
      <c r="I150" s="1485">
        <f t="shared" si="121"/>
        <v>86682</v>
      </c>
      <c r="J150" s="1485">
        <f t="shared" si="121"/>
        <v>0</v>
      </c>
      <c r="K150" s="1485">
        <f t="shared" si="121"/>
        <v>0</v>
      </c>
      <c r="L150" s="1485">
        <f t="shared" si="121"/>
        <v>0</v>
      </c>
      <c r="M150" s="3675"/>
      <c r="N150" s="3675"/>
      <c r="O150" s="4367"/>
      <c r="P150" s="2704"/>
      <c r="Q150" s="2704"/>
    </row>
    <row r="151" spans="1:17" s="226" customFormat="1" ht="13.5" thickBot="1">
      <c r="A151" s="4376"/>
      <c r="B151" s="3298" t="s">
        <v>21</v>
      </c>
      <c r="C151" s="3657"/>
      <c r="D151" s="2283">
        <f>E151+F151+G151+H151+I151+J151+K151+L151</f>
        <v>573750</v>
      </c>
      <c r="E151" s="2283">
        <v>0</v>
      </c>
      <c r="F151" s="1786">
        <f>48432-48432</f>
        <v>0</v>
      </c>
      <c r="G151" s="1786">
        <f>130050+48432</f>
        <v>178482</v>
      </c>
      <c r="H151" s="1786">
        <v>308586</v>
      </c>
      <c r="I151" s="1786">
        <v>86682</v>
      </c>
      <c r="J151" s="1786">
        <v>0</v>
      </c>
      <c r="K151" s="1786">
        <v>0</v>
      </c>
      <c r="L151" s="1786">
        <v>0</v>
      </c>
      <c r="M151" s="3676"/>
      <c r="N151" s="3676"/>
      <c r="O151" s="4367"/>
      <c r="P151" s="2704"/>
      <c r="Q151" s="2704"/>
    </row>
    <row r="152" spans="1:17" s="226" customFormat="1" ht="12.75" hidden="1">
      <c r="A152" s="4381" t="s">
        <v>91</v>
      </c>
      <c r="B152" s="180"/>
      <c r="C152" s="1507" t="s">
        <v>170</v>
      </c>
      <c r="D152" s="667"/>
      <c r="E152" s="668"/>
      <c r="F152" s="669"/>
      <c r="G152" s="669"/>
      <c r="H152" s="669"/>
      <c r="I152" s="668"/>
      <c r="J152" s="668"/>
      <c r="K152" s="668"/>
      <c r="L152" s="668"/>
      <c r="M152" s="670"/>
      <c r="N152" s="670"/>
      <c r="O152" s="3661"/>
      <c r="P152" s="2704"/>
      <c r="Q152" s="2704"/>
    </row>
    <row r="153" spans="1:17" s="226" customFormat="1" ht="15" hidden="1" customHeight="1">
      <c r="A153" s="4382"/>
      <c r="B153" s="1474" t="s">
        <v>10</v>
      </c>
      <c r="C153" s="1475"/>
      <c r="D153" s="1476">
        <f>+D154+D156</f>
        <v>0</v>
      </c>
      <c r="E153" s="1476">
        <f>+E154+E156</f>
        <v>0</v>
      </c>
      <c r="F153" s="1476">
        <f>+F154+F156</f>
        <v>0</v>
      </c>
      <c r="G153" s="1476">
        <f t="shared" ref="G153:H153" si="123">+G154+G156</f>
        <v>0</v>
      </c>
      <c r="H153" s="1476">
        <f t="shared" si="123"/>
        <v>0</v>
      </c>
      <c r="I153" s="1476">
        <v>0</v>
      </c>
      <c r="J153" s="1476">
        <v>0</v>
      </c>
      <c r="K153" s="1476">
        <v>0</v>
      </c>
      <c r="L153" s="1476">
        <v>0</v>
      </c>
      <c r="M153" s="1477">
        <f>+M154+M156</f>
        <v>0</v>
      </c>
      <c r="N153" s="1477">
        <f>+N154+N156</f>
        <v>0</v>
      </c>
      <c r="O153" s="3662"/>
      <c r="P153" s="2704"/>
      <c r="Q153" s="2704"/>
    </row>
    <row r="154" spans="1:17" s="226" customFormat="1" ht="15" hidden="1" customHeight="1">
      <c r="A154" s="4382"/>
      <c r="B154" s="1478" t="s">
        <v>24</v>
      </c>
      <c r="C154" s="3655" t="s">
        <v>188</v>
      </c>
      <c r="D154" s="1479">
        <f>+D155</f>
        <v>0</v>
      </c>
      <c r="E154" s="1484">
        <f>+E155</f>
        <v>0</v>
      </c>
      <c r="F154" s="1484">
        <f>+F155</f>
        <v>0</v>
      </c>
      <c r="G154" s="1484">
        <f t="shared" ref="G154:H154" si="124">+G155</f>
        <v>0</v>
      </c>
      <c r="H154" s="1484">
        <f t="shared" si="124"/>
        <v>0</v>
      </c>
      <c r="I154" s="1485">
        <v>0</v>
      </c>
      <c r="J154" s="1485">
        <v>0</v>
      </c>
      <c r="K154" s="1485">
        <v>0</v>
      </c>
      <c r="L154" s="1485">
        <v>0</v>
      </c>
      <c r="M154" s="1480">
        <f>+M155</f>
        <v>0</v>
      </c>
      <c r="N154" s="1480">
        <f>+N155</f>
        <v>0</v>
      </c>
      <c r="O154" s="3662"/>
      <c r="P154" s="2704"/>
      <c r="Q154" s="2704"/>
    </row>
    <row r="155" spans="1:17" s="226" customFormat="1" ht="15" hidden="1" customHeight="1">
      <c r="A155" s="4382"/>
      <c r="B155" s="1481" t="s">
        <v>12</v>
      </c>
      <c r="C155" s="3649"/>
      <c r="D155" s="1406"/>
      <c r="E155" s="1406">
        <v>0</v>
      </c>
      <c r="F155" s="1482"/>
      <c r="G155" s="1482"/>
      <c r="H155" s="1482"/>
      <c r="I155" s="1485">
        <v>0</v>
      </c>
      <c r="J155" s="1485">
        <v>0</v>
      </c>
      <c r="K155" s="1485">
        <v>0</v>
      </c>
      <c r="L155" s="1485">
        <v>0</v>
      </c>
      <c r="M155" s="664">
        <f>SUM(F155:K155)</f>
        <v>0</v>
      </c>
      <c r="N155" s="664">
        <f>SUM(G155:L155)</f>
        <v>0</v>
      </c>
      <c r="O155" s="3662"/>
      <c r="P155" s="2704"/>
      <c r="Q155" s="2704"/>
    </row>
    <row r="156" spans="1:17" s="226" customFormat="1" ht="15" hidden="1" customHeight="1">
      <c r="A156" s="4382"/>
      <c r="B156" s="1483" t="s">
        <v>18</v>
      </c>
      <c r="C156" s="3649"/>
      <c r="D156" s="1479">
        <f>+D157</f>
        <v>0</v>
      </c>
      <c r="E156" s="1484">
        <f>+E157</f>
        <v>0</v>
      </c>
      <c r="F156" s="1484">
        <f>+F157</f>
        <v>0</v>
      </c>
      <c r="G156" s="1484">
        <f t="shared" ref="G156:H156" si="125">+G157</f>
        <v>0</v>
      </c>
      <c r="H156" s="1484">
        <f t="shared" si="125"/>
        <v>0</v>
      </c>
      <c r="I156" s="1485">
        <v>0</v>
      </c>
      <c r="J156" s="1485">
        <v>0</v>
      </c>
      <c r="K156" s="1485">
        <v>0</v>
      </c>
      <c r="L156" s="1485">
        <v>0</v>
      </c>
      <c r="M156" s="1480">
        <f>+M157</f>
        <v>0</v>
      </c>
      <c r="N156" s="1480">
        <f>+N157</f>
        <v>0</v>
      </c>
      <c r="O156" s="3662"/>
      <c r="P156" s="2704"/>
      <c r="Q156" s="2704"/>
    </row>
    <row r="157" spans="1:17" s="226" customFormat="1" ht="15" hidden="1" customHeight="1">
      <c r="A157" s="4382"/>
      <c r="B157" s="3094" t="s">
        <v>21</v>
      </c>
      <c r="C157" s="3650"/>
      <c r="D157" s="1406"/>
      <c r="E157" s="1406">
        <v>0</v>
      </c>
      <c r="F157" s="1482"/>
      <c r="G157" s="1482"/>
      <c r="H157" s="1482"/>
      <c r="I157" s="1485">
        <v>0</v>
      </c>
      <c r="J157" s="1485">
        <v>0</v>
      </c>
      <c r="K157" s="1485">
        <v>0</v>
      </c>
      <c r="L157" s="1485">
        <v>0</v>
      </c>
      <c r="M157" s="664">
        <f>SUM(F157:K157)</f>
        <v>0</v>
      </c>
      <c r="N157" s="664">
        <f>SUM(G157:L157)</f>
        <v>0</v>
      </c>
      <c r="O157" s="4313"/>
      <c r="P157" s="2704"/>
      <c r="Q157" s="2704"/>
    </row>
    <row r="158" spans="1:17" s="226" customFormat="1" ht="15" hidden="1" customHeight="1">
      <c r="A158" s="4382"/>
      <c r="B158" s="581" t="s">
        <v>22</v>
      </c>
      <c r="C158" s="1475"/>
      <c r="D158" s="1476">
        <f t="shared" ref="D158:F159" si="126">+D159</f>
        <v>0</v>
      </c>
      <c r="E158" s="1476">
        <f t="shared" si="126"/>
        <v>0</v>
      </c>
      <c r="F158" s="1476">
        <f t="shared" si="126"/>
        <v>0</v>
      </c>
      <c r="G158" s="1476">
        <f t="shared" ref="G158:H158" si="127">+G159</f>
        <v>0</v>
      </c>
      <c r="H158" s="1476">
        <f t="shared" si="127"/>
        <v>0</v>
      </c>
      <c r="I158" s="1476">
        <v>0</v>
      </c>
      <c r="J158" s="1476">
        <v>0</v>
      </c>
      <c r="K158" s="1476">
        <v>0</v>
      </c>
      <c r="L158" s="1476">
        <v>0</v>
      </c>
      <c r="M158" s="3677"/>
      <c r="N158" s="3677"/>
      <c r="O158" s="3662"/>
      <c r="P158" s="2704"/>
      <c r="Q158" s="2704"/>
    </row>
    <row r="159" spans="1:17" s="226" customFormat="1" ht="15" hidden="1" customHeight="1">
      <c r="A159" s="4382"/>
      <c r="B159" s="555" t="s">
        <v>18</v>
      </c>
      <c r="C159" s="3749" t="s">
        <v>191</v>
      </c>
      <c r="D159" s="1479">
        <f t="shared" si="126"/>
        <v>0</v>
      </c>
      <c r="E159" s="1485">
        <f t="shared" si="126"/>
        <v>0</v>
      </c>
      <c r="F159" s="1485">
        <f t="shared" si="126"/>
        <v>0</v>
      </c>
      <c r="G159" s="1485">
        <f t="shared" ref="G159:H159" si="128">+G160</f>
        <v>0</v>
      </c>
      <c r="H159" s="1485">
        <f t="shared" si="128"/>
        <v>0</v>
      </c>
      <c r="I159" s="1485">
        <v>0</v>
      </c>
      <c r="J159" s="1485">
        <v>0</v>
      </c>
      <c r="K159" s="1485">
        <v>0</v>
      </c>
      <c r="L159" s="1485">
        <v>0</v>
      </c>
      <c r="M159" s="3675"/>
      <c r="N159" s="3675"/>
      <c r="O159" s="3662"/>
      <c r="P159" s="2704"/>
      <c r="Q159" s="2704"/>
    </row>
    <row r="160" spans="1:17" s="226" customFormat="1" ht="15" hidden="1" customHeight="1" thickBot="1">
      <c r="A160" s="4383"/>
      <c r="B160" s="3298" t="s">
        <v>21</v>
      </c>
      <c r="C160" s="3657"/>
      <c r="D160" s="833">
        <f>E160+F160+G160+H160+I160+J160+K160+L160</f>
        <v>0</v>
      </c>
      <c r="E160" s="833">
        <v>0</v>
      </c>
      <c r="F160" s="448"/>
      <c r="G160" s="448"/>
      <c r="H160" s="448"/>
      <c r="I160" s="448">
        <v>0</v>
      </c>
      <c r="J160" s="448">
        <v>0</v>
      </c>
      <c r="K160" s="448">
        <v>0</v>
      </c>
      <c r="L160" s="448">
        <v>0</v>
      </c>
      <c r="M160" s="3676"/>
      <c r="N160" s="3676"/>
      <c r="O160" s="3663"/>
      <c r="P160" s="2704"/>
      <c r="Q160" s="2704"/>
    </row>
    <row r="161" spans="1:17" s="226" customFormat="1" ht="12.75" hidden="1">
      <c r="A161" s="4384" t="s">
        <v>92</v>
      </c>
      <c r="B161" s="180"/>
      <c r="C161" s="1507" t="s">
        <v>81</v>
      </c>
      <c r="D161" s="667"/>
      <c r="E161" s="1404"/>
      <c r="F161" s="669"/>
      <c r="G161" s="669"/>
      <c r="H161" s="669"/>
      <c r="I161" s="668"/>
      <c r="J161" s="668"/>
      <c r="K161" s="668"/>
      <c r="L161" s="668"/>
      <c r="M161" s="670"/>
      <c r="N161" s="670"/>
      <c r="O161" s="3661"/>
      <c r="P161" s="2704"/>
      <c r="Q161" s="2704"/>
    </row>
    <row r="162" spans="1:17" s="226" customFormat="1" ht="15" hidden="1" customHeight="1">
      <c r="A162" s="4382"/>
      <c r="B162" s="28" t="s">
        <v>10</v>
      </c>
      <c r="C162" s="22"/>
      <c r="D162" s="193">
        <f>+D163+D165</f>
        <v>0</v>
      </c>
      <c r="E162" s="193">
        <f>+E163+E165</f>
        <v>0</v>
      </c>
      <c r="F162" s="193">
        <f>+F163+F165</f>
        <v>0</v>
      </c>
      <c r="G162" s="193">
        <f t="shared" ref="G162:I162" si="129">+G163+G165</f>
        <v>0</v>
      </c>
      <c r="H162" s="193">
        <f t="shared" si="129"/>
        <v>0</v>
      </c>
      <c r="I162" s="193">
        <f t="shared" si="129"/>
        <v>0</v>
      </c>
      <c r="J162" s="193">
        <v>0</v>
      </c>
      <c r="K162" s="193">
        <v>0</v>
      </c>
      <c r="L162" s="193">
        <v>0</v>
      </c>
      <c r="M162" s="63">
        <f>+M163+M165</f>
        <v>0</v>
      </c>
      <c r="N162" s="63">
        <f>+N163+N165</f>
        <v>0</v>
      </c>
      <c r="O162" s="3662"/>
      <c r="P162" s="2704"/>
      <c r="Q162" s="2704"/>
    </row>
    <row r="163" spans="1:17" s="226" customFormat="1" ht="15" hidden="1" customHeight="1">
      <c r="A163" s="4382"/>
      <c r="B163" s="675" t="s">
        <v>24</v>
      </c>
      <c r="C163" s="3646" t="s">
        <v>188</v>
      </c>
      <c r="D163" s="298">
        <f>+D164</f>
        <v>0</v>
      </c>
      <c r="E163" s="300">
        <f>+E164</f>
        <v>0</v>
      </c>
      <c r="F163" s="300">
        <f>+F164</f>
        <v>0</v>
      </c>
      <c r="G163" s="300">
        <f>+G164</f>
        <v>0</v>
      </c>
      <c r="H163" s="300">
        <f t="shared" ref="H163:I163" si="130">+H164</f>
        <v>0</v>
      </c>
      <c r="I163" s="300">
        <f t="shared" si="130"/>
        <v>0</v>
      </c>
      <c r="J163" s="48">
        <v>0</v>
      </c>
      <c r="K163" s="48">
        <v>0</v>
      </c>
      <c r="L163" s="48">
        <v>0</v>
      </c>
      <c r="M163" s="296">
        <f>+M164</f>
        <v>0</v>
      </c>
      <c r="N163" s="296">
        <f>+N164</f>
        <v>0</v>
      </c>
      <c r="O163" s="3662"/>
      <c r="P163" s="2704"/>
      <c r="Q163" s="2704"/>
    </row>
    <row r="164" spans="1:17" s="226" customFormat="1" ht="15" hidden="1" customHeight="1">
      <c r="A164" s="4382"/>
      <c r="B164" s="676" t="s">
        <v>12</v>
      </c>
      <c r="C164" s="3649"/>
      <c r="D164" s="239"/>
      <c r="E164" s="239">
        <v>0</v>
      </c>
      <c r="F164" s="297"/>
      <c r="G164" s="297"/>
      <c r="H164" s="297"/>
      <c r="I164" s="297"/>
      <c r="J164" s="48">
        <v>0</v>
      </c>
      <c r="K164" s="48">
        <v>0</v>
      </c>
      <c r="L164" s="48">
        <v>0</v>
      </c>
      <c r="M164" s="664">
        <f>SUM(F164:K164)</f>
        <v>0</v>
      </c>
      <c r="N164" s="664">
        <f>SUM(G164:L164)</f>
        <v>0</v>
      </c>
      <c r="O164" s="3662"/>
      <c r="P164" s="2704"/>
      <c r="Q164" s="2704"/>
    </row>
    <row r="165" spans="1:17" s="226" customFormat="1" ht="15" hidden="1" customHeight="1">
      <c r="A165" s="4382"/>
      <c r="B165" s="559" t="s">
        <v>18</v>
      </c>
      <c r="C165" s="3649"/>
      <c r="D165" s="47">
        <f>+D166</f>
        <v>0</v>
      </c>
      <c r="E165" s="97">
        <f>+E166</f>
        <v>0</v>
      </c>
      <c r="F165" s="97">
        <f>+F166</f>
        <v>0</v>
      </c>
      <c r="G165" s="97">
        <f t="shared" ref="G165:I165" si="131">+G166</f>
        <v>0</v>
      </c>
      <c r="H165" s="97">
        <f t="shared" si="131"/>
        <v>0</v>
      </c>
      <c r="I165" s="97">
        <f t="shared" si="131"/>
        <v>0</v>
      </c>
      <c r="J165" s="48">
        <v>0</v>
      </c>
      <c r="K165" s="48">
        <v>0</v>
      </c>
      <c r="L165" s="48">
        <v>0</v>
      </c>
      <c r="M165" s="77">
        <f>+M166</f>
        <v>0</v>
      </c>
      <c r="N165" s="77">
        <f>+N166</f>
        <v>0</v>
      </c>
      <c r="O165" s="3662"/>
      <c r="P165" s="2704"/>
      <c r="Q165" s="2704"/>
    </row>
    <row r="166" spans="1:17" s="226" customFormat="1" ht="15" hidden="1" customHeight="1">
      <c r="A166" s="4382"/>
      <c r="B166" s="3094" t="s">
        <v>21</v>
      </c>
      <c r="C166" s="3650"/>
      <c r="D166" s="239"/>
      <c r="E166" s="1285">
        <v>0</v>
      </c>
      <c r="F166" s="632"/>
      <c r="G166" s="632"/>
      <c r="H166" s="632"/>
      <c r="I166" s="632"/>
      <c r="J166" s="48">
        <v>0</v>
      </c>
      <c r="K166" s="48">
        <v>0</v>
      </c>
      <c r="L166" s="48">
        <v>0</v>
      </c>
      <c r="M166" s="664">
        <f>SUM(F166:K166)</f>
        <v>0</v>
      </c>
      <c r="N166" s="664">
        <f>SUM(G166:L166)</f>
        <v>0</v>
      </c>
      <c r="O166" s="4313"/>
      <c r="P166" s="2704"/>
      <c r="Q166" s="2704"/>
    </row>
    <row r="167" spans="1:17" s="226" customFormat="1" ht="15" hidden="1" customHeight="1">
      <c r="A167" s="4382"/>
      <c r="B167" s="21" t="s">
        <v>22</v>
      </c>
      <c r="C167" s="22"/>
      <c r="D167" s="193">
        <f t="shared" ref="D167:F168" si="132">+D168</f>
        <v>0</v>
      </c>
      <c r="E167" s="98">
        <f t="shared" si="132"/>
        <v>0</v>
      </c>
      <c r="F167" s="98">
        <f t="shared" si="132"/>
        <v>0</v>
      </c>
      <c r="G167" s="98">
        <f t="shared" ref="G167:I167" si="133">+G168</f>
        <v>0</v>
      </c>
      <c r="H167" s="98">
        <f t="shared" si="133"/>
        <v>0</v>
      </c>
      <c r="I167" s="98">
        <f t="shared" si="133"/>
        <v>0</v>
      </c>
      <c r="J167" s="193">
        <v>0</v>
      </c>
      <c r="K167" s="193">
        <v>0</v>
      </c>
      <c r="L167" s="193">
        <v>0</v>
      </c>
      <c r="M167" s="3674"/>
      <c r="N167" s="3674"/>
      <c r="O167" s="3662"/>
      <c r="P167" s="2704"/>
      <c r="Q167" s="2704"/>
    </row>
    <row r="168" spans="1:17" s="226" customFormat="1" ht="15" hidden="1" customHeight="1">
      <c r="A168" s="4382"/>
      <c r="B168" s="167" t="s">
        <v>18</v>
      </c>
      <c r="C168" s="4380" t="s">
        <v>191</v>
      </c>
      <c r="D168" s="47">
        <f t="shared" si="132"/>
        <v>0</v>
      </c>
      <c r="E168" s="48">
        <f t="shared" si="132"/>
        <v>0</v>
      </c>
      <c r="F168" s="48">
        <f t="shared" si="132"/>
        <v>0</v>
      </c>
      <c r="G168" s="48">
        <f t="shared" ref="G168:I168" si="134">+G169</f>
        <v>0</v>
      </c>
      <c r="H168" s="48">
        <f t="shared" si="134"/>
        <v>0</v>
      </c>
      <c r="I168" s="48">
        <f t="shared" si="134"/>
        <v>0</v>
      </c>
      <c r="J168" s="48">
        <v>0</v>
      </c>
      <c r="K168" s="48">
        <v>0</v>
      </c>
      <c r="L168" s="48">
        <v>0</v>
      </c>
      <c r="M168" s="3675"/>
      <c r="N168" s="3675"/>
      <c r="O168" s="3662"/>
      <c r="P168" s="2704"/>
      <c r="Q168" s="2704"/>
    </row>
    <row r="169" spans="1:17" s="226" customFormat="1" ht="15" hidden="1" customHeight="1" thickBot="1">
      <c r="A169" s="4383"/>
      <c r="B169" s="3298" t="s">
        <v>21</v>
      </c>
      <c r="C169" s="3657"/>
      <c r="D169" s="239"/>
      <c r="E169" s="239">
        <v>0</v>
      </c>
      <c r="F169" s="70"/>
      <c r="G169" s="70"/>
      <c r="H169" s="70"/>
      <c r="I169" s="70"/>
      <c r="J169" s="70">
        <v>0</v>
      </c>
      <c r="K169" s="70">
        <v>0</v>
      </c>
      <c r="L169" s="70">
        <v>0</v>
      </c>
      <c r="M169" s="3676"/>
      <c r="N169" s="3676"/>
      <c r="O169" s="3663"/>
      <c r="P169" s="2704"/>
      <c r="Q169" s="2704"/>
    </row>
    <row r="170" spans="1:17" s="226" customFormat="1" ht="22.5" customHeight="1">
      <c r="A170" s="4381" t="s">
        <v>92</v>
      </c>
      <c r="B170" s="180" t="s">
        <v>507</v>
      </c>
      <c r="C170" s="2302" t="s">
        <v>109</v>
      </c>
      <c r="D170" s="668"/>
      <c r="E170" s="3187"/>
      <c r="F170" s="3181"/>
      <c r="G170" s="3181"/>
      <c r="H170" s="3181"/>
      <c r="I170" s="2303"/>
      <c r="J170" s="2303"/>
      <c r="K170" s="2303"/>
      <c r="L170" s="3182"/>
      <c r="M170" s="670"/>
      <c r="N170" s="670"/>
      <c r="O170" s="3661" t="s">
        <v>322</v>
      </c>
      <c r="P170" s="2704"/>
      <c r="Q170" s="2704"/>
    </row>
    <row r="171" spans="1:17" s="226" customFormat="1" ht="12.75">
      <c r="A171" s="4382"/>
      <c r="B171" s="28" t="s">
        <v>10</v>
      </c>
      <c r="C171" s="22"/>
      <c r="D171" s="193">
        <f>+D172+D176</f>
        <v>653000</v>
      </c>
      <c r="E171" s="193">
        <f t="shared" ref="E171" si="135">+E172+E176</f>
        <v>0</v>
      </c>
      <c r="F171" s="193">
        <f t="shared" ref="F171:L171" si="136">+F172+F176</f>
        <v>915</v>
      </c>
      <c r="G171" s="193">
        <f t="shared" si="136"/>
        <v>214292</v>
      </c>
      <c r="H171" s="193">
        <f t="shared" si="136"/>
        <v>372867</v>
      </c>
      <c r="I171" s="193">
        <f t="shared" si="136"/>
        <v>64926</v>
      </c>
      <c r="J171" s="1314">
        <f t="shared" si="136"/>
        <v>0</v>
      </c>
      <c r="K171" s="1314">
        <f t="shared" si="136"/>
        <v>0</v>
      </c>
      <c r="L171" s="1314">
        <f t="shared" si="136"/>
        <v>0</v>
      </c>
      <c r="M171" s="63">
        <f>+M172+M176</f>
        <v>653000</v>
      </c>
      <c r="N171" s="63">
        <f>+N172+N176</f>
        <v>652085</v>
      </c>
      <c r="O171" s="3662"/>
      <c r="P171" s="2704" t="s">
        <v>370</v>
      </c>
      <c r="Q171" s="2704"/>
    </row>
    <row r="172" spans="1:17" s="226" customFormat="1" ht="15" customHeight="1">
      <c r="A172" s="4382"/>
      <c r="B172" s="675" t="s">
        <v>24</v>
      </c>
      <c r="C172" s="3646" t="s">
        <v>364</v>
      </c>
      <c r="D172" s="298">
        <f>SUM(D173)</f>
        <v>98843</v>
      </c>
      <c r="E172" s="298">
        <f t="shared" ref="E172:L172" si="137">SUM(E173)</f>
        <v>0</v>
      </c>
      <c r="F172" s="298">
        <f t="shared" si="137"/>
        <v>137</v>
      </c>
      <c r="G172" s="298">
        <f t="shared" si="137"/>
        <v>32442</v>
      </c>
      <c r="H172" s="298">
        <f t="shared" si="137"/>
        <v>56227</v>
      </c>
      <c r="I172" s="298">
        <f t="shared" si="137"/>
        <v>10037</v>
      </c>
      <c r="J172" s="2304">
        <f t="shared" si="137"/>
        <v>0</v>
      </c>
      <c r="K172" s="2304">
        <f t="shared" si="137"/>
        <v>0</v>
      </c>
      <c r="L172" s="2304">
        <f t="shared" si="137"/>
        <v>0</v>
      </c>
      <c r="M172" s="296">
        <f>+M173</f>
        <v>98843</v>
      </c>
      <c r="N172" s="296">
        <f>+N173</f>
        <v>98706</v>
      </c>
      <c r="O172" s="3662"/>
      <c r="P172" s="2704"/>
      <c r="Q172" s="2704"/>
    </row>
    <row r="173" spans="1:17" s="226" customFormat="1" ht="13.5" thickBot="1">
      <c r="A173" s="4382"/>
      <c r="B173" s="676" t="s">
        <v>12</v>
      </c>
      <c r="C173" s="3649"/>
      <c r="D173" s="239">
        <f>E173+F173+G173+H173+I173+J173+K173+L173</f>
        <v>98843</v>
      </c>
      <c r="E173" s="239">
        <v>0</v>
      </c>
      <c r="F173" s="239">
        <f>SUM(F174:F175)</f>
        <v>137</v>
      </c>
      <c r="G173" s="239">
        <f t="shared" ref="G173:L173" si="138">SUM(G174:G175)</f>
        <v>32442</v>
      </c>
      <c r="H173" s="239">
        <f t="shared" si="138"/>
        <v>56227</v>
      </c>
      <c r="I173" s="239">
        <f t="shared" si="138"/>
        <v>10037</v>
      </c>
      <c r="J173" s="2305">
        <f t="shared" si="138"/>
        <v>0</v>
      </c>
      <c r="K173" s="2305">
        <f t="shared" si="138"/>
        <v>0</v>
      </c>
      <c r="L173" s="2305">
        <f t="shared" si="138"/>
        <v>0</v>
      </c>
      <c r="M173" s="664">
        <f>+M174+M175</f>
        <v>98843</v>
      </c>
      <c r="N173" s="664">
        <f>+N174+N175</f>
        <v>98706</v>
      </c>
      <c r="O173" s="3662"/>
      <c r="P173" s="2704"/>
      <c r="Q173" s="2704"/>
    </row>
    <row r="174" spans="1:17" s="226" customFormat="1" ht="15" hidden="1" customHeight="1">
      <c r="A174" s="4382"/>
      <c r="B174" s="2306" t="s">
        <v>365</v>
      </c>
      <c r="C174" s="3649"/>
      <c r="D174" s="839">
        <f>SUM(E174:L174)</f>
        <v>80557</v>
      </c>
      <c r="E174" s="2307">
        <v>0</v>
      </c>
      <c r="F174" s="872">
        <f>2151-2014</f>
        <v>137</v>
      </c>
      <c r="G174" s="872">
        <f>22007+4408</f>
        <v>26415</v>
      </c>
      <c r="H174" s="872">
        <v>45779</v>
      </c>
      <c r="I174" s="872">
        <v>8226</v>
      </c>
      <c r="J174" s="2308">
        <v>0</v>
      </c>
      <c r="K174" s="2308">
        <v>0</v>
      </c>
      <c r="L174" s="2308">
        <v>0</v>
      </c>
      <c r="M174" s="664">
        <f>SUM(F174:K174)</f>
        <v>80557</v>
      </c>
      <c r="N174" s="664">
        <f>SUM(G174:L174)</f>
        <v>80420</v>
      </c>
      <c r="O174" s="3662"/>
      <c r="P174" s="2704"/>
      <c r="Q174" s="2704"/>
    </row>
    <row r="175" spans="1:17" s="226" customFormat="1" ht="15" hidden="1" customHeight="1">
      <c r="A175" s="4383"/>
      <c r="B175" s="2306" t="s">
        <v>260</v>
      </c>
      <c r="C175" s="3649"/>
      <c r="D175" s="839">
        <v>18286</v>
      </c>
      <c r="E175" s="2307">
        <v>0</v>
      </c>
      <c r="F175" s="1315">
        <v>0</v>
      </c>
      <c r="G175" s="872">
        <v>6027</v>
      </c>
      <c r="H175" s="872">
        <v>10448</v>
      </c>
      <c r="I175" s="872">
        <v>1811</v>
      </c>
      <c r="J175" s="2308">
        <v>0</v>
      </c>
      <c r="K175" s="2308">
        <v>0</v>
      </c>
      <c r="L175" s="2308">
        <v>0</v>
      </c>
      <c r="M175" s="664">
        <f>SUM(F175:K175)</f>
        <v>18286</v>
      </c>
      <c r="N175" s="664">
        <f>SUM(G175:L175)</f>
        <v>18286</v>
      </c>
      <c r="O175" s="3662"/>
      <c r="P175" s="2704"/>
      <c r="Q175" s="2704"/>
    </row>
    <row r="176" spans="1:17" s="226" customFormat="1" ht="13.5" thickBot="1">
      <c r="A176" s="4376"/>
      <c r="B176" s="559" t="s">
        <v>18</v>
      </c>
      <c r="C176" s="3649"/>
      <c r="D176" s="47">
        <f>SUM(E176:L176)</f>
        <v>554157</v>
      </c>
      <c r="E176" s="47">
        <f t="shared" ref="E176:L176" si="139">SUM(E177)</f>
        <v>0</v>
      </c>
      <c r="F176" s="47">
        <f t="shared" si="139"/>
        <v>778</v>
      </c>
      <c r="G176" s="47">
        <f t="shared" si="139"/>
        <v>181850</v>
      </c>
      <c r="H176" s="47">
        <f t="shared" si="139"/>
        <v>316640</v>
      </c>
      <c r="I176" s="47">
        <f t="shared" si="139"/>
        <v>54889</v>
      </c>
      <c r="J176" s="2309">
        <f t="shared" si="139"/>
        <v>0</v>
      </c>
      <c r="K176" s="2309">
        <f t="shared" si="139"/>
        <v>0</v>
      </c>
      <c r="L176" s="2309">
        <f t="shared" si="139"/>
        <v>0</v>
      </c>
      <c r="M176" s="296">
        <f>+M177</f>
        <v>554157</v>
      </c>
      <c r="N176" s="296">
        <f>+N177</f>
        <v>553379</v>
      </c>
      <c r="O176" s="3662"/>
      <c r="P176" s="2704"/>
      <c r="Q176" s="2704"/>
    </row>
    <row r="177" spans="1:17" s="226" customFormat="1" ht="13.5" thickBot="1">
      <c r="A177" s="4376"/>
      <c r="B177" s="3331" t="s">
        <v>21</v>
      </c>
      <c r="C177" s="3649"/>
      <c r="D177" s="239">
        <f>E177+F177+G177+H177+I177+J177+K177+L177</f>
        <v>554157</v>
      </c>
      <c r="E177" s="239">
        <v>0</v>
      </c>
      <c r="F177" s="2310">
        <f t="shared" ref="F177:L177" si="140">SUM(F178:F179)</f>
        <v>778</v>
      </c>
      <c r="G177" s="2310">
        <f t="shared" si="140"/>
        <v>181850</v>
      </c>
      <c r="H177" s="2310">
        <f t="shared" si="140"/>
        <v>316640</v>
      </c>
      <c r="I177" s="2310">
        <f t="shared" si="140"/>
        <v>54889</v>
      </c>
      <c r="J177" s="2311">
        <f t="shared" si="140"/>
        <v>0</v>
      </c>
      <c r="K177" s="2311">
        <f t="shared" si="140"/>
        <v>0</v>
      </c>
      <c r="L177" s="2311">
        <f t="shared" si="140"/>
        <v>0</v>
      </c>
      <c r="M177" s="664">
        <f>SUM(F177:K177)</f>
        <v>554157</v>
      </c>
      <c r="N177" s="664">
        <f>SUM(G177:L177)</f>
        <v>553379</v>
      </c>
      <c r="O177" s="3662"/>
      <c r="P177" s="2704"/>
      <c r="Q177" s="2704"/>
    </row>
    <row r="178" spans="1:17" s="226" customFormat="1" ht="15" hidden="1" customHeight="1">
      <c r="A178" s="4376"/>
      <c r="B178" s="2312" t="s">
        <v>365</v>
      </c>
      <c r="C178" s="4301"/>
      <c r="D178" s="2310">
        <f>SUM(E178:L178)</f>
        <v>450534</v>
      </c>
      <c r="E178" s="2313">
        <v>0</v>
      </c>
      <c r="F178" s="2070">
        <f>12189-11411</f>
        <v>778</v>
      </c>
      <c r="G178" s="2070">
        <f>122723+24977</f>
        <v>147700</v>
      </c>
      <c r="H178" s="2070">
        <v>257431</v>
      </c>
      <c r="I178" s="2070">
        <v>44625</v>
      </c>
      <c r="J178" s="2314">
        <v>0</v>
      </c>
      <c r="K178" s="2314">
        <v>0</v>
      </c>
      <c r="L178" s="2314">
        <v>0</v>
      </c>
      <c r="M178" s="63">
        <f t="shared" ref="M178:M179" si="141">SUM(E178:K178)</f>
        <v>450534</v>
      </c>
      <c r="N178" s="664">
        <f>SUM(G178:L178)</f>
        <v>449756</v>
      </c>
      <c r="O178" s="3662"/>
      <c r="P178" s="2704"/>
      <c r="Q178" s="2704"/>
    </row>
    <row r="179" spans="1:17" s="226" customFormat="1" ht="15" hidden="1" customHeight="1">
      <c r="A179" s="4376"/>
      <c r="B179" s="2315" t="s">
        <v>260</v>
      </c>
      <c r="C179" s="4302"/>
      <c r="D179" s="239">
        <f>SUM(E179:L179)</f>
        <v>103623</v>
      </c>
      <c r="E179" s="2316">
        <v>0</v>
      </c>
      <c r="F179" s="2317">
        <v>0</v>
      </c>
      <c r="G179" s="632">
        <v>34150</v>
      </c>
      <c r="H179" s="632">
        <v>59209</v>
      </c>
      <c r="I179" s="632">
        <v>10264</v>
      </c>
      <c r="J179" s="2318">
        <v>0</v>
      </c>
      <c r="K179" s="2318">
        <v>0</v>
      </c>
      <c r="L179" s="2318">
        <v>0</v>
      </c>
      <c r="M179" s="63">
        <f t="shared" si="141"/>
        <v>103623</v>
      </c>
      <c r="N179" s="664">
        <f>SUM(G179:L179)</f>
        <v>103623</v>
      </c>
      <c r="O179" s="4313"/>
      <c r="P179" s="2704"/>
      <c r="Q179" s="2704"/>
    </row>
    <row r="180" spans="1:17" s="226" customFormat="1" ht="13.5" customHeight="1" thickBot="1">
      <c r="A180" s="4376"/>
      <c r="B180" s="80" t="s">
        <v>22</v>
      </c>
      <c r="C180" s="22"/>
      <c r="D180" s="193">
        <f>SUM(E180:L180)</f>
        <v>554157</v>
      </c>
      <c r="E180" s="193">
        <f t="shared" ref="E180:L180" si="142">+E181</f>
        <v>0</v>
      </c>
      <c r="F180" s="1314">
        <f t="shared" si="142"/>
        <v>0</v>
      </c>
      <c r="G180" s="193">
        <f t="shared" si="142"/>
        <v>69700</v>
      </c>
      <c r="H180" s="193">
        <f t="shared" si="142"/>
        <v>367384</v>
      </c>
      <c r="I180" s="193">
        <f t="shared" si="142"/>
        <v>117073</v>
      </c>
      <c r="J180" s="1314">
        <f t="shared" si="142"/>
        <v>0</v>
      </c>
      <c r="K180" s="1314">
        <f t="shared" si="142"/>
        <v>0</v>
      </c>
      <c r="L180" s="1314">
        <f t="shared" si="142"/>
        <v>0</v>
      </c>
      <c r="M180" s="3674"/>
      <c r="N180" s="3674"/>
      <c r="O180" s="4379" t="s">
        <v>193</v>
      </c>
      <c r="P180" s="2704"/>
      <c r="Q180" s="2704"/>
    </row>
    <row r="181" spans="1:17" s="226" customFormat="1" ht="15" customHeight="1" thickBot="1">
      <c r="A181" s="4376"/>
      <c r="B181" s="167" t="s">
        <v>18</v>
      </c>
      <c r="C181" s="4380" t="s">
        <v>169</v>
      </c>
      <c r="D181" s="47">
        <f>SUM(E181:L181)</f>
        <v>554157</v>
      </c>
      <c r="E181" s="47">
        <f t="shared" ref="E181:L181" si="143">SUM(E182)</f>
        <v>0</v>
      </c>
      <c r="F181" s="2309">
        <f t="shared" si="143"/>
        <v>0</v>
      </c>
      <c r="G181" s="47">
        <f t="shared" si="143"/>
        <v>69700</v>
      </c>
      <c r="H181" s="47">
        <f t="shared" si="143"/>
        <v>367384</v>
      </c>
      <c r="I181" s="47">
        <f t="shared" si="143"/>
        <v>117073</v>
      </c>
      <c r="J181" s="2309">
        <f t="shared" si="143"/>
        <v>0</v>
      </c>
      <c r="K181" s="2309">
        <f t="shared" si="143"/>
        <v>0</v>
      </c>
      <c r="L181" s="2309">
        <f t="shared" si="143"/>
        <v>0</v>
      </c>
      <c r="M181" s="3675"/>
      <c r="N181" s="3675"/>
      <c r="O181" s="3662"/>
      <c r="P181" s="2704"/>
      <c r="Q181" s="2704"/>
    </row>
    <row r="182" spans="1:17" s="226" customFormat="1" ht="13.5" thickBot="1">
      <c r="A182" s="4376"/>
      <c r="B182" s="3298" t="s">
        <v>21</v>
      </c>
      <c r="C182" s="3657"/>
      <c r="D182" s="239">
        <f>E182+F182+G182+H182+I182+J182+K182+L182</f>
        <v>554157</v>
      </c>
      <c r="E182" s="239">
        <v>0</v>
      </c>
      <c r="F182" s="1316">
        <v>0</v>
      </c>
      <c r="G182" s="70">
        <v>69700</v>
      </c>
      <c r="H182" s="70">
        <f>353818+13566</f>
        <v>367384</v>
      </c>
      <c r="I182" s="70">
        <v>117073</v>
      </c>
      <c r="J182" s="1316">
        <v>0</v>
      </c>
      <c r="K182" s="1316">
        <v>0</v>
      </c>
      <c r="L182" s="1316">
        <v>0</v>
      </c>
      <c r="M182" s="3676"/>
      <c r="N182" s="3676"/>
      <c r="O182" s="3663"/>
      <c r="P182" s="2704"/>
      <c r="Q182" s="2704"/>
    </row>
    <row r="183" spans="1:17" s="226" customFormat="1" ht="24" hidden="1" customHeight="1">
      <c r="A183" s="4375" t="s">
        <v>92</v>
      </c>
      <c r="B183" s="180" t="s">
        <v>372</v>
      </c>
      <c r="C183" s="1507" t="s">
        <v>81</v>
      </c>
      <c r="D183" s="667"/>
      <c r="E183" s="1404"/>
      <c r="F183" s="669"/>
      <c r="G183" s="669"/>
      <c r="H183" s="669"/>
      <c r="I183" s="668"/>
      <c r="J183" s="668"/>
      <c r="K183" s="668"/>
      <c r="L183" s="668"/>
      <c r="M183" s="670"/>
      <c r="N183" s="670"/>
      <c r="O183" s="3661" t="s">
        <v>193</v>
      </c>
      <c r="P183" s="2704" t="s">
        <v>370</v>
      </c>
      <c r="Q183" s="2704"/>
    </row>
    <row r="184" spans="1:17" s="226" customFormat="1" ht="13.5" hidden="1" thickBot="1">
      <c r="A184" s="4376"/>
      <c r="B184" s="1474" t="s">
        <v>10</v>
      </c>
      <c r="C184" s="1475"/>
      <c r="D184" s="1476">
        <f>SUM(E184:L184)</f>
        <v>0</v>
      </c>
      <c r="E184" s="2319">
        <f>SUM(E185,E187)</f>
        <v>0</v>
      </c>
      <c r="F184" s="1780">
        <f t="shared" ref="F184:L184" si="144">F185+F187</f>
        <v>0</v>
      </c>
      <c r="G184" s="2319">
        <f>SUM(G185,G187)</f>
        <v>0</v>
      </c>
      <c r="H184" s="1780">
        <f t="shared" si="144"/>
        <v>0</v>
      </c>
      <c r="I184" s="1780">
        <f t="shared" si="144"/>
        <v>0</v>
      </c>
      <c r="J184" s="1780">
        <f t="shared" si="144"/>
        <v>0</v>
      </c>
      <c r="K184" s="1780">
        <f t="shared" si="144"/>
        <v>0</v>
      </c>
      <c r="L184" s="1780">
        <f t="shared" si="144"/>
        <v>0</v>
      </c>
      <c r="M184" s="1477">
        <f>+M185+M187</f>
        <v>0</v>
      </c>
      <c r="N184" s="1477">
        <f>+N185+N187</f>
        <v>0</v>
      </c>
      <c r="O184" s="3662"/>
      <c r="P184" s="2704"/>
      <c r="Q184" s="2704"/>
    </row>
    <row r="185" spans="1:17" s="226" customFormat="1" ht="15" hidden="1" customHeight="1">
      <c r="A185" s="4376"/>
      <c r="B185" s="1478" t="s">
        <v>24</v>
      </c>
      <c r="C185" s="3655" t="s">
        <v>169</v>
      </c>
      <c r="D185" s="1479">
        <f>SUM(E185:L185)</f>
        <v>0</v>
      </c>
      <c r="E185" s="2320">
        <f t="shared" ref="E185:L185" si="145">E186</f>
        <v>0</v>
      </c>
      <c r="F185" s="2321">
        <f t="shared" si="145"/>
        <v>0</v>
      </c>
      <c r="G185" s="2320">
        <f t="shared" si="145"/>
        <v>0</v>
      </c>
      <c r="H185" s="2321">
        <f t="shared" si="145"/>
        <v>0</v>
      </c>
      <c r="I185" s="2321">
        <f t="shared" si="145"/>
        <v>0</v>
      </c>
      <c r="J185" s="2321">
        <f t="shared" si="145"/>
        <v>0</v>
      </c>
      <c r="K185" s="2321">
        <f t="shared" si="145"/>
        <v>0</v>
      </c>
      <c r="L185" s="2321">
        <f t="shared" si="145"/>
        <v>0</v>
      </c>
      <c r="M185" s="1480">
        <f>+M186</f>
        <v>0</v>
      </c>
      <c r="N185" s="1480">
        <f>+N186</f>
        <v>0</v>
      </c>
      <c r="O185" s="3662"/>
      <c r="P185" s="2704"/>
      <c r="Q185" s="2704"/>
    </row>
    <row r="186" spans="1:17" s="226" customFormat="1" ht="11.25" hidden="1" customHeight="1">
      <c r="A186" s="4376"/>
      <c r="B186" s="2705" t="s">
        <v>12</v>
      </c>
      <c r="C186" s="3649"/>
      <c r="D186" s="1406">
        <f>E186+F186+G186+H186+I186+J186+K186+L186</f>
        <v>0</v>
      </c>
      <c r="E186" s="1406">
        <v>0</v>
      </c>
      <c r="F186" s="2322">
        <v>0</v>
      </c>
      <c r="G186" s="2323">
        <f>2394-2394</f>
        <v>0</v>
      </c>
      <c r="H186" s="2322">
        <v>0</v>
      </c>
      <c r="I186" s="2322">
        <v>0</v>
      </c>
      <c r="J186" s="2322">
        <v>0</v>
      </c>
      <c r="K186" s="2322">
        <v>0</v>
      </c>
      <c r="L186" s="2322">
        <v>0</v>
      </c>
      <c r="M186" s="1799">
        <f>SUM(F186:K186)</f>
        <v>0</v>
      </c>
      <c r="N186" s="1799">
        <f>SUM(G186:L186)</f>
        <v>0</v>
      </c>
      <c r="O186" s="3662"/>
      <c r="P186" s="2704"/>
      <c r="Q186" s="2704"/>
    </row>
    <row r="187" spans="1:17" s="226" customFormat="1" ht="12.75" hidden="1" customHeight="1">
      <c r="A187" s="4376"/>
      <c r="B187" s="2809" t="s">
        <v>18</v>
      </c>
      <c r="C187" s="3649"/>
      <c r="D187" s="1479">
        <f>SUM(E187:L187)</f>
        <v>0</v>
      </c>
      <c r="E187" s="2320">
        <f>E188</f>
        <v>0</v>
      </c>
      <c r="F187" s="2321">
        <v>0</v>
      </c>
      <c r="G187" s="2320">
        <f>G188</f>
        <v>0</v>
      </c>
      <c r="H187" s="2321">
        <v>0</v>
      </c>
      <c r="I187" s="2321">
        <v>0</v>
      </c>
      <c r="J187" s="2321">
        <v>0</v>
      </c>
      <c r="K187" s="2321">
        <v>0</v>
      </c>
      <c r="L187" s="2321">
        <v>0</v>
      </c>
      <c r="M187" s="1480">
        <f>+M188</f>
        <v>0</v>
      </c>
      <c r="N187" s="1480">
        <f>+N188</f>
        <v>0</v>
      </c>
      <c r="O187" s="3662"/>
      <c r="P187" s="2704"/>
      <c r="Q187" s="2704"/>
    </row>
    <row r="188" spans="1:17" s="226" customFormat="1" ht="13.5" hidden="1" thickBot="1">
      <c r="A188" s="4376"/>
      <c r="B188" s="3094" t="s">
        <v>21</v>
      </c>
      <c r="C188" s="3650"/>
      <c r="D188" s="1406">
        <f>E188+F188+G188+H188+I188+J188+K188+L188</f>
        <v>0</v>
      </c>
      <c r="E188" s="1406">
        <v>0</v>
      </c>
      <c r="F188" s="2322">
        <v>0</v>
      </c>
      <c r="G188" s="2323">
        <f>13566-13566</f>
        <v>0</v>
      </c>
      <c r="H188" s="2322">
        <v>0</v>
      </c>
      <c r="I188" s="2322">
        <v>0</v>
      </c>
      <c r="J188" s="2322">
        <v>0</v>
      </c>
      <c r="K188" s="2322">
        <v>0</v>
      </c>
      <c r="L188" s="2322">
        <v>0</v>
      </c>
      <c r="M188" s="1799">
        <f>SUM(F188:K188)</f>
        <v>0</v>
      </c>
      <c r="N188" s="1799">
        <f>SUM(G188:L188)</f>
        <v>0</v>
      </c>
      <c r="O188" s="4313"/>
      <c r="P188" s="2704"/>
      <c r="Q188" s="2704"/>
    </row>
    <row r="189" spans="1:17" s="226" customFormat="1" ht="13.5" hidden="1" thickBot="1">
      <c r="A189" s="4376"/>
      <c r="B189" s="581" t="s">
        <v>22</v>
      </c>
      <c r="C189" s="1475"/>
      <c r="D189" s="1476">
        <f>SUM(E189:L189)</f>
        <v>0</v>
      </c>
      <c r="E189" s="2319">
        <f t="shared" ref="E189:L190" si="146">E190</f>
        <v>0</v>
      </c>
      <c r="F189" s="1780">
        <f t="shared" si="146"/>
        <v>0</v>
      </c>
      <c r="G189" s="2319">
        <f t="shared" si="146"/>
        <v>0</v>
      </c>
      <c r="H189" s="1780">
        <f t="shared" si="146"/>
        <v>0</v>
      </c>
      <c r="I189" s="1780">
        <f t="shared" si="146"/>
        <v>0</v>
      </c>
      <c r="J189" s="1780">
        <f t="shared" si="146"/>
        <v>0</v>
      </c>
      <c r="K189" s="1780">
        <f t="shared" si="146"/>
        <v>0</v>
      </c>
      <c r="L189" s="1780">
        <f t="shared" si="146"/>
        <v>0</v>
      </c>
      <c r="M189" s="3677"/>
      <c r="N189" s="3677"/>
      <c r="O189" s="3662" t="s">
        <v>193</v>
      </c>
      <c r="P189" s="2704"/>
      <c r="Q189" s="2704"/>
    </row>
    <row r="190" spans="1:17" s="226" customFormat="1" ht="12.75" hidden="1" customHeight="1">
      <c r="A190" s="4376"/>
      <c r="B190" s="555" t="s">
        <v>18</v>
      </c>
      <c r="C190" s="3749" t="s">
        <v>169</v>
      </c>
      <c r="D190" s="1479">
        <f>SUM(E190:L190)</f>
        <v>0</v>
      </c>
      <c r="E190" s="2324">
        <f t="shared" si="146"/>
        <v>0</v>
      </c>
      <c r="F190" s="1537">
        <f t="shared" si="146"/>
        <v>0</v>
      </c>
      <c r="G190" s="2324">
        <f t="shared" si="146"/>
        <v>0</v>
      </c>
      <c r="H190" s="1537">
        <f t="shared" si="146"/>
        <v>0</v>
      </c>
      <c r="I190" s="1537">
        <f t="shared" si="146"/>
        <v>0</v>
      </c>
      <c r="J190" s="1537">
        <f t="shared" si="146"/>
        <v>0</v>
      </c>
      <c r="K190" s="1537">
        <f t="shared" si="146"/>
        <v>0</v>
      </c>
      <c r="L190" s="1537">
        <f t="shared" si="146"/>
        <v>0</v>
      </c>
      <c r="M190" s="3675"/>
      <c r="N190" s="3675"/>
      <c r="O190" s="3662"/>
      <c r="P190" s="2704"/>
      <c r="Q190" s="2704"/>
    </row>
    <row r="191" spans="1:17" s="226" customFormat="1" ht="12" hidden="1" customHeight="1" thickBot="1">
      <c r="A191" s="4376"/>
      <c r="B191" s="3298" t="s">
        <v>21</v>
      </c>
      <c r="C191" s="3657"/>
      <c r="D191" s="1578">
        <f>E191+F191+G191+H191+I191+J191+K191+L191</f>
        <v>0</v>
      </c>
      <c r="E191" s="1578">
        <v>0</v>
      </c>
      <c r="F191" s="2325">
        <v>0</v>
      </c>
      <c r="G191" s="2326">
        <f>13566-13566</f>
        <v>0</v>
      </c>
      <c r="H191" s="2325">
        <v>0</v>
      </c>
      <c r="I191" s="2325">
        <v>0</v>
      </c>
      <c r="J191" s="2325">
        <v>0</v>
      </c>
      <c r="K191" s="2325">
        <v>0</v>
      </c>
      <c r="L191" s="2325">
        <v>0</v>
      </c>
      <c r="M191" s="3676"/>
      <c r="N191" s="3676"/>
      <c r="O191" s="3663"/>
      <c r="P191" s="2704"/>
      <c r="Q191" s="2704"/>
    </row>
    <row r="192" spans="1:17" s="226" customFormat="1" ht="40.5" customHeight="1" thickBot="1">
      <c r="A192" s="4375" t="s">
        <v>93</v>
      </c>
      <c r="B192" s="180" t="s">
        <v>508</v>
      </c>
      <c r="C192" s="1507" t="s">
        <v>109</v>
      </c>
      <c r="D192" s="668"/>
      <c r="E192" s="3187"/>
      <c r="F192" s="3181"/>
      <c r="G192" s="3181"/>
      <c r="H192" s="3181"/>
      <c r="I192" s="2303"/>
      <c r="J192" s="2303"/>
      <c r="K192" s="2303"/>
      <c r="L192" s="3182"/>
      <c r="M192" s="670"/>
      <c r="N192" s="670"/>
      <c r="O192" s="3661" t="s">
        <v>322</v>
      </c>
      <c r="P192" s="2704"/>
      <c r="Q192" s="2704"/>
    </row>
    <row r="193" spans="1:17" s="226" customFormat="1" ht="15" customHeight="1" thickBot="1">
      <c r="A193" s="4376"/>
      <c r="B193" s="1474" t="s">
        <v>10</v>
      </c>
      <c r="C193" s="1475"/>
      <c r="D193" s="1476">
        <f>+D194+D198</f>
        <v>1276500</v>
      </c>
      <c r="E193" s="1476">
        <f t="shared" ref="E193" si="147">+E194+E198</f>
        <v>0</v>
      </c>
      <c r="F193" s="1476">
        <f>+F194+F198</f>
        <v>25422</v>
      </c>
      <c r="G193" s="1476">
        <f>+G194+G198</f>
        <v>545621</v>
      </c>
      <c r="H193" s="1476">
        <f t="shared" ref="H193:L193" si="148">+H194+H198</f>
        <v>671780</v>
      </c>
      <c r="I193" s="1476">
        <f t="shared" si="148"/>
        <v>33677</v>
      </c>
      <c r="J193" s="1486">
        <f t="shared" si="148"/>
        <v>0</v>
      </c>
      <c r="K193" s="1486">
        <f t="shared" si="148"/>
        <v>0</v>
      </c>
      <c r="L193" s="1486">
        <f t="shared" si="148"/>
        <v>0</v>
      </c>
      <c r="M193" s="1477">
        <f>+M194+M198</f>
        <v>1276500</v>
      </c>
      <c r="N193" s="1477">
        <f>+N194+N198</f>
        <v>1251078</v>
      </c>
      <c r="O193" s="3662"/>
      <c r="P193" s="2704"/>
      <c r="Q193" s="2704"/>
    </row>
    <row r="194" spans="1:17" s="226" customFormat="1" ht="15" customHeight="1" thickBot="1">
      <c r="A194" s="4376"/>
      <c r="B194" s="1478" t="s">
        <v>24</v>
      </c>
      <c r="C194" s="3655" t="s">
        <v>364</v>
      </c>
      <c r="D194" s="1479">
        <f>SUM(D195)</f>
        <v>191898</v>
      </c>
      <c r="E194" s="1479">
        <f t="shared" ref="E194:L194" si="149">SUM(E195)</f>
        <v>0</v>
      </c>
      <c r="F194" s="1479">
        <f t="shared" si="149"/>
        <v>3813</v>
      </c>
      <c r="G194" s="1479">
        <f t="shared" si="149"/>
        <v>82013</v>
      </c>
      <c r="H194" s="1479">
        <f t="shared" si="149"/>
        <v>100937</v>
      </c>
      <c r="I194" s="1479">
        <f t="shared" si="149"/>
        <v>5135</v>
      </c>
      <c r="J194" s="1487">
        <f t="shared" si="149"/>
        <v>0</v>
      </c>
      <c r="K194" s="1487">
        <f t="shared" si="149"/>
        <v>0</v>
      </c>
      <c r="L194" s="1487">
        <f t="shared" si="149"/>
        <v>0</v>
      </c>
      <c r="M194" s="296">
        <f>+M195</f>
        <v>191898</v>
      </c>
      <c r="N194" s="296">
        <f>+N195</f>
        <v>188085</v>
      </c>
      <c r="O194" s="3662"/>
      <c r="P194" s="2704"/>
      <c r="Q194" s="2704"/>
    </row>
    <row r="195" spans="1:17" s="226" customFormat="1" ht="12" customHeight="1" thickBot="1">
      <c r="A195" s="4376"/>
      <c r="B195" s="1481" t="s">
        <v>12</v>
      </c>
      <c r="C195" s="3649"/>
      <c r="D195" s="1406">
        <f>E195+F195+G195+H195+I195+J195+K195+L195</f>
        <v>191898</v>
      </c>
      <c r="E195" s="1406">
        <v>0</v>
      </c>
      <c r="F195" s="1406">
        <f t="shared" ref="F195:L195" si="150">SUM(F196:F197)</f>
        <v>3813</v>
      </c>
      <c r="G195" s="1406">
        <f t="shared" si="150"/>
        <v>82013</v>
      </c>
      <c r="H195" s="1406">
        <f t="shared" si="150"/>
        <v>100937</v>
      </c>
      <c r="I195" s="1406">
        <f t="shared" si="150"/>
        <v>5135</v>
      </c>
      <c r="J195" s="2327">
        <f t="shared" si="150"/>
        <v>0</v>
      </c>
      <c r="K195" s="2327">
        <f t="shared" si="150"/>
        <v>0</v>
      </c>
      <c r="L195" s="2327">
        <f t="shared" si="150"/>
        <v>0</v>
      </c>
      <c r="M195" s="664">
        <f>+M196+M197</f>
        <v>191898</v>
      </c>
      <c r="N195" s="664">
        <f>+N196+N197</f>
        <v>188085</v>
      </c>
      <c r="O195" s="3662"/>
      <c r="P195" s="2704"/>
      <c r="Q195" s="2704"/>
    </row>
    <row r="196" spans="1:17" s="226" customFormat="1" ht="15" hidden="1" customHeight="1">
      <c r="A196" s="4376"/>
      <c r="B196" s="2328" t="s">
        <v>365</v>
      </c>
      <c r="C196" s="3649"/>
      <c r="D196" s="2329">
        <f>SUM(E196:L196)</f>
        <v>156108</v>
      </c>
      <c r="E196" s="2330">
        <v>0</v>
      </c>
      <c r="F196" s="1571">
        <f>3150-50</f>
        <v>3100</v>
      </c>
      <c r="G196" s="1571">
        <f>66665+50</f>
        <v>66715</v>
      </c>
      <c r="H196" s="1571">
        <v>82100</v>
      </c>
      <c r="I196" s="1571">
        <v>4193</v>
      </c>
      <c r="J196" s="2331">
        <v>0</v>
      </c>
      <c r="K196" s="2331">
        <v>0</v>
      </c>
      <c r="L196" s="2331">
        <v>0</v>
      </c>
      <c r="M196" s="664">
        <f>SUM(F196:K196)</f>
        <v>156108</v>
      </c>
      <c r="N196" s="664">
        <f>SUM(G196:L196)</f>
        <v>153008</v>
      </c>
      <c r="O196" s="3662"/>
      <c r="P196" s="2704"/>
      <c r="Q196" s="2704"/>
    </row>
    <row r="197" spans="1:17" s="226" customFormat="1" ht="15" hidden="1" customHeight="1">
      <c r="A197" s="4376"/>
      <c r="B197" s="2328" t="s">
        <v>260</v>
      </c>
      <c r="C197" s="3649"/>
      <c r="D197" s="2329">
        <f>SUM(E197:L197)</f>
        <v>35790</v>
      </c>
      <c r="E197" s="2330">
        <v>0</v>
      </c>
      <c r="F197" s="1571">
        <f>724-11</f>
        <v>713</v>
      </c>
      <c r="G197" s="1571">
        <f>15287+11</f>
        <v>15298</v>
      </c>
      <c r="H197" s="1571">
        <v>18837</v>
      </c>
      <c r="I197" s="1571">
        <v>942</v>
      </c>
      <c r="J197" s="2331">
        <v>0</v>
      </c>
      <c r="K197" s="2331">
        <v>0</v>
      </c>
      <c r="L197" s="2331">
        <v>0</v>
      </c>
      <c r="M197" s="664">
        <f>SUM(F197:K197)</f>
        <v>35790</v>
      </c>
      <c r="N197" s="664">
        <f>SUM(G197:L197)</f>
        <v>35077</v>
      </c>
      <c r="O197" s="3662"/>
      <c r="P197" s="2704"/>
      <c r="Q197" s="2704"/>
    </row>
    <row r="198" spans="1:17" s="226" customFormat="1" ht="15" customHeight="1" thickBot="1">
      <c r="A198" s="4376"/>
      <c r="B198" s="1483" t="s">
        <v>18</v>
      </c>
      <c r="C198" s="3649"/>
      <c r="D198" s="1479">
        <f>SUM(E198:L198)</f>
        <v>1084602</v>
      </c>
      <c r="E198" s="1479">
        <f t="shared" ref="E198:L198" si="151">SUM(E199)</f>
        <v>0</v>
      </c>
      <c r="F198" s="1479">
        <f t="shared" si="151"/>
        <v>21609</v>
      </c>
      <c r="G198" s="1479">
        <f t="shared" si="151"/>
        <v>463608</v>
      </c>
      <c r="H198" s="1479">
        <f t="shared" si="151"/>
        <v>570843</v>
      </c>
      <c r="I198" s="1479">
        <f t="shared" si="151"/>
        <v>28542</v>
      </c>
      <c r="J198" s="1487">
        <f t="shared" si="151"/>
        <v>0</v>
      </c>
      <c r="K198" s="1487">
        <f t="shared" si="151"/>
        <v>0</v>
      </c>
      <c r="L198" s="1487">
        <f t="shared" si="151"/>
        <v>0</v>
      </c>
      <c r="M198" s="296">
        <f>+M199</f>
        <v>1084602</v>
      </c>
      <c r="N198" s="296">
        <f>+N199</f>
        <v>1062993</v>
      </c>
      <c r="O198" s="3662"/>
      <c r="P198" s="2704"/>
      <c r="Q198" s="2704"/>
    </row>
    <row r="199" spans="1:17" s="226" customFormat="1" ht="15" customHeight="1" thickBot="1">
      <c r="A199" s="4376"/>
      <c r="B199" s="3094" t="s">
        <v>21</v>
      </c>
      <c r="C199" s="3649"/>
      <c r="D199" s="1406">
        <f>E199+F199+G199+H199+I199+J199+K199+L199</f>
        <v>1084602</v>
      </c>
      <c r="E199" s="1406">
        <v>0</v>
      </c>
      <c r="F199" s="2332">
        <f t="shared" ref="F199:L199" si="152">SUM(F200:F201)</f>
        <v>21609</v>
      </c>
      <c r="G199" s="2332">
        <f t="shared" si="152"/>
        <v>463608</v>
      </c>
      <c r="H199" s="2332">
        <f t="shared" si="152"/>
        <v>570843</v>
      </c>
      <c r="I199" s="2332">
        <f t="shared" si="152"/>
        <v>28542</v>
      </c>
      <c r="J199" s="2333">
        <f t="shared" si="152"/>
        <v>0</v>
      </c>
      <c r="K199" s="2333">
        <f t="shared" si="152"/>
        <v>0</v>
      </c>
      <c r="L199" s="2334">
        <f t="shared" si="152"/>
        <v>0</v>
      </c>
      <c r="M199" s="664">
        <f>+M200+M201</f>
        <v>1084602</v>
      </c>
      <c r="N199" s="664">
        <f>+N200+N201</f>
        <v>1062993</v>
      </c>
      <c r="O199" s="3662"/>
      <c r="P199" s="2704"/>
      <c r="Q199" s="2704"/>
    </row>
    <row r="200" spans="1:17" s="226" customFormat="1" ht="15" hidden="1" customHeight="1">
      <c r="A200" s="4392"/>
      <c r="B200" s="2312" t="s">
        <v>365</v>
      </c>
      <c r="C200" s="4301"/>
      <c r="D200" s="1570">
        <f>SUM(E200:L200)</f>
        <v>881790</v>
      </c>
      <c r="E200" s="2335">
        <v>0</v>
      </c>
      <c r="F200" s="2336">
        <f>17850-282</f>
        <v>17568</v>
      </c>
      <c r="G200" s="2336">
        <f>376635+282</f>
        <v>376917</v>
      </c>
      <c r="H200" s="2336">
        <v>464100</v>
      </c>
      <c r="I200" s="2336">
        <v>23205</v>
      </c>
      <c r="J200" s="2337">
        <v>0</v>
      </c>
      <c r="K200" s="2338">
        <v>0</v>
      </c>
      <c r="L200" s="2338">
        <v>0</v>
      </c>
      <c r="M200" s="664">
        <f>SUM(F200:K200)</f>
        <v>881790</v>
      </c>
      <c r="N200" s="2052">
        <f>SUM(G200:L200)</f>
        <v>864222</v>
      </c>
      <c r="O200" s="3663"/>
      <c r="P200" s="2704"/>
      <c r="Q200" s="2704"/>
    </row>
    <row r="201" spans="1:17" s="226" customFormat="1" ht="15" hidden="1" customHeight="1">
      <c r="A201" s="4392"/>
      <c r="B201" s="2315" t="s">
        <v>260</v>
      </c>
      <c r="C201" s="4301"/>
      <c r="D201" s="2329">
        <f>SUM(E201:L201)</f>
        <v>202812</v>
      </c>
      <c r="E201" s="2339">
        <v>0</v>
      </c>
      <c r="F201" s="2029">
        <f>4106-65</f>
        <v>4041</v>
      </c>
      <c r="G201" s="2029">
        <f>86626+65</f>
        <v>86691</v>
      </c>
      <c r="H201" s="2029">
        <v>106743</v>
      </c>
      <c r="I201" s="2029">
        <v>5337</v>
      </c>
      <c r="J201" s="2337">
        <v>0</v>
      </c>
      <c r="K201" s="2338">
        <v>0</v>
      </c>
      <c r="L201" s="2338">
        <v>0</v>
      </c>
      <c r="M201" s="664">
        <f>SUM(F201:K201)</f>
        <v>202812</v>
      </c>
      <c r="N201" s="2725">
        <f>SUM(G201:L201)</f>
        <v>198771</v>
      </c>
      <c r="O201" s="4367"/>
      <c r="P201" s="2704"/>
      <c r="Q201" s="2704"/>
    </row>
    <row r="202" spans="1:17" s="226" customFormat="1" ht="15" customHeight="1" thickBot="1">
      <c r="A202" s="4376"/>
      <c r="B202" s="80" t="s">
        <v>22</v>
      </c>
      <c r="C202" s="2951"/>
      <c r="D202" s="1476">
        <f>SUM(E202:L202)</f>
        <v>1084602</v>
      </c>
      <c r="E202" s="1476">
        <f t="shared" ref="E202:L202" si="153">+E203</f>
        <v>0</v>
      </c>
      <c r="F202" s="1486">
        <f t="shared" si="153"/>
        <v>0</v>
      </c>
      <c r="G202" s="1476">
        <f t="shared" si="153"/>
        <v>253586</v>
      </c>
      <c r="H202" s="1476">
        <f t="shared" si="153"/>
        <v>517052</v>
      </c>
      <c r="I202" s="1476">
        <f t="shared" si="153"/>
        <v>313964</v>
      </c>
      <c r="J202" s="1486">
        <f t="shared" si="153"/>
        <v>0</v>
      </c>
      <c r="K202" s="1486">
        <f t="shared" si="153"/>
        <v>0</v>
      </c>
      <c r="L202" s="1486">
        <f t="shared" si="153"/>
        <v>0</v>
      </c>
      <c r="M202" s="3677"/>
      <c r="N202" s="3679"/>
      <c r="O202" s="4367" t="s">
        <v>193</v>
      </c>
      <c r="P202" s="2704"/>
      <c r="Q202" s="2704"/>
    </row>
    <row r="203" spans="1:17" s="226" customFormat="1" ht="15" customHeight="1" thickBot="1">
      <c r="A203" s="4376"/>
      <c r="B203" s="555" t="s">
        <v>18</v>
      </c>
      <c r="C203" s="4358" t="s">
        <v>169</v>
      </c>
      <c r="D203" s="1479">
        <f>SUM(E203:L203)</f>
        <v>1084602</v>
      </c>
      <c r="E203" s="1479">
        <f t="shared" ref="E203:L203" si="154">SUM(E204)</f>
        <v>0</v>
      </c>
      <c r="F203" s="1487">
        <f t="shared" si="154"/>
        <v>0</v>
      </c>
      <c r="G203" s="1479">
        <f t="shared" si="154"/>
        <v>253586</v>
      </c>
      <c r="H203" s="1479">
        <f t="shared" si="154"/>
        <v>517052</v>
      </c>
      <c r="I203" s="1479">
        <f t="shared" si="154"/>
        <v>313964</v>
      </c>
      <c r="J203" s="1487">
        <f t="shared" si="154"/>
        <v>0</v>
      </c>
      <c r="K203" s="1487">
        <f t="shared" si="154"/>
        <v>0</v>
      </c>
      <c r="L203" s="1487">
        <f t="shared" si="154"/>
        <v>0</v>
      </c>
      <c r="M203" s="3675"/>
      <c r="N203" s="3679"/>
      <c r="O203" s="4367"/>
      <c r="P203" s="2704"/>
      <c r="Q203" s="2704"/>
    </row>
    <row r="204" spans="1:17" s="226" customFormat="1" ht="15" customHeight="1" thickBot="1">
      <c r="A204" s="4376"/>
      <c r="B204" s="3298" t="s">
        <v>21</v>
      </c>
      <c r="C204" s="3821"/>
      <c r="D204" s="2283">
        <f>E204+F204+G204+H204+I204+J204+K204+L204</f>
        <v>1084602</v>
      </c>
      <c r="E204" s="2283">
        <v>0</v>
      </c>
      <c r="F204" s="1953">
        <v>0</v>
      </c>
      <c r="G204" s="1786">
        <v>253586</v>
      </c>
      <c r="H204" s="1786">
        <v>517052</v>
      </c>
      <c r="I204" s="1786">
        <v>313964</v>
      </c>
      <c r="J204" s="1953">
        <v>0</v>
      </c>
      <c r="K204" s="1953">
        <v>0</v>
      </c>
      <c r="L204" s="1953">
        <v>0</v>
      </c>
      <c r="M204" s="3676"/>
      <c r="N204" s="3679"/>
      <c r="O204" s="4367"/>
      <c r="P204" s="2704"/>
      <c r="Q204" s="2704"/>
    </row>
    <row r="205" spans="1:17" s="226" customFormat="1" ht="27.75" customHeight="1" thickBot="1">
      <c r="A205" s="4375" t="s">
        <v>94</v>
      </c>
      <c r="B205" s="180" t="s">
        <v>506</v>
      </c>
      <c r="C205" s="1507" t="s">
        <v>170</v>
      </c>
      <c r="D205" s="668"/>
      <c r="E205" s="3187"/>
      <c r="F205" s="3181"/>
      <c r="G205" s="3181"/>
      <c r="H205" s="3181"/>
      <c r="I205" s="2303"/>
      <c r="J205" s="2303"/>
      <c r="K205" s="2303"/>
      <c r="L205" s="3182"/>
      <c r="M205" s="670"/>
      <c r="N205" s="670"/>
      <c r="O205" s="4367" t="s">
        <v>314</v>
      </c>
      <c r="P205" s="2704"/>
      <c r="Q205" s="2704"/>
    </row>
    <row r="206" spans="1:17" s="226" customFormat="1" ht="15" customHeight="1" thickBot="1">
      <c r="A206" s="4376"/>
      <c r="B206" s="28" t="s">
        <v>10</v>
      </c>
      <c r="C206" s="22"/>
      <c r="D206" s="193">
        <f>D207+D209</f>
        <v>225600</v>
      </c>
      <c r="E206" s="766">
        <f t="shared" ref="E206" si="155">E207+E209</f>
        <v>0</v>
      </c>
      <c r="F206" s="766">
        <f t="shared" ref="F206" si="156">+F209</f>
        <v>0</v>
      </c>
      <c r="G206" s="193">
        <f>G207+G211</f>
        <v>1000</v>
      </c>
      <c r="H206" s="193">
        <f t="shared" ref="H206:L206" si="157">H207+H211</f>
        <v>1000</v>
      </c>
      <c r="I206" s="193">
        <f>I207+I209</f>
        <v>223600</v>
      </c>
      <c r="J206" s="766">
        <f>J207+J209</f>
        <v>0</v>
      </c>
      <c r="K206" s="766">
        <f t="shared" si="157"/>
        <v>0</v>
      </c>
      <c r="L206" s="766">
        <f t="shared" si="157"/>
        <v>0</v>
      </c>
      <c r="M206" s="63">
        <f>+M209+M207</f>
        <v>225600</v>
      </c>
      <c r="N206" s="63">
        <f>+N209+N207</f>
        <v>225600</v>
      </c>
      <c r="O206" s="4367"/>
      <c r="P206" s="2704" t="s">
        <v>355</v>
      </c>
      <c r="Q206" s="2704"/>
    </row>
    <row r="207" spans="1:17" s="226" customFormat="1" ht="15" customHeight="1" thickBot="1">
      <c r="A207" s="4376"/>
      <c r="B207" s="675" t="s">
        <v>24</v>
      </c>
      <c r="C207" s="4377" t="s">
        <v>188</v>
      </c>
      <c r="D207" s="298">
        <f>D208</f>
        <v>36390</v>
      </c>
      <c r="E207" s="1211">
        <f t="shared" ref="E207:F207" si="158">E208</f>
        <v>0</v>
      </c>
      <c r="F207" s="1211">
        <f t="shared" si="158"/>
        <v>0</v>
      </c>
      <c r="G207" s="300">
        <f>G208</f>
        <v>1000</v>
      </c>
      <c r="H207" s="300">
        <f>H208</f>
        <v>1000</v>
      </c>
      <c r="I207" s="300">
        <f t="shared" ref="I207:L207" si="159">I208</f>
        <v>34390</v>
      </c>
      <c r="J207" s="276">
        <f t="shared" si="159"/>
        <v>0</v>
      </c>
      <c r="K207" s="276">
        <f t="shared" si="159"/>
        <v>0</v>
      </c>
      <c r="L207" s="276">
        <f t="shared" si="159"/>
        <v>0</v>
      </c>
      <c r="M207" s="296">
        <f>M208</f>
        <v>36390</v>
      </c>
      <c r="N207" s="296">
        <f>N208</f>
        <v>36390</v>
      </c>
      <c r="O207" s="4367"/>
      <c r="P207" s="2704"/>
      <c r="Q207" s="2704"/>
    </row>
    <row r="208" spans="1:17" s="226" customFormat="1" ht="15" customHeight="1" thickBot="1">
      <c r="A208" s="4376"/>
      <c r="B208" s="676" t="s">
        <v>12</v>
      </c>
      <c r="C208" s="3649"/>
      <c r="D208" s="239">
        <f>E208+F208+G208+H208+I208+J208+K208+L208</f>
        <v>36390</v>
      </c>
      <c r="E208" s="1212">
        <v>0</v>
      </c>
      <c r="F208" s="1212">
        <v>0</v>
      </c>
      <c r="G208" s="297">
        <v>1000</v>
      </c>
      <c r="H208" s="297">
        <v>1000</v>
      </c>
      <c r="I208" s="297">
        <v>34390</v>
      </c>
      <c r="J208" s="276">
        <v>0</v>
      </c>
      <c r="K208" s="1212">
        <v>0</v>
      </c>
      <c r="L208" s="1212">
        <v>0</v>
      </c>
      <c r="M208" s="664">
        <f>SUM(F208:K208)</f>
        <v>36390</v>
      </c>
      <c r="N208" s="664">
        <f>SUM(G208:L208)</f>
        <v>36390</v>
      </c>
      <c r="O208" s="4367"/>
      <c r="P208" s="2704"/>
      <c r="Q208" s="2704"/>
    </row>
    <row r="209" spans="1:17" s="226" customFormat="1" ht="15" customHeight="1" thickBot="1">
      <c r="A209" s="4376"/>
      <c r="B209" s="559" t="s">
        <v>18</v>
      </c>
      <c r="C209" s="3649"/>
      <c r="D209" s="47">
        <f>D210</f>
        <v>189210</v>
      </c>
      <c r="E209" s="1211">
        <f t="shared" ref="E209:N209" si="160">+E210</f>
        <v>0</v>
      </c>
      <c r="F209" s="1213">
        <v>0</v>
      </c>
      <c r="G209" s="1926">
        <f>G210</f>
        <v>0</v>
      </c>
      <c r="H209" s="1926">
        <v>0</v>
      </c>
      <c r="I209" s="97">
        <f>I210</f>
        <v>189210</v>
      </c>
      <c r="J209" s="276">
        <v>0</v>
      </c>
      <c r="K209" s="276">
        <v>0</v>
      </c>
      <c r="L209" s="276">
        <v>0</v>
      </c>
      <c r="M209" s="77">
        <f t="shared" si="160"/>
        <v>189210</v>
      </c>
      <c r="N209" s="77">
        <f t="shared" si="160"/>
        <v>189210</v>
      </c>
      <c r="O209" s="4367"/>
      <c r="P209" s="2704"/>
      <c r="Q209" s="2704"/>
    </row>
    <row r="210" spans="1:17" s="226" customFormat="1" ht="15" customHeight="1" thickBot="1">
      <c r="A210" s="4376"/>
      <c r="B210" s="3094" t="s">
        <v>21</v>
      </c>
      <c r="C210" s="3650"/>
      <c r="D210" s="239">
        <f>E210+F210+G210+H210+I210+J210+K210+L210</f>
        <v>189210</v>
      </c>
      <c r="E210" s="1212">
        <v>0</v>
      </c>
      <c r="F210" s="1214">
        <v>0</v>
      </c>
      <c r="G210" s="1927">
        <v>0</v>
      </c>
      <c r="H210" s="1927">
        <v>0</v>
      </c>
      <c r="I210" s="49">
        <v>189210</v>
      </c>
      <c r="J210" s="1212">
        <v>0</v>
      </c>
      <c r="K210" s="1212">
        <v>0</v>
      </c>
      <c r="L210" s="1212">
        <v>0</v>
      </c>
      <c r="M210" s="664">
        <f>SUM(F210:K210)</f>
        <v>189210</v>
      </c>
      <c r="N210" s="664">
        <f>SUM(G210:L210)</f>
        <v>189210</v>
      </c>
      <c r="O210" s="4367"/>
      <c r="P210" s="2704"/>
      <c r="Q210" s="2704"/>
    </row>
    <row r="211" spans="1:17" s="226" customFormat="1" ht="15" customHeight="1" thickBot="1">
      <c r="A211" s="4376"/>
      <c r="B211" s="21" t="s">
        <v>22</v>
      </c>
      <c r="C211" s="22"/>
      <c r="D211" s="193">
        <f t="shared" ref="D211:L212" si="161">D212</f>
        <v>189210</v>
      </c>
      <c r="E211" s="766">
        <f t="shared" ref="E211" si="162">+E214</f>
        <v>0</v>
      </c>
      <c r="F211" s="766">
        <f t="shared" si="161"/>
        <v>0</v>
      </c>
      <c r="G211" s="1314">
        <f t="shared" si="161"/>
        <v>0</v>
      </c>
      <c r="H211" s="1314">
        <f t="shared" si="161"/>
        <v>0</v>
      </c>
      <c r="I211" s="1314">
        <f t="shared" si="161"/>
        <v>0</v>
      </c>
      <c r="J211" s="193">
        <f t="shared" si="161"/>
        <v>189210</v>
      </c>
      <c r="K211" s="766">
        <f t="shared" si="161"/>
        <v>0</v>
      </c>
      <c r="L211" s="766">
        <f t="shared" si="161"/>
        <v>0</v>
      </c>
      <c r="M211" s="3674" t="s">
        <v>61</v>
      </c>
      <c r="N211" s="3678" t="s">
        <v>61</v>
      </c>
      <c r="O211" s="4367" t="s">
        <v>193</v>
      </c>
      <c r="P211" s="2704"/>
      <c r="Q211" s="2704"/>
    </row>
    <row r="212" spans="1:17" s="226" customFormat="1" ht="15" customHeight="1" thickBot="1">
      <c r="A212" s="4376"/>
      <c r="B212" s="167" t="s">
        <v>18</v>
      </c>
      <c r="C212" s="4378" t="s">
        <v>188</v>
      </c>
      <c r="D212" s="48">
        <f t="shared" si="161"/>
        <v>189210</v>
      </c>
      <c r="E212" s="1211">
        <f t="shared" si="161"/>
        <v>0</v>
      </c>
      <c r="F212" s="276">
        <f t="shared" si="161"/>
        <v>0</v>
      </c>
      <c r="G212" s="1928">
        <f t="shared" si="161"/>
        <v>0</v>
      </c>
      <c r="H212" s="1928">
        <f t="shared" si="161"/>
        <v>0</v>
      </c>
      <c r="I212" s="1928">
        <f t="shared" si="161"/>
        <v>0</v>
      </c>
      <c r="J212" s="48">
        <f t="shared" si="161"/>
        <v>189210</v>
      </c>
      <c r="K212" s="276">
        <f t="shared" si="161"/>
        <v>0</v>
      </c>
      <c r="L212" s="276">
        <f t="shared" si="161"/>
        <v>0</v>
      </c>
      <c r="M212" s="3675"/>
      <c r="N212" s="3679"/>
      <c r="O212" s="4367"/>
      <c r="P212" s="2704"/>
      <c r="Q212" s="2704"/>
    </row>
    <row r="213" spans="1:17" s="226" customFormat="1" ht="15" customHeight="1" thickBot="1">
      <c r="A213" s="4376"/>
      <c r="B213" s="3298" t="s">
        <v>21</v>
      </c>
      <c r="C213" s="3821"/>
      <c r="D213" s="1766">
        <f>E213+F213+G213+H213+I213+J213+K213+L213</f>
        <v>189210</v>
      </c>
      <c r="E213" s="2735">
        <v>0</v>
      </c>
      <c r="F213" s="1787">
        <v>0</v>
      </c>
      <c r="G213" s="1953">
        <v>0</v>
      </c>
      <c r="H213" s="1953">
        <v>0</v>
      </c>
      <c r="I213" s="1953">
        <v>0</v>
      </c>
      <c r="J213" s="1786">
        <v>189210</v>
      </c>
      <c r="K213" s="2735">
        <v>0</v>
      </c>
      <c r="L213" s="2735">
        <v>0</v>
      </c>
      <c r="M213" s="3676"/>
      <c r="N213" s="3679"/>
      <c r="O213" s="4367"/>
      <c r="P213" s="2704"/>
      <c r="Q213" s="2704"/>
    </row>
    <row r="214" spans="1:17" s="226" customFormat="1" ht="29.25" customHeight="1" thickBot="1">
      <c r="A214" s="4375" t="s">
        <v>95</v>
      </c>
      <c r="B214" s="180" t="s">
        <v>505</v>
      </c>
      <c r="C214" s="2302" t="s">
        <v>81</v>
      </c>
      <c r="D214" s="668"/>
      <c r="E214" s="3187"/>
      <c r="F214" s="3181"/>
      <c r="G214" s="3181"/>
      <c r="H214" s="3181"/>
      <c r="I214" s="2303"/>
      <c r="J214" s="2303"/>
      <c r="K214" s="2303"/>
      <c r="L214" s="3182"/>
      <c r="M214" s="670"/>
      <c r="N214" s="670"/>
      <c r="O214" s="4367" t="s">
        <v>314</v>
      </c>
      <c r="P214" s="2704"/>
      <c r="Q214" s="2704"/>
    </row>
    <row r="215" spans="1:17" s="226" customFormat="1" ht="15" customHeight="1" thickBot="1">
      <c r="A215" s="4376"/>
      <c r="B215" s="1474" t="s">
        <v>10</v>
      </c>
      <c r="C215" s="1475"/>
      <c r="D215" s="1476">
        <f>D216+D219</f>
        <v>6246481</v>
      </c>
      <c r="E215" s="1476">
        <f t="shared" ref="E215" si="163">E216+E219</f>
        <v>284314</v>
      </c>
      <c r="F215" s="3332">
        <f>F216</f>
        <v>30000</v>
      </c>
      <c r="G215" s="1476">
        <f>+G219+G216</f>
        <v>101919</v>
      </c>
      <c r="H215" s="1476">
        <f>+H219+H216</f>
        <v>3685930</v>
      </c>
      <c r="I215" s="1476">
        <f t="shared" ref="I215:L215" si="164">+I219+I216</f>
        <v>2144318</v>
      </c>
      <c r="J215" s="1780">
        <f t="shared" si="164"/>
        <v>0</v>
      </c>
      <c r="K215" s="1780">
        <f t="shared" si="164"/>
        <v>0</v>
      </c>
      <c r="L215" s="1780">
        <f t="shared" si="164"/>
        <v>0</v>
      </c>
      <c r="M215" s="1477">
        <f>+M219+M216</f>
        <v>5962167</v>
      </c>
      <c r="N215" s="1477">
        <f>+N219+N216</f>
        <v>5932167</v>
      </c>
      <c r="O215" s="4367"/>
      <c r="P215" s="2704" t="s">
        <v>355</v>
      </c>
      <c r="Q215" s="2704"/>
    </row>
    <row r="216" spans="1:17" s="226" customFormat="1" ht="15" customHeight="1" thickBot="1">
      <c r="A216" s="4376"/>
      <c r="B216" s="1478" t="s">
        <v>24</v>
      </c>
      <c r="C216" s="3655" t="s">
        <v>188</v>
      </c>
      <c r="D216" s="1479">
        <f>D217+D218</f>
        <v>1034156</v>
      </c>
      <c r="E216" s="1479">
        <f t="shared" ref="E216:I216" si="165">E217+E218</f>
        <v>114331</v>
      </c>
      <c r="F216" s="1479">
        <f t="shared" si="165"/>
        <v>30000</v>
      </c>
      <c r="G216" s="1479">
        <f t="shared" si="165"/>
        <v>15288</v>
      </c>
      <c r="H216" s="1479">
        <f t="shared" si="165"/>
        <v>552889</v>
      </c>
      <c r="I216" s="1479">
        <f t="shared" si="165"/>
        <v>321648</v>
      </c>
      <c r="J216" s="1846">
        <f t="shared" ref="J216:L216" si="166">J217+J218</f>
        <v>0</v>
      </c>
      <c r="K216" s="1846">
        <f t="shared" si="166"/>
        <v>0</v>
      </c>
      <c r="L216" s="1846">
        <f t="shared" si="166"/>
        <v>0</v>
      </c>
      <c r="M216" s="1480">
        <f>M217+M218</f>
        <v>919825</v>
      </c>
      <c r="N216" s="1480">
        <f>N217</f>
        <v>889825</v>
      </c>
      <c r="O216" s="4367"/>
      <c r="P216" s="2704"/>
      <c r="Q216" s="2704"/>
    </row>
    <row r="217" spans="1:17" s="226" customFormat="1" ht="15" customHeight="1" thickBot="1">
      <c r="A217" s="4376"/>
      <c r="B217" s="1481" t="s">
        <v>12</v>
      </c>
      <c r="C217" s="3649"/>
      <c r="D217" s="1406">
        <f>E217+F217+G217+H217+I217+J217+K217+L217</f>
        <v>1004156</v>
      </c>
      <c r="E217" s="1406">
        <v>114331</v>
      </c>
      <c r="F217" s="1846">
        <v>0</v>
      </c>
      <c r="G217" s="1482">
        <f>270726-255438</f>
        <v>15288</v>
      </c>
      <c r="H217" s="1482">
        <f>297451+255438</f>
        <v>552889</v>
      </c>
      <c r="I217" s="1482">
        <v>321648</v>
      </c>
      <c r="J217" s="1846">
        <v>0</v>
      </c>
      <c r="K217" s="1846">
        <v>0</v>
      </c>
      <c r="L217" s="1846">
        <v>0</v>
      </c>
      <c r="M217" s="1799">
        <f>SUM(F217:K217)</f>
        <v>889825</v>
      </c>
      <c r="N217" s="1799">
        <f>SUM(G217:L217)</f>
        <v>889825</v>
      </c>
      <c r="O217" s="4367"/>
      <c r="P217" s="2704"/>
      <c r="Q217" s="2704"/>
    </row>
    <row r="218" spans="1:17" s="226" customFormat="1" ht="15" customHeight="1" thickBot="1">
      <c r="A218" s="4376"/>
      <c r="B218" s="1481" t="s">
        <v>15</v>
      </c>
      <c r="C218" s="3649"/>
      <c r="D218" s="1406">
        <f>E218+F218+G218+H218+I218+J218+K218+L218</f>
        <v>30000</v>
      </c>
      <c r="E218" s="1846">
        <v>0</v>
      </c>
      <c r="F218" s="3333">
        <v>30000</v>
      </c>
      <c r="G218" s="1847">
        <v>0</v>
      </c>
      <c r="H218" s="1847">
        <v>0</v>
      </c>
      <c r="I218" s="1847">
        <v>0</v>
      </c>
      <c r="J218" s="1847">
        <v>0</v>
      </c>
      <c r="K218" s="1847">
        <v>0</v>
      </c>
      <c r="L218" s="1847">
        <v>0</v>
      </c>
      <c r="M218" s="1799">
        <f>SUM(F218:K218)</f>
        <v>30000</v>
      </c>
      <c r="N218" s="1848"/>
      <c r="O218" s="4367"/>
      <c r="P218" s="2704"/>
      <c r="Q218" s="2704"/>
    </row>
    <row r="219" spans="1:17" s="226" customFormat="1" ht="15" customHeight="1" thickBot="1">
      <c r="A219" s="4376"/>
      <c r="B219" s="1483" t="s">
        <v>18</v>
      </c>
      <c r="C219" s="3649"/>
      <c r="D219" s="1479">
        <f>D220</f>
        <v>5212325</v>
      </c>
      <c r="E219" s="1845">
        <f t="shared" ref="E219:N219" si="167">+E220</f>
        <v>169983</v>
      </c>
      <c r="F219" s="1849">
        <v>0</v>
      </c>
      <c r="G219" s="1484">
        <f>G220</f>
        <v>86631</v>
      </c>
      <c r="H219" s="1484">
        <f t="shared" ref="H219:L219" si="168">H220</f>
        <v>3133041</v>
      </c>
      <c r="I219" s="1484">
        <f t="shared" si="168"/>
        <v>1822670</v>
      </c>
      <c r="J219" s="1849">
        <f t="shared" si="168"/>
        <v>0</v>
      </c>
      <c r="K219" s="1849">
        <f t="shared" si="168"/>
        <v>0</v>
      </c>
      <c r="L219" s="1849">
        <f t="shared" si="168"/>
        <v>0</v>
      </c>
      <c r="M219" s="1480">
        <f t="shared" si="167"/>
        <v>5042342</v>
      </c>
      <c r="N219" s="1480">
        <f t="shared" si="167"/>
        <v>5042342</v>
      </c>
      <c r="O219" s="4367"/>
      <c r="P219" s="2704"/>
      <c r="Q219" s="2704"/>
    </row>
    <row r="220" spans="1:17" s="226" customFormat="1" ht="15" customHeight="1" thickBot="1">
      <c r="A220" s="4376"/>
      <c r="B220" s="3094" t="s">
        <v>21</v>
      </c>
      <c r="C220" s="3650"/>
      <c r="D220" s="1406">
        <f>E220+F220+G220+H220+I220+J220+K220+L220</f>
        <v>5212325</v>
      </c>
      <c r="E220" s="1406">
        <v>169983</v>
      </c>
      <c r="F220" s="1846">
        <v>0</v>
      </c>
      <c r="G220" s="1482">
        <f>1534116-1447485</f>
        <v>86631</v>
      </c>
      <c r="H220" s="1482">
        <f>1685556+1447485</f>
        <v>3133041</v>
      </c>
      <c r="I220" s="1482">
        <v>1822670</v>
      </c>
      <c r="J220" s="1847">
        <v>0</v>
      </c>
      <c r="K220" s="1847">
        <v>0</v>
      </c>
      <c r="L220" s="1847">
        <v>0</v>
      </c>
      <c r="M220" s="1799">
        <f>SUM(F220:K220)</f>
        <v>5042342</v>
      </c>
      <c r="N220" s="1799">
        <f>SUM(G220:L220)</f>
        <v>5042342</v>
      </c>
      <c r="O220" s="4368"/>
      <c r="P220" s="2704"/>
      <c r="Q220" s="2704"/>
    </row>
    <row r="221" spans="1:17" s="226" customFormat="1" ht="15" customHeight="1" thickBot="1">
      <c r="A221" s="4376"/>
      <c r="B221" s="581" t="s">
        <v>22</v>
      </c>
      <c r="C221" s="1475"/>
      <c r="D221" s="1476">
        <f>D224+D222</f>
        <v>5242325</v>
      </c>
      <c r="E221" s="1780">
        <f t="shared" ref="E221:L221" si="169">E224+E222</f>
        <v>0</v>
      </c>
      <c r="F221" s="1476">
        <f t="shared" si="169"/>
        <v>30000</v>
      </c>
      <c r="G221" s="1476">
        <f t="shared" si="169"/>
        <v>0</v>
      </c>
      <c r="H221" s="1476">
        <f t="shared" si="169"/>
        <v>1780856</v>
      </c>
      <c r="I221" s="1476">
        <f t="shared" si="169"/>
        <v>1671276</v>
      </c>
      <c r="J221" s="1476">
        <f t="shared" si="169"/>
        <v>1760193</v>
      </c>
      <c r="K221" s="1780">
        <f t="shared" si="169"/>
        <v>0</v>
      </c>
      <c r="L221" s="1780">
        <f t="shared" si="169"/>
        <v>0</v>
      </c>
      <c r="M221" s="3677" t="s">
        <v>61</v>
      </c>
      <c r="N221" s="3677" t="s">
        <v>61</v>
      </c>
      <c r="O221" s="3662" t="s">
        <v>193</v>
      </c>
      <c r="P221" s="2704"/>
      <c r="Q221" s="2704"/>
    </row>
    <row r="222" spans="1:17" s="226" customFormat="1" ht="15" customHeight="1" thickBot="1">
      <c r="A222" s="4376"/>
      <c r="B222" s="555" t="s">
        <v>415</v>
      </c>
      <c r="C222" s="3749" t="s">
        <v>188</v>
      </c>
      <c r="D222" s="1485">
        <f t="shared" ref="D222:L224" si="170">D223</f>
        <v>30000</v>
      </c>
      <c r="E222" s="1849">
        <f t="shared" ref="E222:E224" si="171">+E223</f>
        <v>0</v>
      </c>
      <c r="F222" s="3208">
        <f t="shared" si="170"/>
        <v>30000</v>
      </c>
      <c r="G222" s="1849">
        <f t="shared" si="170"/>
        <v>0</v>
      </c>
      <c r="H222" s="1849">
        <f t="shared" si="170"/>
        <v>0</v>
      </c>
      <c r="I222" s="1849">
        <f t="shared" si="170"/>
        <v>0</v>
      </c>
      <c r="J222" s="1849">
        <f t="shared" si="170"/>
        <v>0</v>
      </c>
      <c r="K222" s="1849">
        <f t="shared" si="170"/>
        <v>0</v>
      </c>
      <c r="L222" s="1849">
        <f t="shared" si="170"/>
        <v>0</v>
      </c>
      <c r="M222" s="3675"/>
      <c r="N222" s="3675"/>
      <c r="O222" s="3662"/>
      <c r="P222" s="2704"/>
      <c r="Q222" s="2704"/>
    </row>
    <row r="223" spans="1:17" s="226" customFormat="1" ht="15" customHeight="1" thickBot="1">
      <c r="A223" s="4376"/>
      <c r="B223" s="3297" t="s">
        <v>15</v>
      </c>
      <c r="C223" s="3808"/>
      <c r="D223" s="1453">
        <f>E223+F223+G223+H223+I223+J223+K223+L223</f>
        <v>30000</v>
      </c>
      <c r="E223" s="1518">
        <v>0</v>
      </c>
      <c r="F223" s="3209">
        <v>30000</v>
      </c>
      <c r="G223" s="1518">
        <v>0</v>
      </c>
      <c r="H223" s="1518">
        <v>0</v>
      </c>
      <c r="I223" s="1518">
        <v>0</v>
      </c>
      <c r="J223" s="1518">
        <v>0</v>
      </c>
      <c r="K223" s="1518">
        <v>0</v>
      </c>
      <c r="L223" s="1518">
        <v>0</v>
      </c>
      <c r="M223" s="3675"/>
      <c r="N223" s="3675"/>
      <c r="O223" s="3662"/>
      <c r="P223" s="2704"/>
      <c r="Q223" s="2704"/>
    </row>
    <row r="224" spans="1:17" s="226" customFormat="1" ht="15" customHeight="1" thickBot="1">
      <c r="A224" s="4376"/>
      <c r="B224" s="3139" t="s">
        <v>18</v>
      </c>
      <c r="C224" s="3808"/>
      <c r="D224" s="1850">
        <f t="shared" si="170"/>
        <v>5212325</v>
      </c>
      <c r="E224" s="1851">
        <f t="shared" si="171"/>
        <v>0</v>
      </c>
      <c r="F224" s="3142">
        <f t="shared" si="170"/>
        <v>0</v>
      </c>
      <c r="G224" s="1849">
        <f t="shared" si="170"/>
        <v>0</v>
      </c>
      <c r="H224" s="1850">
        <f t="shared" si="170"/>
        <v>1780856</v>
      </c>
      <c r="I224" s="1850">
        <f t="shared" si="170"/>
        <v>1671276</v>
      </c>
      <c r="J224" s="1850">
        <f t="shared" si="170"/>
        <v>1760193</v>
      </c>
      <c r="K224" s="1851">
        <f t="shared" si="170"/>
        <v>0</v>
      </c>
      <c r="L224" s="1851">
        <f t="shared" si="170"/>
        <v>0</v>
      </c>
      <c r="M224" s="3675"/>
      <c r="N224" s="3675"/>
      <c r="O224" s="3662"/>
      <c r="P224" s="2704"/>
      <c r="Q224" s="2704"/>
    </row>
    <row r="225" spans="1:17" s="226" customFormat="1" ht="15" customHeight="1" thickBot="1">
      <c r="A225" s="4376"/>
      <c r="B225" s="3298" t="s">
        <v>21</v>
      </c>
      <c r="C225" s="4358"/>
      <c r="D225" s="1766">
        <f>E225+F225+G225+H225+I225+J225+K225+L225</f>
        <v>5212325</v>
      </c>
      <c r="E225" s="2735">
        <v>0</v>
      </c>
      <c r="F225" s="1787">
        <v>0</v>
      </c>
      <c r="G225" s="2735">
        <f>219403-219403</f>
        <v>0</v>
      </c>
      <c r="H225" s="1786">
        <f>1561453+219403</f>
        <v>1780856</v>
      </c>
      <c r="I225" s="1786">
        <v>1671276</v>
      </c>
      <c r="J225" s="1786">
        <v>1760193</v>
      </c>
      <c r="K225" s="2735">
        <v>0</v>
      </c>
      <c r="L225" s="2735">
        <v>0</v>
      </c>
      <c r="M225" s="3676"/>
      <c r="N225" s="3676"/>
      <c r="O225" s="3663"/>
      <c r="P225" s="2704"/>
      <c r="Q225" s="2704"/>
    </row>
    <row r="226" spans="1:17" s="226" customFormat="1" ht="27" customHeight="1">
      <c r="A226" s="4372" t="s">
        <v>96</v>
      </c>
      <c r="B226" s="1774" t="s">
        <v>504</v>
      </c>
      <c r="C226" s="1507" t="s">
        <v>170</v>
      </c>
      <c r="D226" s="668"/>
      <c r="E226" s="3187"/>
      <c r="F226" s="3181"/>
      <c r="G226" s="3181"/>
      <c r="H226" s="3181"/>
      <c r="I226" s="2303"/>
      <c r="J226" s="2303"/>
      <c r="K226" s="2303"/>
      <c r="L226" s="3182"/>
      <c r="M226" s="670"/>
      <c r="N226" s="670"/>
      <c r="O226" s="3661" t="s">
        <v>314</v>
      </c>
      <c r="P226" s="2704"/>
      <c r="Q226" s="2704"/>
    </row>
    <row r="227" spans="1:17" s="226" customFormat="1" ht="15" customHeight="1">
      <c r="A227" s="4373"/>
      <c r="B227" s="1474" t="s">
        <v>10</v>
      </c>
      <c r="C227" s="1475"/>
      <c r="D227" s="1476">
        <f>D228+D230</f>
        <v>161298</v>
      </c>
      <c r="E227" s="1780">
        <f t="shared" ref="E227" si="172">E228+E230</f>
        <v>0</v>
      </c>
      <c r="F227" s="1780">
        <f t="shared" ref="F227" si="173">+F230</f>
        <v>0</v>
      </c>
      <c r="G227" s="1486">
        <f>G228+G232</f>
        <v>0</v>
      </c>
      <c r="H227" s="1476">
        <f t="shared" ref="H227" si="174">H228+H232</f>
        <v>1500</v>
      </c>
      <c r="I227" s="1476">
        <f>I228+I230</f>
        <v>159798</v>
      </c>
      <c r="J227" s="1780">
        <f>J228+J230</f>
        <v>0</v>
      </c>
      <c r="K227" s="1780">
        <f t="shared" ref="K227:L227" si="175">K228+K232</f>
        <v>0</v>
      </c>
      <c r="L227" s="1780">
        <f t="shared" si="175"/>
        <v>0</v>
      </c>
      <c r="M227" s="1477">
        <f>+M230+M228</f>
        <v>161298</v>
      </c>
      <c r="N227" s="1477">
        <f>+N230+N228</f>
        <v>161298</v>
      </c>
      <c r="O227" s="3662"/>
      <c r="P227" s="2704" t="s">
        <v>355</v>
      </c>
      <c r="Q227" s="2704"/>
    </row>
    <row r="228" spans="1:17" s="226" customFormat="1" ht="15" customHeight="1">
      <c r="A228" s="4373"/>
      <c r="B228" s="1478" t="s">
        <v>24</v>
      </c>
      <c r="C228" s="3655" t="s">
        <v>188</v>
      </c>
      <c r="D228" s="1479">
        <f>D229</f>
        <v>26745</v>
      </c>
      <c r="E228" s="1929">
        <f t="shared" ref="E228:F228" si="176">E229</f>
        <v>0</v>
      </c>
      <c r="F228" s="1929">
        <f t="shared" si="176"/>
        <v>0</v>
      </c>
      <c r="G228" s="1930">
        <f>G229</f>
        <v>0</v>
      </c>
      <c r="H228" s="1171">
        <f>H229</f>
        <v>1500</v>
      </c>
      <c r="I228" s="1171">
        <f t="shared" ref="I228:L228" si="177">I229</f>
        <v>25245</v>
      </c>
      <c r="J228" s="1537">
        <f t="shared" si="177"/>
        <v>0</v>
      </c>
      <c r="K228" s="1537">
        <f t="shared" si="177"/>
        <v>0</v>
      </c>
      <c r="L228" s="1537">
        <f t="shared" si="177"/>
        <v>0</v>
      </c>
      <c r="M228" s="1480">
        <f>M229</f>
        <v>26745</v>
      </c>
      <c r="N228" s="1480">
        <f>N229</f>
        <v>26745</v>
      </c>
      <c r="O228" s="3662"/>
      <c r="P228" s="2704"/>
      <c r="Q228" s="2704"/>
    </row>
    <row r="229" spans="1:17" s="226" customFormat="1" ht="15" customHeight="1">
      <c r="A229" s="4373"/>
      <c r="B229" s="1481" t="s">
        <v>12</v>
      </c>
      <c r="C229" s="3649"/>
      <c r="D229" s="839">
        <f>E229+F229+G229+H229+I229+J229+K229+L229</f>
        <v>26745</v>
      </c>
      <c r="E229" s="1210">
        <v>0</v>
      </c>
      <c r="F229" s="1210">
        <v>0</v>
      </c>
      <c r="G229" s="1315">
        <v>0</v>
      </c>
      <c r="H229" s="872">
        <v>1500</v>
      </c>
      <c r="I229" s="872">
        <v>25245</v>
      </c>
      <c r="J229" s="1537">
        <v>0</v>
      </c>
      <c r="K229" s="1210">
        <v>0</v>
      </c>
      <c r="L229" s="1210">
        <v>0</v>
      </c>
      <c r="M229" s="1799">
        <f>SUM(F229:K229)</f>
        <v>26745</v>
      </c>
      <c r="N229" s="1799">
        <f>SUM(G229:L229)</f>
        <v>26745</v>
      </c>
      <c r="O229" s="3662"/>
      <c r="P229" s="2704"/>
      <c r="Q229" s="2704"/>
    </row>
    <row r="230" spans="1:17" s="226" customFormat="1" ht="15" customHeight="1">
      <c r="A230" s="4373"/>
      <c r="B230" s="1483" t="s">
        <v>18</v>
      </c>
      <c r="C230" s="3649"/>
      <c r="D230" s="1479">
        <f>D231</f>
        <v>134553</v>
      </c>
      <c r="E230" s="1929">
        <f t="shared" ref="E230:N230" si="178">+E231</f>
        <v>0</v>
      </c>
      <c r="F230" s="1929">
        <v>0</v>
      </c>
      <c r="G230" s="1931">
        <f>G231</f>
        <v>0</v>
      </c>
      <c r="H230" s="1931">
        <v>0</v>
      </c>
      <c r="I230" s="1171">
        <f>I231</f>
        <v>134553</v>
      </c>
      <c r="J230" s="1537">
        <v>0</v>
      </c>
      <c r="K230" s="1537">
        <v>0</v>
      </c>
      <c r="L230" s="1537">
        <v>0</v>
      </c>
      <c r="M230" s="1480">
        <f t="shared" si="178"/>
        <v>134553</v>
      </c>
      <c r="N230" s="1480">
        <f t="shared" si="178"/>
        <v>134553</v>
      </c>
      <c r="O230" s="3662"/>
      <c r="P230" s="2704"/>
      <c r="Q230" s="2704"/>
    </row>
    <row r="231" spans="1:17" s="226" customFormat="1" ht="15" customHeight="1">
      <c r="A231" s="4373"/>
      <c r="B231" s="3094" t="s">
        <v>21</v>
      </c>
      <c r="C231" s="3650"/>
      <c r="D231" s="839">
        <f>E231+F231+G231+H231+I231+J231+K231+L231</f>
        <v>134553</v>
      </c>
      <c r="E231" s="1210">
        <v>0</v>
      </c>
      <c r="F231" s="1210">
        <v>0</v>
      </c>
      <c r="G231" s="1932">
        <v>0</v>
      </c>
      <c r="H231" s="1932">
        <v>0</v>
      </c>
      <c r="I231" s="872">
        <v>134553</v>
      </c>
      <c r="J231" s="1210">
        <v>0</v>
      </c>
      <c r="K231" s="1210">
        <v>0</v>
      </c>
      <c r="L231" s="1210">
        <v>0</v>
      </c>
      <c r="M231" s="1799">
        <f>SUM(F231:K231)</f>
        <v>134553</v>
      </c>
      <c r="N231" s="1799">
        <f>SUM(G231:L231)</f>
        <v>134553</v>
      </c>
      <c r="O231" s="4313"/>
      <c r="P231" s="2704"/>
      <c r="Q231" s="2704"/>
    </row>
    <row r="232" spans="1:17" s="226" customFormat="1" ht="15" customHeight="1">
      <c r="A232" s="4373"/>
      <c r="B232" s="1474" t="s">
        <v>22</v>
      </c>
      <c r="C232" s="1475"/>
      <c r="D232" s="1476">
        <f t="shared" ref="D232:L233" si="179">D233</f>
        <v>134553</v>
      </c>
      <c r="E232" s="1780">
        <f t="shared" ref="E232" si="180">+E235</f>
        <v>0</v>
      </c>
      <c r="F232" s="1780">
        <f t="shared" si="179"/>
        <v>0</v>
      </c>
      <c r="G232" s="1933">
        <f t="shared" si="179"/>
        <v>0</v>
      </c>
      <c r="H232" s="1933">
        <f t="shared" si="179"/>
        <v>0</v>
      </c>
      <c r="I232" s="1933">
        <f t="shared" si="179"/>
        <v>0</v>
      </c>
      <c r="J232" s="1476">
        <f t="shared" si="179"/>
        <v>134553</v>
      </c>
      <c r="K232" s="1780">
        <f t="shared" si="179"/>
        <v>0</v>
      </c>
      <c r="L232" s="1780">
        <f t="shared" si="179"/>
        <v>0</v>
      </c>
      <c r="M232" s="3677" t="s">
        <v>61</v>
      </c>
      <c r="N232" s="3677" t="s">
        <v>61</v>
      </c>
      <c r="O232" s="3662" t="s">
        <v>193</v>
      </c>
      <c r="P232" s="2704"/>
      <c r="Q232" s="2704"/>
    </row>
    <row r="233" spans="1:17" s="226" customFormat="1" ht="15" customHeight="1">
      <c r="A233" s="4373"/>
      <c r="B233" s="1483" t="s">
        <v>18</v>
      </c>
      <c r="C233" s="3749" t="s">
        <v>188</v>
      </c>
      <c r="D233" s="1485">
        <f t="shared" si="179"/>
        <v>134553</v>
      </c>
      <c r="E233" s="1929">
        <f t="shared" si="179"/>
        <v>0</v>
      </c>
      <c r="F233" s="1537">
        <f t="shared" si="179"/>
        <v>0</v>
      </c>
      <c r="G233" s="1934">
        <f t="shared" si="179"/>
        <v>0</v>
      </c>
      <c r="H233" s="1934">
        <f t="shared" si="179"/>
        <v>0</v>
      </c>
      <c r="I233" s="1934">
        <f t="shared" si="179"/>
        <v>0</v>
      </c>
      <c r="J233" s="1485">
        <f t="shared" si="179"/>
        <v>134553</v>
      </c>
      <c r="K233" s="1537">
        <f t="shared" si="179"/>
        <v>0</v>
      </c>
      <c r="L233" s="1537">
        <f t="shared" si="179"/>
        <v>0</v>
      </c>
      <c r="M233" s="3675"/>
      <c r="N233" s="3675"/>
      <c r="O233" s="3662"/>
      <c r="P233" s="2704"/>
      <c r="Q233" s="2704"/>
    </row>
    <row r="234" spans="1:17" s="226" customFormat="1" ht="15" customHeight="1" thickBot="1">
      <c r="A234" s="4374"/>
      <c r="B234" s="3334" t="s">
        <v>21</v>
      </c>
      <c r="C234" s="3657"/>
      <c r="D234" s="1870">
        <f>E234+F234+G234+H234+I234+J234+K234+L234</f>
        <v>134553</v>
      </c>
      <c r="E234" s="1935">
        <v>0</v>
      </c>
      <c r="F234" s="1787">
        <v>0</v>
      </c>
      <c r="G234" s="1936">
        <v>0</v>
      </c>
      <c r="H234" s="1936">
        <v>0</v>
      </c>
      <c r="I234" s="1936">
        <v>0</v>
      </c>
      <c r="J234" s="1786">
        <v>134553</v>
      </c>
      <c r="K234" s="1935">
        <v>0</v>
      </c>
      <c r="L234" s="1935">
        <v>0</v>
      </c>
      <c r="M234" s="3676"/>
      <c r="N234" s="3676"/>
      <c r="O234" s="3663"/>
      <c r="P234" s="2704"/>
      <c r="Q234" s="2704"/>
    </row>
    <row r="235" spans="1:17" s="226" customFormat="1" ht="36.75" customHeight="1">
      <c r="A235" s="4371" t="s">
        <v>97</v>
      </c>
      <c r="B235" s="1774" t="s">
        <v>503</v>
      </c>
      <c r="C235" s="1507" t="s">
        <v>81</v>
      </c>
      <c r="D235" s="668"/>
      <c r="E235" s="3187"/>
      <c r="F235" s="3181"/>
      <c r="G235" s="3181"/>
      <c r="H235" s="3181"/>
      <c r="I235" s="2303"/>
      <c r="J235" s="2303"/>
      <c r="K235" s="2303"/>
      <c r="L235" s="3182"/>
      <c r="M235" s="670"/>
      <c r="N235" s="670"/>
      <c r="O235" s="3661" t="s">
        <v>314</v>
      </c>
      <c r="P235" s="2704"/>
      <c r="Q235" s="2704"/>
    </row>
    <row r="236" spans="1:17" s="226" customFormat="1" ht="15" customHeight="1">
      <c r="A236" s="3724"/>
      <c r="B236" s="1474" t="s">
        <v>10</v>
      </c>
      <c r="C236" s="1475"/>
      <c r="D236" s="1476">
        <f>D237+D240</f>
        <v>7217997</v>
      </c>
      <c r="E236" s="1476">
        <f t="shared" ref="E236" si="181">E237+E240</f>
        <v>191980</v>
      </c>
      <c r="F236" s="1937">
        <f>F237</f>
        <v>0</v>
      </c>
      <c r="G236" s="1486">
        <f>+G240+G237</f>
        <v>0</v>
      </c>
      <c r="H236" s="1476">
        <f>+H240+H237</f>
        <v>4414172</v>
      </c>
      <c r="I236" s="1476">
        <f t="shared" ref="I236:L236" si="182">+I240+I237</f>
        <v>2611845</v>
      </c>
      <c r="J236" s="1780">
        <f t="shared" si="182"/>
        <v>0</v>
      </c>
      <c r="K236" s="1780">
        <f t="shared" si="182"/>
        <v>0</v>
      </c>
      <c r="L236" s="1780">
        <f t="shared" si="182"/>
        <v>0</v>
      </c>
      <c r="M236" s="1477">
        <f>+M240+M237</f>
        <v>7026017</v>
      </c>
      <c r="N236" s="1477">
        <f>+N240+N237</f>
        <v>7026017</v>
      </c>
      <c r="O236" s="3662"/>
      <c r="P236" s="2704" t="s">
        <v>355</v>
      </c>
      <c r="Q236" s="2704"/>
    </row>
    <row r="237" spans="1:17" s="226" customFormat="1" ht="15" customHeight="1">
      <c r="A237" s="3724"/>
      <c r="B237" s="1478" t="s">
        <v>24</v>
      </c>
      <c r="C237" s="3655" t="s">
        <v>188</v>
      </c>
      <c r="D237" s="1479">
        <f>D238+D239</f>
        <v>1203400</v>
      </c>
      <c r="E237" s="1479">
        <f t="shared" ref="E237:L237" si="183">E238+E239</f>
        <v>149497</v>
      </c>
      <c r="F237" s="1487">
        <f t="shared" si="183"/>
        <v>0</v>
      </c>
      <c r="G237" s="1487">
        <f t="shared" si="183"/>
        <v>0</v>
      </c>
      <c r="H237" s="1479">
        <f t="shared" si="183"/>
        <v>662126</v>
      </c>
      <c r="I237" s="1479">
        <f t="shared" si="183"/>
        <v>391777</v>
      </c>
      <c r="J237" s="1846">
        <f t="shared" si="183"/>
        <v>0</v>
      </c>
      <c r="K237" s="1846">
        <f t="shared" si="183"/>
        <v>0</v>
      </c>
      <c r="L237" s="1846">
        <f t="shared" si="183"/>
        <v>0</v>
      </c>
      <c r="M237" s="1480">
        <f>M238+M239</f>
        <v>1053903</v>
      </c>
      <c r="N237" s="1480">
        <f>N238</f>
        <v>1053903</v>
      </c>
      <c r="O237" s="3662"/>
      <c r="P237" s="2704"/>
      <c r="Q237" s="2704"/>
    </row>
    <row r="238" spans="1:17" s="226" customFormat="1" ht="15" customHeight="1">
      <c r="A238" s="3724"/>
      <c r="B238" s="1481" t="s">
        <v>12</v>
      </c>
      <c r="C238" s="3649"/>
      <c r="D238" s="1406">
        <f>E238+F238+G238+H238+I238+J238+K238+L238</f>
        <v>1083400</v>
      </c>
      <c r="E238" s="1406">
        <v>29497</v>
      </c>
      <c r="F238" s="1847">
        <v>0</v>
      </c>
      <c r="G238" s="1938">
        <v>0</v>
      </c>
      <c r="H238" s="1482">
        <v>662126</v>
      </c>
      <c r="I238" s="1482">
        <v>391777</v>
      </c>
      <c r="J238" s="1846">
        <v>0</v>
      </c>
      <c r="K238" s="1846">
        <v>0</v>
      </c>
      <c r="L238" s="1846">
        <v>0</v>
      </c>
      <c r="M238" s="1799">
        <f>SUM(F238:K238)</f>
        <v>1053903</v>
      </c>
      <c r="N238" s="1799">
        <f>SUM(G238:L238)</f>
        <v>1053903</v>
      </c>
      <c r="O238" s="3662"/>
      <c r="P238" s="2704"/>
      <c r="Q238" s="2704"/>
    </row>
    <row r="239" spans="1:17" s="226" customFormat="1" ht="15" customHeight="1">
      <c r="A239" s="3724"/>
      <c r="B239" s="1481" t="s">
        <v>15</v>
      </c>
      <c r="C239" s="3649"/>
      <c r="D239" s="1939">
        <f>E239+F239+G239+H239+I239+J239+K239+L239</f>
        <v>120000</v>
      </c>
      <c r="E239" s="1940">
        <v>120000</v>
      </c>
      <c r="F239" s="1847">
        <v>0</v>
      </c>
      <c r="G239" s="1847">
        <v>0</v>
      </c>
      <c r="H239" s="1847">
        <v>0</v>
      </c>
      <c r="I239" s="1847">
        <v>0</v>
      </c>
      <c r="J239" s="1847">
        <v>0</v>
      </c>
      <c r="K239" s="1847">
        <v>0</v>
      </c>
      <c r="L239" s="1847">
        <v>0</v>
      </c>
      <c r="M239" s="1799">
        <f>SUM(F239:K239)</f>
        <v>0</v>
      </c>
      <c r="N239" s="1799">
        <f>SUM(G239:L239)</f>
        <v>0</v>
      </c>
      <c r="O239" s="3662"/>
      <c r="P239" s="2704"/>
      <c r="Q239" s="2704"/>
    </row>
    <row r="240" spans="1:17" s="226" customFormat="1" ht="15" customHeight="1">
      <c r="A240" s="3724"/>
      <c r="B240" s="1483" t="s">
        <v>18</v>
      </c>
      <c r="C240" s="3649"/>
      <c r="D240" s="1479">
        <f>D241</f>
        <v>6014597</v>
      </c>
      <c r="E240" s="1845">
        <f t="shared" ref="E240:N240" si="184">+E241</f>
        <v>42483</v>
      </c>
      <c r="F240" s="1941">
        <v>0</v>
      </c>
      <c r="G240" s="1942">
        <f>G241</f>
        <v>0</v>
      </c>
      <c r="H240" s="1484">
        <f t="shared" ref="H240:L240" si="185">H241</f>
        <v>3752046</v>
      </c>
      <c r="I240" s="1484">
        <f t="shared" si="185"/>
        <v>2220068</v>
      </c>
      <c r="J240" s="1849">
        <f t="shared" si="185"/>
        <v>0</v>
      </c>
      <c r="K240" s="1849">
        <f t="shared" si="185"/>
        <v>0</v>
      </c>
      <c r="L240" s="1849">
        <f t="shared" si="185"/>
        <v>0</v>
      </c>
      <c r="M240" s="1480">
        <f t="shared" si="184"/>
        <v>5972114</v>
      </c>
      <c r="N240" s="1480">
        <f t="shared" si="184"/>
        <v>5972114</v>
      </c>
      <c r="O240" s="3662"/>
      <c r="P240" s="2704"/>
      <c r="Q240" s="2704"/>
    </row>
    <row r="241" spans="1:17" s="226" customFormat="1" ht="15" customHeight="1">
      <c r="A241" s="3724"/>
      <c r="B241" s="3094" t="s">
        <v>21</v>
      </c>
      <c r="C241" s="3650"/>
      <c r="D241" s="1406">
        <f>SUM(E241:L241)</f>
        <v>6014597</v>
      </c>
      <c r="E241" s="1406">
        <v>42483</v>
      </c>
      <c r="F241" s="1847">
        <v>0</v>
      </c>
      <c r="G241" s="1938">
        <v>0</v>
      </c>
      <c r="H241" s="1482">
        <v>3752046</v>
      </c>
      <c r="I241" s="1482">
        <v>2220068</v>
      </c>
      <c r="J241" s="1847">
        <v>0</v>
      </c>
      <c r="K241" s="1847">
        <v>0</v>
      </c>
      <c r="L241" s="1847">
        <v>0</v>
      </c>
      <c r="M241" s="1799">
        <f>SUM(F241:K241)</f>
        <v>5972114</v>
      </c>
      <c r="N241" s="1799">
        <f>SUM(G241:L241)</f>
        <v>5972114</v>
      </c>
      <c r="O241" s="4313"/>
      <c r="P241" s="2704"/>
      <c r="Q241" s="2704"/>
    </row>
    <row r="242" spans="1:17" s="226" customFormat="1" ht="15" customHeight="1">
      <c r="A242" s="3724"/>
      <c r="B242" s="1474" t="s">
        <v>22</v>
      </c>
      <c r="C242" s="1475"/>
      <c r="D242" s="1476">
        <f>D245+D243</f>
        <v>6134597</v>
      </c>
      <c r="E242" s="1943">
        <f t="shared" ref="E242:L242" si="186">E245+E243</f>
        <v>120000</v>
      </c>
      <c r="F242" s="1486">
        <f t="shared" si="186"/>
        <v>0</v>
      </c>
      <c r="G242" s="1486">
        <f t="shared" si="186"/>
        <v>0</v>
      </c>
      <c r="H242" s="1476">
        <f t="shared" si="186"/>
        <v>237555</v>
      </c>
      <c r="I242" s="1476">
        <f t="shared" si="186"/>
        <v>4513210</v>
      </c>
      <c r="J242" s="1476">
        <f t="shared" si="186"/>
        <v>1263832</v>
      </c>
      <c r="K242" s="1780">
        <f t="shared" si="186"/>
        <v>0</v>
      </c>
      <c r="L242" s="1780">
        <f t="shared" si="186"/>
        <v>0</v>
      </c>
      <c r="M242" s="3677" t="s">
        <v>61</v>
      </c>
      <c r="N242" s="3677" t="s">
        <v>61</v>
      </c>
      <c r="O242" s="3662" t="s">
        <v>193</v>
      </c>
      <c r="P242" s="2704"/>
      <c r="Q242" s="2704"/>
    </row>
    <row r="243" spans="1:17" s="226" customFormat="1" ht="15" customHeight="1">
      <c r="A243" s="3724"/>
      <c r="B243" s="1483" t="s">
        <v>415</v>
      </c>
      <c r="C243" s="3749" t="s">
        <v>188</v>
      </c>
      <c r="D243" s="1485">
        <f t="shared" ref="D243:L245" si="187">D244</f>
        <v>120000</v>
      </c>
      <c r="E243" s="1944">
        <f t="shared" ref="E243:E245" si="188">+E244</f>
        <v>120000</v>
      </c>
      <c r="F243" s="1945">
        <f t="shared" si="187"/>
        <v>0</v>
      </c>
      <c r="G243" s="1941">
        <f t="shared" si="187"/>
        <v>0</v>
      </c>
      <c r="H243" s="1849">
        <f t="shared" si="187"/>
        <v>0</v>
      </c>
      <c r="I243" s="1849">
        <f t="shared" si="187"/>
        <v>0</v>
      </c>
      <c r="J243" s="1849">
        <f t="shared" si="187"/>
        <v>0</v>
      </c>
      <c r="K243" s="1849">
        <f t="shared" si="187"/>
        <v>0</v>
      </c>
      <c r="L243" s="1849">
        <f t="shared" si="187"/>
        <v>0</v>
      </c>
      <c r="M243" s="3675"/>
      <c r="N243" s="3675"/>
      <c r="O243" s="3662"/>
      <c r="P243" s="2704"/>
      <c r="Q243" s="2704"/>
    </row>
    <row r="244" spans="1:17" s="226" customFormat="1" ht="15" customHeight="1">
      <c r="A244" s="3724"/>
      <c r="B244" s="3335" t="s">
        <v>15</v>
      </c>
      <c r="C244" s="3808"/>
      <c r="D244" s="1453">
        <f>E244+F244+G244+H244+I244+J244+K244+L244</f>
        <v>120000</v>
      </c>
      <c r="E244" s="1946">
        <v>120000</v>
      </c>
      <c r="F244" s="1947">
        <v>0</v>
      </c>
      <c r="G244" s="1948">
        <v>0</v>
      </c>
      <c r="H244" s="1518">
        <v>0</v>
      </c>
      <c r="I244" s="1518">
        <v>0</v>
      </c>
      <c r="J244" s="1518">
        <v>0</v>
      </c>
      <c r="K244" s="1518">
        <v>0</v>
      </c>
      <c r="L244" s="1518">
        <v>0</v>
      </c>
      <c r="M244" s="3675"/>
      <c r="N244" s="3675"/>
      <c r="O244" s="3662"/>
      <c r="P244" s="2704"/>
      <c r="Q244" s="2704"/>
    </row>
    <row r="245" spans="1:17" s="226" customFormat="1" ht="15" customHeight="1">
      <c r="A245" s="3724"/>
      <c r="B245" s="1949" t="s">
        <v>18</v>
      </c>
      <c r="C245" s="3808"/>
      <c r="D245" s="1850">
        <f t="shared" si="187"/>
        <v>6014597</v>
      </c>
      <c r="E245" s="1851">
        <f t="shared" si="188"/>
        <v>0</v>
      </c>
      <c r="F245" s="1950">
        <f t="shared" si="187"/>
        <v>0</v>
      </c>
      <c r="G245" s="1951">
        <f t="shared" si="187"/>
        <v>0</v>
      </c>
      <c r="H245" s="1850">
        <f t="shared" si="187"/>
        <v>237555</v>
      </c>
      <c r="I245" s="1850">
        <f t="shared" si="187"/>
        <v>4513210</v>
      </c>
      <c r="J245" s="1850">
        <f t="shared" si="187"/>
        <v>1263832</v>
      </c>
      <c r="K245" s="1851">
        <f t="shared" si="187"/>
        <v>0</v>
      </c>
      <c r="L245" s="1851">
        <f t="shared" si="187"/>
        <v>0</v>
      </c>
      <c r="M245" s="3675"/>
      <c r="N245" s="3675"/>
      <c r="O245" s="3662"/>
      <c r="P245" s="2704"/>
      <c r="Q245" s="2704"/>
    </row>
    <row r="246" spans="1:17" s="226" customFormat="1" ht="15" customHeight="1" thickBot="1">
      <c r="A246" s="3723"/>
      <c r="B246" s="3334" t="s">
        <v>21</v>
      </c>
      <c r="C246" s="4358"/>
      <c r="D246" s="1578">
        <f>E246+F246+G246+H246+I246+J246+K246+L246</f>
        <v>6014597</v>
      </c>
      <c r="E246" s="1852">
        <v>0</v>
      </c>
      <c r="F246" s="1952">
        <v>0</v>
      </c>
      <c r="G246" s="1953">
        <v>0</v>
      </c>
      <c r="H246" s="1786">
        <v>237555</v>
      </c>
      <c r="I246" s="1786">
        <v>4513210</v>
      </c>
      <c r="J246" s="1786">
        <v>1263832</v>
      </c>
      <c r="K246" s="1852">
        <v>0</v>
      </c>
      <c r="L246" s="1852">
        <v>0</v>
      </c>
      <c r="M246" s="3676"/>
      <c r="N246" s="3676"/>
      <c r="O246" s="3663"/>
      <c r="P246" s="2704"/>
      <c r="Q246" s="2704"/>
    </row>
    <row r="247" spans="1:17" ht="23.25" customHeight="1" thickBot="1">
      <c r="A247" s="187" t="s">
        <v>171</v>
      </c>
      <c r="B247" s="677"/>
      <c r="C247" s="677"/>
      <c r="D247" s="677"/>
      <c r="E247" s="677"/>
      <c r="F247" s="677"/>
      <c r="G247" s="677"/>
      <c r="H247" s="677"/>
      <c r="I247" s="677"/>
      <c r="J247" s="677"/>
      <c r="K247" s="677"/>
      <c r="L247" s="677"/>
      <c r="M247" s="678"/>
      <c r="N247" s="678"/>
      <c r="O247" s="679"/>
    </row>
    <row r="248" spans="1:17" ht="18.75" customHeight="1" thickBot="1">
      <c r="A248" s="680"/>
      <c r="B248" s="204" t="s">
        <v>76</v>
      </c>
      <c r="C248" s="450"/>
      <c r="D248" s="206">
        <f>+D249+D250</f>
        <v>16198501</v>
      </c>
      <c r="E248" s="206">
        <f t="shared" ref="E248:F248" si="189">+E249+E250</f>
        <v>7742800</v>
      </c>
      <c r="F248" s="206">
        <f t="shared" si="189"/>
        <v>2600000</v>
      </c>
      <c r="G248" s="206">
        <f t="shared" ref="G248:N248" si="190">+G249+G250</f>
        <v>2647000</v>
      </c>
      <c r="H248" s="206">
        <f t="shared" si="190"/>
        <v>2788899</v>
      </c>
      <c r="I248" s="206">
        <f t="shared" si="190"/>
        <v>83899</v>
      </c>
      <c r="J248" s="206">
        <f t="shared" si="190"/>
        <v>97429</v>
      </c>
      <c r="K248" s="206">
        <f t="shared" si="190"/>
        <v>113579</v>
      </c>
      <c r="L248" s="206">
        <f t="shared" si="190"/>
        <v>124895</v>
      </c>
      <c r="M248" s="16">
        <f t="shared" ref="M248" si="191">+M249+M250</f>
        <v>8330806</v>
      </c>
      <c r="N248" s="16">
        <f t="shared" si="190"/>
        <v>5855701</v>
      </c>
      <c r="O248" s="4396"/>
    </row>
    <row r="249" spans="1:17" ht="14.25" customHeight="1" thickBot="1">
      <c r="A249" s="580"/>
      <c r="B249" s="207" t="s">
        <v>77</v>
      </c>
      <c r="C249" s="209"/>
      <c r="D249" s="209">
        <f>D260+D264</f>
        <v>16198501</v>
      </c>
      <c r="E249" s="209">
        <f t="shared" ref="E249:L249" si="192">E260+E264</f>
        <v>7742800</v>
      </c>
      <c r="F249" s="209">
        <f t="shared" si="192"/>
        <v>2600000</v>
      </c>
      <c r="G249" s="209">
        <f t="shared" si="192"/>
        <v>2647000</v>
      </c>
      <c r="H249" s="209">
        <f t="shared" si="192"/>
        <v>2788899</v>
      </c>
      <c r="I249" s="209">
        <f t="shared" si="192"/>
        <v>83899</v>
      </c>
      <c r="J249" s="209">
        <f t="shared" si="192"/>
        <v>97429</v>
      </c>
      <c r="K249" s="209">
        <f t="shared" si="192"/>
        <v>113579</v>
      </c>
      <c r="L249" s="209">
        <f t="shared" si="192"/>
        <v>124895</v>
      </c>
      <c r="M249" s="18">
        <f>SUM(F249:K249)</f>
        <v>8330806</v>
      </c>
      <c r="N249" s="18">
        <f>SUM(G249:L249)</f>
        <v>5855701</v>
      </c>
      <c r="O249" s="4396"/>
    </row>
    <row r="250" spans="1:17" ht="14.25" customHeight="1" thickBot="1">
      <c r="A250" s="580"/>
      <c r="B250" s="681" t="s">
        <v>9</v>
      </c>
      <c r="C250" s="660"/>
      <c r="D250" s="660">
        <v>0</v>
      </c>
      <c r="E250" s="660">
        <v>0</v>
      </c>
      <c r="F250" s="660">
        <v>0</v>
      </c>
      <c r="G250" s="660">
        <v>0</v>
      </c>
      <c r="H250" s="660">
        <v>0</v>
      </c>
      <c r="I250" s="660">
        <f>+I260</f>
        <v>0</v>
      </c>
      <c r="J250" s="660">
        <f>+J260</f>
        <v>0</v>
      </c>
      <c r="K250" s="660">
        <f>+K260</f>
        <v>0</v>
      </c>
      <c r="L250" s="660">
        <f>+L260</f>
        <v>0</v>
      </c>
      <c r="M250" s="148">
        <f>SUM(E250:K250)</f>
        <v>0</v>
      </c>
      <c r="N250" s="148">
        <f>SUM(G250:L250)</f>
        <v>0</v>
      </c>
      <c r="O250" s="4396"/>
    </row>
    <row r="251" spans="1:17" ht="16.5" customHeight="1" thickBot="1">
      <c r="A251" s="357"/>
      <c r="B251" s="2745" t="s">
        <v>10</v>
      </c>
      <c r="C251" s="2746"/>
      <c r="D251" s="2747">
        <f t="shared" ref="D251:L251" si="193">+D252</f>
        <v>16198501</v>
      </c>
      <c r="E251" s="2747">
        <f t="shared" si="193"/>
        <v>7742800</v>
      </c>
      <c r="F251" s="2747">
        <f t="shared" si="193"/>
        <v>2600000</v>
      </c>
      <c r="G251" s="2747">
        <f t="shared" si="193"/>
        <v>2647000</v>
      </c>
      <c r="H251" s="2747">
        <f t="shared" si="193"/>
        <v>2788899</v>
      </c>
      <c r="I251" s="2747">
        <f t="shared" si="193"/>
        <v>83899</v>
      </c>
      <c r="J251" s="2747">
        <f t="shared" si="193"/>
        <v>97429</v>
      </c>
      <c r="K251" s="2747">
        <f t="shared" si="193"/>
        <v>113579</v>
      </c>
      <c r="L251" s="2747">
        <f t="shared" si="193"/>
        <v>124895</v>
      </c>
      <c r="M251" s="2748">
        <f>+M252</f>
        <v>8330806</v>
      </c>
      <c r="N251" s="2748">
        <f>+N252</f>
        <v>5855701</v>
      </c>
      <c r="O251" s="4396"/>
    </row>
    <row r="252" spans="1:17" ht="15" customHeight="1" thickBot="1">
      <c r="A252" s="191"/>
      <c r="B252" s="2710" t="s">
        <v>11</v>
      </c>
      <c r="C252" s="4394" t="s">
        <v>61</v>
      </c>
      <c r="D252" s="2743">
        <f>+D255+D253</f>
        <v>16198501</v>
      </c>
      <c r="E252" s="2743">
        <f t="shared" ref="E252:L252" si="194">+E255+E253</f>
        <v>7742800</v>
      </c>
      <c r="F252" s="2743">
        <f t="shared" si="194"/>
        <v>2600000</v>
      </c>
      <c r="G252" s="2743">
        <f t="shared" si="194"/>
        <v>2647000</v>
      </c>
      <c r="H252" s="2743">
        <f t="shared" si="194"/>
        <v>2788899</v>
      </c>
      <c r="I252" s="2743">
        <f t="shared" si="194"/>
        <v>83899</v>
      </c>
      <c r="J252" s="2743">
        <f t="shared" si="194"/>
        <v>97429</v>
      </c>
      <c r="K252" s="2743">
        <f t="shared" si="194"/>
        <v>113579</v>
      </c>
      <c r="L252" s="2743">
        <f t="shared" si="194"/>
        <v>124895</v>
      </c>
      <c r="M252" s="2744">
        <f>+M253+M254+M255</f>
        <v>8330806</v>
      </c>
      <c r="N252" s="2744">
        <f>+N253+N254+N255</f>
        <v>5855701</v>
      </c>
      <c r="O252" s="4396"/>
    </row>
    <row r="253" spans="1:17" s="1172" customFormat="1" ht="15" customHeight="1" thickBot="1">
      <c r="A253" s="191"/>
      <c r="B253" s="2740" t="s">
        <v>12</v>
      </c>
      <c r="C253" s="4395"/>
      <c r="D253" s="2741">
        <f>D266</f>
        <v>503701</v>
      </c>
      <c r="E253" s="2742">
        <f t="shared" ref="E253:L253" si="195">E266</f>
        <v>0</v>
      </c>
      <c r="F253" s="2742">
        <f t="shared" si="195"/>
        <v>0</v>
      </c>
      <c r="G253" s="2742">
        <f t="shared" si="195"/>
        <v>0</v>
      </c>
      <c r="H253" s="2742">
        <f t="shared" si="195"/>
        <v>83899</v>
      </c>
      <c r="I253" s="2742">
        <f t="shared" si="195"/>
        <v>83899</v>
      </c>
      <c r="J253" s="2742">
        <f t="shared" si="195"/>
        <v>97429</v>
      </c>
      <c r="K253" s="2742">
        <f t="shared" si="195"/>
        <v>113579</v>
      </c>
      <c r="L253" s="2742">
        <f t="shared" si="195"/>
        <v>124895</v>
      </c>
      <c r="M253" s="2350">
        <f t="shared" ref="M253:N255" si="196">SUM(F253:K253)</f>
        <v>378806</v>
      </c>
      <c r="N253" s="2350">
        <f t="shared" si="196"/>
        <v>503701</v>
      </c>
      <c r="O253" s="4396"/>
    </row>
    <row r="254" spans="1:17" ht="13.5" hidden="1" customHeight="1">
      <c r="A254" s="191"/>
      <c r="B254" s="2736" t="s">
        <v>62</v>
      </c>
      <c r="C254" s="4395"/>
      <c r="D254" s="2737">
        <f t="shared" ref="D254:L254" si="197">D270</f>
        <v>0</v>
      </c>
      <c r="E254" s="142">
        <f t="shared" si="197"/>
        <v>0</v>
      </c>
      <c r="F254" s="142">
        <f t="shared" si="197"/>
        <v>0</v>
      </c>
      <c r="G254" s="142">
        <f t="shared" si="197"/>
        <v>0</v>
      </c>
      <c r="H254" s="142">
        <f t="shared" si="197"/>
        <v>0</v>
      </c>
      <c r="I254" s="142">
        <f t="shared" si="197"/>
        <v>0</v>
      </c>
      <c r="J254" s="142">
        <f t="shared" si="197"/>
        <v>0</v>
      </c>
      <c r="K254" s="142">
        <f t="shared" si="197"/>
        <v>0</v>
      </c>
      <c r="L254" s="142">
        <f t="shared" si="197"/>
        <v>0</v>
      </c>
      <c r="M254" s="2738">
        <f t="shared" si="196"/>
        <v>0</v>
      </c>
      <c r="N254" s="2738">
        <f t="shared" si="196"/>
        <v>0</v>
      </c>
      <c r="O254" s="4396"/>
    </row>
    <row r="255" spans="1:17" ht="15.75" customHeight="1" thickBot="1">
      <c r="A255" s="2733"/>
      <c r="B255" s="26" t="s">
        <v>174</v>
      </c>
      <c r="C255" s="4395"/>
      <c r="D255" s="2739">
        <f t="shared" ref="D255:E255" si="198">+D262+D270</f>
        <v>15694800</v>
      </c>
      <c r="E255" s="2739">
        <f t="shared" si="198"/>
        <v>7742800</v>
      </c>
      <c r="F255" s="2739">
        <f t="shared" ref="F255:I255" si="199">+F262</f>
        <v>2600000</v>
      </c>
      <c r="G255" s="2739">
        <f t="shared" si="199"/>
        <v>2647000</v>
      </c>
      <c r="H255" s="2739">
        <f t="shared" si="199"/>
        <v>2705000</v>
      </c>
      <c r="I255" s="2739">
        <f t="shared" si="199"/>
        <v>0</v>
      </c>
      <c r="J255" s="2739">
        <f>+J262</f>
        <v>0</v>
      </c>
      <c r="K255" s="2739">
        <f>+K262</f>
        <v>0</v>
      </c>
      <c r="L255" s="2739">
        <f>+L262</f>
        <v>0</v>
      </c>
      <c r="M255" s="2052">
        <f t="shared" si="196"/>
        <v>7952000</v>
      </c>
      <c r="N255" s="2052">
        <f t="shared" si="196"/>
        <v>5352000</v>
      </c>
      <c r="O255" s="4396"/>
    </row>
    <row r="256" spans="1:17" ht="18.75" hidden="1" customHeight="1">
      <c r="A256" s="2734"/>
      <c r="B256" s="2726" t="s">
        <v>22</v>
      </c>
      <c r="C256" s="2727"/>
      <c r="D256" s="2728">
        <f t="shared" ref="D256:I257" si="200">D257</f>
        <v>0</v>
      </c>
      <c r="E256" s="2728">
        <f t="shared" si="200"/>
        <v>0</v>
      </c>
      <c r="F256" s="2728">
        <f t="shared" si="200"/>
        <v>0</v>
      </c>
      <c r="G256" s="2728">
        <f t="shared" si="200"/>
        <v>0</v>
      </c>
      <c r="H256" s="2728">
        <f t="shared" si="200"/>
        <v>0</v>
      </c>
      <c r="I256" s="2728">
        <f t="shared" si="200"/>
        <v>0</v>
      </c>
      <c r="J256" s="2728">
        <f t="shared" ref="J256:L257" si="201">J257</f>
        <v>0</v>
      </c>
      <c r="K256" s="2728">
        <f t="shared" si="201"/>
        <v>0</v>
      </c>
      <c r="L256" s="2728">
        <f t="shared" si="201"/>
        <v>0</v>
      </c>
      <c r="M256" s="3679" t="s">
        <v>61</v>
      </c>
      <c r="N256" s="3679" t="s">
        <v>61</v>
      </c>
      <c r="O256" s="4396"/>
    </row>
    <row r="257" spans="1:17" ht="13.5" hidden="1" customHeight="1">
      <c r="A257" s="2734"/>
      <c r="B257" s="2729" t="s">
        <v>11</v>
      </c>
      <c r="C257" s="2730"/>
      <c r="D257" s="2731">
        <f t="shared" si="200"/>
        <v>0</v>
      </c>
      <c r="E257" s="2731">
        <f t="shared" si="200"/>
        <v>0</v>
      </c>
      <c r="F257" s="2731">
        <f t="shared" si="200"/>
        <v>0</v>
      </c>
      <c r="G257" s="2731">
        <f t="shared" si="200"/>
        <v>0</v>
      </c>
      <c r="H257" s="2731">
        <f t="shared" si="200"/>
        <v>0</v>
      </c>
      <c r="I257" s="2731">
        <f t="shared" si="200"/>
        <v>0</v>
      </c>
      <c r="J257" s="2731">
        <f t="shared" si="201"/>
        <v>0</v>
      </c>
      <c r="K257" s="2731">
        <f t="shared" si="201"/>
        <v>0</v>
      </c>
      <c r="L257" s="2731">
        <f t="shared" si="201"/>
        <v>0</v>
      </c>
      <c r="M257" s="3679"/>
      <c r="N257" s="3679"/>
      <c r="O257" s="4396"/>
    </row>
    <row r="258" spans="1:17" ht="13.5" hidden="1" customHeight="1" thickBot="1">
      <c r="A258" s="2734"/>
      <c r="B258" s="2732" t="s">
        <v>62</v>
      </c>
      <c r="C258" s="2730"/>
      <c r="D258" s="2723"/>
      <c r="E258" s="2724">
        <f t="shared" ref="E258:G258" si="202">E272+E290+E297+E304+E311+E281+E318+E325+E332+E339</f>
        <v>0</v>
      </c>
      <c r="F258" s="2724">
        <f t="shared" si="202"/>
        <v>0</v>
      </c>
      <c r="G258" s="2724">
        <f t="shared" si="202"/>
        <v>0</v>
      </c>
      <c r="H258" s="2724">
        <f>H273</f>
        <v>0</v>
      </c>
      <c r="I258" s="2724">
        <f>I273</f>
        <v>0</v>
      </c>
      <c r="J258" s="2724">
        <f>J273</f>
        <v>0</v>
      </c>
      <c r="K258" s="2724">
        <f>K273</f>
        <v>0</v>
      </c>
      <c r="L258" s="2724">
        <f>L273</f>
        <v>0</v>
      </c>
      <c r="M258" s="3679"/>
      <c r="N258" s="3679"/>
      <c r="O258" s="4396"/>
    </row>
    <row r="259" spans="1:17" ht="29.25" customHeight="1" thickBot="1">
      <c r="A259" s="4391" t="s">
        <v>63</v>
      </c>
      <c r="B259" s="180" t="s">
        <v>286</v>
      </c>
      <c r="C259" s="2302" t="s">
        <v>170</v>
      </c>
      <c r="D259" s="668"/>
      <c r="E259" s="2303"/>
      <c r="F259" s="3181"/>
      <c r="G259" s="3181"/>
      <c r="H259" s="3181"/>
      <c r="I259" s="2303"/>
      <c r="J259" s="2303"/>
      <c r="K259" s="2303"/>
      <c r="L259" s="3182"/>
      <c r="M259" s="670"/>
      <c r="N259" s="670"/>
      <c r="O259" s="4367" t="s">
        <v>172</v>
      </c>
    </row>
    <row r="260" spans="1:17" ht="15.75" customHeight="1" thickBot="1">
      <c r="A260" s="4391"/>
      <c r="B260" s="581" t="s">
        <v>10</v>
      </c>
      <c r="C260" s="654"/>
      <c r="D260" s="626">
        <f t="shared" ref="D260:N261" si="203">+D261</f>
        <v>15694800</v>
      </c>
      <c r="E260" s="626">
        <f t="shared" si="203"/>
        <v>7742800</v>
      </c>
      <c r="F260" s="626">
        <f t="shared" si="203"/>
        <v>2600000</v>
      </c>
      <c r="G260" s="626">
        <f t="shared" si="203"/>
        <v>2647000</v>
      </c>
      <c r="H260" s="626">
        <f t="shared" si="203"/>
        <v>2705000</v>
      </c>
      <c r="I260" s="626">
        <f t="shared" si="203"/>
        <v>0</v>
      </c>
      <c r="J260" s="626">
        <f t="shared" si="203"/>
        <v>0</v>
      </c>
      <c r="K260" s="626">
        <f t="shared" si="203"/>
        <v>0</v>
      </c>
      <c r="L260" s="626">
        <f t="shared" si="203"/>
        <v>0</v>
      </c>
      <c r="M260" s="562">
        <f t="shared" si="203"/>
        <v>7952000</v>
      </c>
      <c r="N260" s="562">
        <f t="shared" si="203"/>
        <v>5352000</v>
      </c>
      <c r="O260" s="4367"/>
    </row>
    <row r="261" spans="1:17" ht="15" customHeight="1" thickBot="1">
      <c r="A261" s="4391"/>
      <c r="B261" s="874" t="s">
        <v>24</v>
      </c>
      <c r="C261" s="3646" t="s">
        <v>173</v>
      </c>
      <c r="D261" s="1170">
        <f t="shared" si="203"/>
        <v>15694800</v>
      </c>
      <c r="E261" s="1170">
        <f t="shared" si="203"/>
        <v>7742800</v>
      </c>
      <c r="F261" s="1171">
        <f t="shared" ref="F261:H261" si="204">F262</f>
        <v>2600000</v>
      </c>
      <c r="G261" s="1171">
        <f t="shared" si="204"/>
        <v>2647000</v>
      </c>
      <c r="H261" s="1171">
        <f t="shared" si="204"/>
        <v>2705000</v>
      </c>
      <c r="I261" s="1171">
        <v>0</v>
      </c>
      <c r="J261" s="1171">
        <v>0</v>
      </c>
      <c r="K261" s="1171">
        <v>0</v>
      </c>
      <c r="L261" s="1171">
        <v>0</v>
      </c>
      <c r="M261" s="563">
        <f t="shared" si="203"/>
        <v>7952000</v>
      </c>
      <c r="N261" s="563">
        <f t="shared" si="203"/>
        <v>5352000</v>
      </c>
      <c r="O261" s="4367"/>
    </row>
    <row r="262" spans="1:17" ht="15" customHeight="1" thickBot="1">
      <c r="A262" s="4391"/>
      <c r="B262" s="3334" t="s">
        <v>174</v>
      </c>
      <c r="C262" s="3701"/>
      <c r="D262" s="832">
        <f>E262+F262+G262+H262+I262+J262+K262+L262</f>
        <v>15694800</v>
      </c>
      <c r="E262" s="832">
        <v>7742800</v>
      </c>
      <c r="F262" s="471">
        <v>2600000</v>
      </c>
      <c r="G262" s="471">
        <v>2647000</v>
      </c>
      <c r="H262" s="471">
        <v>2705000</v>
      </c>
      <c r="I262" s="471">
        <v>0</v>
      </c>
      <c r="J262" s="471">
        <v>0</v>
      </c>
      <c r="K262" s="471">
        <v>0</v>
      </c>
      <c r="L262" s="471">
        <v>0</v>
      </c>
      <c r="M262" s="664">
        <f>SUM(F262:K262)</f>
        <v>7952000</v>
      </c>
      <c r="N262" s="2052">
        <f>SUM(G262:L262)</f>
        <v>5352000</v>
      </c>
      <c r="O262" s="4367"/>
    </row>
    <row r="263" spans="1:17" ht="27" customHeight="1">
      <c r="A263" s="3626" t="s">
        <v>64</v>
      </c>
      <c r="B263" s="634" t="s">
        <v>313</v>
      </c>
      <c r="C263" s="647" t="s">
        <v>109</v>
      </c>
      <c r="D263" s="3336"/>
      <c r="E263" s="3167"/>
      <c r="F263" s="3167"/>
      <c r="G263" s="3167"/>
      <c r="H263" s="3167"/>
      <c r="I263" s="3167"/>
      <c r="J263" s="3167"/>
      <c r="K263" s="3167"/>
      <c r="L263" s="58"/>
      <c r="M263" s="635"/>
      <c r="N263" s="635"/>
      <c r="O263" s="4342" t="s">
        <v>193</v>
      </c>
      <c r="Q263" s="197"/>
    </row>
    <row r="264" spans="1:17" ht="15" customHeight="1">
      <c r="A264" s="3626"/>
      <c r="B264" s="581" t="s">
        <v>10</v>
      </c>
      <c r="C264" s="3337"/>
      <c r="D264" s="626">
        <f>D265</f>
        <v>503701</v>
      </c>
      <c r="E264" s="626">
        <f t="shared" ref="E264:L265" si="205">E265</f>
        <v>0</v>
      </c>
      <c r="F264" s="655">
        <f t="shared" si="205"/>
        <v>0</v>
      </c>
      <c r="G264" s="655">
        <f t="shared" si="205"/>
        <v>0</v>
      </c>
      <c r="H264" s="626">
        <f t="shared" si="205"/>
        <v>83899</v>
      </c>
      <c r="I264" s="626">
        <f t="shared" si="205"/>
        <v>83899</v>
      </c>
      <c r="J264" s="626">
        <f t="shared" si="205"/>
        <v>97429</v>
      </c>
      <c r="K264" s="626">
        <f t="shared" si="205"/>
        <v>113579</v>
      </c>
      <c r="L264" s="627">
        <f t="shared" si="205"/>
        <v>124895</v>
      </c>
      <c r="M264" s="3338">
        <f>M265</f>
        <v>503701</v>
      </c>
      <c r="N264" s="3338">
        <f>N265</f>
        <v>503701</v>
      </c>
      <c r="O264" s="4342"/>
    </row>
    <row r="265" spans="1:17" ht="15" customHeight="1">
      <c r="A265" s="3626"/>
      <c r="B265" s="628" t="s">
        <v>11</v>
      </c>
      <c r="C265" s="4393" t="s">
        <v>169</v>
      </c>
      <c r="D265" s="3339">
        <f>D266</f>
        <v>503701</v>
      </c>
      <c r="E265" s="3339">
        <f t="shared" si="205"/>
        <v>0</v>
      </c>
      <c r="F265" s="3340">
        <f t="shared" si="205"/>
        <v>0</v>
      </c>
      <c r="G265" s="3340">
        <f t="shared" si="205"/>
        <v>0</v>
      </c>
      <c r="H265" s="3339">
        <f t="shared" si="205"/>
        <v>83899</v>
      </c>
      <c r="I265" s="3339">
        <f t="shared" si="205"/>
        <v>83899</v>
      </c>
      <c r="J265" s="3339">
        <f t="shared" si="205"/>
        <v>97429</v>
      </c>
      <c r="K265" s="3339">
        <f t="shared" si="205"/>
        <v>113579</v>
      </c>
      <c r="L265" s="3339">
        <f t="shared" si="205"/>
        <v>124895</v>
      </c>
      <c r="M265" s="641">
        <f>M266</f>
        <v>503701</v>
      </c>
      <c r="N265" s="641">
        <f>N266</f>
        <v>503701</v>
      </c>
      <c r="O265" s="4342"/>
    </row>
    <row r="266" spans="1:17" ht="15" customHeight="1" thickBot="1">
      <c r="A266" s="3836"/>
      <c r="B266" s="79" t="s">
        <v>12</v>
      </c>
      <c r="C266" s="3835"/>
      <c r="D266" s="832">
        <f>E266+F266+G266+H266+I266+J266+K266+L266</f>
        <v>503701</v>
      </c>
      <c r="E266" s="832">
        <v>0</v>
      </c>
      <c r="F266" s="1168">
        <v>0</v>
      </c>
      <c r="G266" s="1168">
        <v>0</v>
      </c>
      <c r="H266" s="1169">
        <v>83899</v>
      </c>
      <c r="I266" s="1169">
        <v>83899</v>
      </c>
      <c r="J266" s="1169">
        <v>97429</v>
      </c>
      <c r="K266" s="1169">
        <v>113579</v>
      </c>
      <c r="L266" s="1169">
        <v>124895</v>
      </c>
      <c r="M266" s="3341">
        <f>SUM(F266:L266)</f>
        <v>503701</v>
      </c>
      <c r="N266" s="3341">
        <f>SUM(G266:L266)</f>
        <v>503701</v>
      </c>
      <c r="O266" s="4343"/>
    </row>
    <row r="267" spans="1:17" ht="40.5" hidden="1" customHeight="1">
      <c r="A267" s="4386" t="s">
        <v>65</v>
      </c>
      <c r="B267" s="260"/>
      <c r="C267" s="252" t="s">
        <v>170</v>
      </c>
      <c r="D267" s="683"/>
      <c r="E267" s="684"/>
      <c r="F267" s="685"/>
      <c r="G267" s="685"/>
      <c r="H267" s="685"/>
      <c r="I267" s="684"/>
      <c r="J267" s="684"/>
      <c r="K267" s="684"/>
      <c r="L267" s="684"/>
      <c r="M267" s="686"/>
      <c r="N267" s="686"/>
      <c r="O267" s="4387" t="s">
        <v>189</v>
      </c>
    </row>
    <row r="268" spans="1:17" ht="17.25" hidden="1" customHeight="1">
      <c r="A268" s="4386"/>
      <c r="B268" s="132" t="s">
        <v>10</v>
      </c>
      <c r="C268" s="132"/>
      <c r="D268" s="228"/>
      <c r="E268" s="228"/>
      <c r="F268" s="262"/>
      <c r="G268" s="261">
        <f t="shared" ref="G268:N268" si="206">+G269</f>
        <v>0</v>
      </c>
      <c r="H268" s="261">
        <f t="shared" si="206"/>
        <v>0</v>
      </c>
      <c r="I268" s="262">
        <f t="shared" si="206"/>
        <v>0</v>
      </c>
      <c r="J268" s="262"/>
      <c r="K268" s="262"/>
      <c r="L268" s="262"/>
      <c r="M268" s="63">
        <f t="shared" si="206"/>
        <v>0</v>
      </c>
      <c r="N268" s="63">
        <f t="shared" si="206"/>
        <v>0</v>
      </c>
      <c r="O268" s="4387"/>
    </row>
    <row r="269" spans="1:17" ht="16.5" hidden="1" customHeight="1">
      <c r="A269" s="4386"/>
      <c r="B269" s="171" t="s">
        <v>190</v>
      </c>
      <c r="C269" s="4388" t="s">
        <v>188</v>
      </c>
      <c r="D269" s="263"/>
      <c r="E269" s="264"/>
      <c r="F269" s="264"/>
      <c r="G269" s="264">
        <f>G270</f>
        <v>0</v>
      </c>
      <c r="H269" s="264">
        <f>H270</f>
        <v>0</v>
      </c>
      <c r="I269" s="265">
        <f>I270</f>
        <v>0</v>
      </c>
      <c r="J269" s="265"/>
      <c r="K269" s="265"/>
      <c r="L269" s="265"/>
      <c r="M269" s="77">
        <f>+M270</f>
        <v>0</v>
      </c>
      <c r="N269" s="77">
        <f>+N270</f>
        <v>0</v>
      </c>
      <c r="O269" s="4387"/>
    </row>
    <row r="270" spans="1:17" ht="13.5" hidden="1" customHeight="1">
      <c r="A270" s="4386"/>
      <c r="B270" s="3342" t="s">
        <v>62</v>
      </c>
      <c r="C270" s="4389"/>
      <c r="D270" s="266"/>
      <c r="E270" s="267"/>
      <c r="F270" s="267"/>
      <c r="G270" s="267">
        <v>0</v>
      </c>
      <c r="H270" s="267">
        <v>0</v>
      </c>
      <c r="I270" s="267">
        <v>0</v>
      </c>
      <c r="J270" s="267"/>
      <c r="K270" s="267"/>
      <c r="L270" s="267"/>
      <c r="M270" s="268"/>
      <c r="N270" s="268"/>
      <c r="O270" s="4387"/>
    </row>
    <row r="271" spans="1:17" ht="15.75" hidden="1" customHeight="1">
      <c r="A271" s="4386"/>
      <c r="B271" s="269" t="s">
        <v>22</v>
      </c>
      <c r="C271" s="22"/>
      <c r="D271" s="29"/>
      <c r="E271" s="193"/>
      <c r="F271" s="193"/>
      <c r="G271" s="193"/>
      <c r="H271" s="193">
        <f t="shared" ref="G271:I272" si="207">H272</f>
        <v>0</v>
      </c>
      <c r="I271" s="193">
        <f t="shared" si="207"/>
        <v>0</v>
      </c>
      <c r="J271" s="687"/>
      <c r="K271" s="687"/>
      <c r="L271" s="687"/>
      <c r="M271" s="3675" t="s">
        <v>61</v>
      </c>
      <c r="N271" s="3675" t="s">
        <v>61</v>
      </c>
      <c r="O271" s="4387"/>
    </row>
    <row r="272" spans="1:17" ht="16.5" hidden="1" customHeight="1">
      <c r="A272" s="4386"/>
      <c r="B272" s="171" t="s">
        <v>11</v>
      </c>
      <c r="C272" s="4390" t="s">
        <v>188</v>
      </c>
      <c r="D272" s="123"/>
      <c r="E272" s="48"/>
      <c r="F272" s="48"/>
      <c r="G272" s="48">
        <f t="shared" si="207"/>
        <v>0</v>
      </c>
      <c r="H272" s="48">
        <f t="shared" si="207"/>
        <v>0</v>
      </c>
      <c r="I272" s="48">
        <f t="shared" si="207"/>
        <v>0</v>
      </c>
      <c r="J272" s="289"/>
      <c r="K272" s="289"/>
      <c r="L272" s="289"/>
      <c r="M272" s="3675"/>
      <c r="N272" s="3675"/>
      <c r="O272" s="4387"/>
    </row>
    <row r="273" spans="1:15" ht="13.5" hidden="1" customHeight="1" thickBot="1">
      <c r="A273" s="4386"/>
      <c r="B273" s="3298" t="s">
        <v>62</v>
      </c>
      <c r="C273" s="3657"/>
      <c r="D273" s="270"/>
      <c r="E273" s="71"/>
      <c r="F273" s="70"/>
      <c r="G273" s="70">
        <v>0</v>
      </c>
      <c r="H273" s="70">
        <v>0</v>
      </c>
      <c r="I273" s="70">
        <v>0</v>
      </c>
      <c r="J273" s="54"/>
      <c r="K273" s="54"/>
      <c r="L273" s="54"/>
      <c r="M273" s="3676"/>
      <c r="N273" s="3676"/>
      <c r="O273" s="4387"/>
    </row>
    <row r="274" spans="1:15" ht="17.25" customHeight="1">
      <c r="A274" s="656" t="s">
        <v>389</v>
      </c>
      <c r="E274" s="600"/>
      <c r="O274" s="688"/>
    </row>
    <row r="275" spans="1:15" ht="11.25" customHeight="1">
      <c r="A275" s="4385"/>
      <c r="B275" s="4385"/>
      <c r="C275" s="4385"/>
      <c r="D275" s="4385"/>
      <c r="E275" s="4385"/>
      <c r="F275" s="4385"/>
      <c r="G275" s="4385"/>
      <c r="H275" s="4385"/>
      <c r="I275" s="4385"/>
      <c r="J275" s="4385"/>
      <c r="K275" s="4385"/>
      <c r="L275" s="4385"/>
      <c r="M275" s="4385"/>
      <c r="N275" s="4385"/>
      <c r="O275" s="4385"/>
    </row>
    <row r="276" spans="1:15">
      <c r="A276" s="4385"/>
      <c r="B276" s="4385"/>
      <c r="C276" s="4385"/>
      <c r="D276" s="4385"/>
      <c r="E276" s="4385"/>
      <c r="F276" s="4385"/>
      <c r="G276" s="4385"/>
      <c r="H276" s="4385"/>
      <c r="I276" s="4385"/>
      <c r="J276" s="4385"/>
      <c r="K276" s="4385"/>
      <c r="L276" s="4385"/>
      <c r="M276" s="4385"/>
      <c r="N276" s="4385"/>
      <c r="O276" s="4385"/>
    </row>
    <row r="277" spans="1:15" ht="12.75" hidden="1">
      <c r="B277" s="1236" t="s">
        <v>350</v>
      </c>
      <c r="C277" s="3343"/>
      <c r="D277" s="3343"/>
      <c r="E277" s="3343"/>
      <c r="F277" s="3343"/>
      <c r="G277" s="3343"/>
      <c r="H277" s="3343"/>
      <c r="I277" s="3343"/>
      <c r="J277" s="3343"/>
      <c r="K277" s="3343"/>
      <c r="L277" s="3343"/>
      <c r="O277" s="688"/>
    </row>
    <row r="278" spans="1:15" ht="12.75" hidden="1">
      <c r="B278" s="1271" t="s">
        <v>351</v>
      </c>
      <c r="C278" s="3343"/>
      <c r="D278" s="3344">
        <f>D102+D127+D149+D158+D180+D202+D211+D234</f>
        <v>2929227</v>
      </c>
      <c r="E278" s="3344">
        <f t="shared" ref="E278:L278" si="208">E102+E127+E149+E158+E180+E202+E211+E234</f>
        <v>0</v>
      </c>
      <c r="F278" s="3344">
        <f t="shared" si="208"/>
        <v>977</v>
      </c>
      <c r="G278" s="3344">
        <f t="shared" si="208"/>
        <v>618334</v>
      </c>
      <c r="H278" s="3344">
        <f t="shared" si="208"/>
        <v>1306959</v>
      </c>
      <c r="I278" s="3344">
        <f t="shared" si="208"/>
        <v>679194</v>
      </c>
      <c r="J278" s="3344">
        <f t="shared" si="208"/>
        <v>323763</v>
      </c>
      <c r="K278" s="3344">
        <f t="shared" si="208"/>
        <v>0</v>
      </c>
      <c r="L278" s="3344">
        <f t="shared" si="208"/>
        <v>0</v>
      </c>
      <c r="O278" s="688"/>
    </row>
    <row r="279" spans="1:15" ht="12.75" hidden="1">
      <c r="B279" s="1271" t="s">
        <v>352</v>
      </c>
      <c r="C279" s="3343"/>
      <c r="D279" s="3344">
        <f t="shared" ref="D279:L279" si="209">D32+D44+D56+D67+D80+D112+D136+D167+D189+D221+D246+D244+D93</f>
        <v>82758413</v>
      </c>
      <c r="E279" s="3344">
        <f t="shared" si="209"/>
        <v>120000</v>
      </c>
      <c r="F279" s="3344">
        <f t="shared" si="209"/>
        <v>45886</v>
      </c>
      <c r="G279" s="3344">
        <f t="shared" si="209"/>
        <v>53388991</v>
      </c>
      <c r="H279" s="3344">
        <f t="shared" si="209"/>
        <v>19940330</v>
      </c>
      <c r="I279" s="3344">
        <f t="shared" si="209"/>
        <v>6239181</v>
      </c>
      <c r="J279" s="3344">
        <f t="shared" si="209"/>
        <v>3024025</v>
      </c>
      <c r="K279" s="3344">
        <f t="shared" si="209"/>
        <v>0</v>
      </c>
      <c r="L279" s="3344">
        <f t="shared" si="209"/>
        <v>0</v>
      </c>
      <c r="O279" s="688"/>
    </row>
    <row r="280" spans="1:15" ht="12.75" hidden="1">
      <c r="B280" s="1271" t="s">
        <v>353</v>
      </c>
      <c r="C280" s="3343"/>
      <c r="D280" s="1234">
        <f>D278+D279</f>
        <v>85687640</v>
      </c>
      <c r="E280" s="1234">
        <f t="shared" ref="E280:I280" si="210">E278+E279</f>
        <v>120000</v>
      </c>
      <c r="F280" s="1234">
        <f t="shared" si="210"/>
        <v>46863</v>
      </c>
      <c r="G280" s="1234">
        <f t="shared" si="210"/>
        <v>54007325</v>
      </c>
      <c r="H280" s="1234">
        <f t="shared" si="210"/>
        <v>21247289</v>
      </c>
      <c r="I280" s="1234">
        <f t="shared" si="210"/>
        <v>6918375</v>
      </c>
      <c r="J280" s="1234">
        <f t="shared" ref="J280:L280" si="211">J278+J279</f>
        <v>3347788</v>
      </c>
      <c r="K280" s="1234">
        <f t="shared" si="211"/>
        <v>0</v>
      </c>
      <c r="L280" s="1234">
        <f t="shared" si="211"/>
        <v>0</v>
      </c>
      <c r="O280" s="688"/>
    </row>
    <row r="281" spans="1:15" ht="12.75" hidden="1">
      <c r="B281" s="1230" t="s">
        <v>42</v>
      </c>
      <c r="C281" s="1232"/>
      <c r="D281" s="1235">
        <f>D280-D18</f>
        <v>0</v>
      </c>
      <c r="E281" s="1235">
        <f t="shared" ref="E281:L281" si="212">E280-E18</f>
        <v>0</v>
      </c>
      <c r="F281" s="1235">
        <f t="shared" si="212"/>
        <v>0</v>
      </c>
      <c r="G281" s="1235">
        <f t="shared" si="212"/>
        <v>0</v>
      </c>
      <c r="H281" s="1235">
        <f t="shared" si="212"/>
        <v>0</v>
      </c>
      <c r="I281" s="1235">
        <f t="shared" si="212"/>
        <v>0</v>
      </c>
      <c r="J281" s="1235">
        <f t="shared" si="212"/>
        <v>0</v>
      </c>
      <c r="K281" s="1235">
        <f t="shared" si="212"/>
        <v>0</v>
      </c>
      <c r="L281" s="1235">
        <f t="shared" si="212"/>
        <v>0</v>
      </c>
      <c r="O281" s="688"/>
    </row>
    <row r="282" spans="1:15" hidden="1">
      <c r="E282" s="600"/>
      <c r="O282" s="688"/>
    </row>
    <row r="283" spans="1:15" hidden="1">
      <c r="E283" s="600"/>
      <c r="O283" s="688"/>
    </row>
    <row r="284" spans="1:15">
      <c r="E284" s="600"/>
      <c r="O284" s="688"/>
    </row>
    <row r="285" spans="1:15">
      <c r="E285" s="600"/>
      <c r="O285" s="688"/>
    </row>
    <row r="286" spans="1:15">
      <c r="E286" s="600"/>
      <c r="O286" s="688"/>
    </row>
    <row r="287" spans="1:15">
      <c r="E287" s="600"/>
      <c r="O287" s="688"/>
    </row>
    <row r="288" spans="1:15">
      <c r="E288" s="600"/>
      <c r="O288" s="688"/>
    </row>
    <row r="289" spans="5:15">
      <c r="E289" s="600"/>
      <c r="O289" s="688"/>
    </row>
    <row r="290" spans="5:15">
      <c r="E290" s="600"/>
      <c r="O290" s="688"/>
    </row>
    <row r="291" spans="5:15">
      <c r="E291" s="600"/>
      <c r="O291" s="688"/>
    </row>
    <row r="292" spans="5:15">
      <c r="E292" s="600"/>
      <c r="O292" s="688"/>
    </row>
    <row r="293" spans="5:15">
      <c r="E293" s="600"/>
      <c r="O293" s="688"/>
    </row>
    <row r="294" spans="5:15">
      <c r="E294" s="600"/>
      <c r="O294" s="688"/>
    </row>
    <row r="295" spans="5:15">
      <c r="E295" s="600"/>
      <c r="O295" s="688"/>
    </row>
    <row r="296" spans="5:15">
      <c r="E296" s="600"/>
      <c r="O296" s="688"/>
    </row>
    <row r="297" spans="5:15">
      <c r="E297" s="600"/>
      <c r="O297" s="688"/>
    </row>
    <row r="298" spans="5:15">
      <c r="E298" s="600"/>
      <c r="O298" s="688"/>
    </row>
    <row r="299" spans="5:15">
      <c r="E299" s="600"/>
      <c r="O299" s="688"/>
    </row>
    <row r="300" spans="5:15">
      <c r="E300" s="600"/>
      <c r="O300" s="688"/>
    </row>
    <row r="301" spans="5:15">
      <c r="E301" s="600"/>
      <c r="O301" s="688"/>
    </row>
    <row r="302" spans="5:15">
      <c r="E302" s="600"/>
      <c r="O302" s="688"/>
    </row>
    <row r="303" spans="5:15">
      <c r="E303" s="600"/>
      <c r="O303" s="688"/>
    </row>
    <row r="304" spans="5:15">
      <c r="E304" s="600"/>
      <c r="O304" s="688"/>
    </row>
    <row r="305" spans="5:15">
      <c r="E305" s="600"/>
      <c r="O305" s="688"/>
    </row>
    <row r="306" spans="5:15">
      <c r="E306" s="600"/>
      <c r="O306" s="688"/>
    </row>
    <row r="307" spans="5:15">
      <c r="E307" s="600"/>
      <c r="O307" s="688"/>
    </row>
    <row r="308" spans="5:15">
      <c r="E308" s="600"/>
      <c r="O308" s="688"/>
    </row>
    <row r="309" spans="5:15">
      <c r="E309" s="600"/>
      <c r="O309" s="688"/>
    </row>
    <row r="310" spans="5:15">
      <c r="E310" s="600"/>
      <c r="O310" s="688"/>
    </row>
    <row r="311" spans="5:15">
      <c r="E311" s="600"/>
      <c r="O311" s="688"/>
    </row>
    <row r="312" spans="5:15">
      <c r="E312" s="600"/>
      <c r="O312" s="688"/>
    </row>
    <row r="313" spans="5:15">
      <c r="E313" s="600"/>
      <c r="O313" s="688"/>
    </row>
    <row r="314" spans="5:15">
      <c r="E314" s="600"/>
      <c r="O314" s="688"/>
    </row>
    <row r="315" spans="5:15">
      <c r="E315" s="600"/>
      <c r="O315" s="688"/>
    </row>
    <row r="316" spans="5:15">
      <c r="E316" s="600"/>
      <c r="O316" s="688"/>
    </row>
    <row r="317" spans="5:15">
      <c r="E317" s="600"/>
      <c r="O317" s="688"/>
    </row>
    <row r="318" spans="5:15">
      <c r="E318" s="600"/>
      <c r="O318" s="688"/>
    </row>
    <row r="319" spans="5:15">
      <c r="E319" s="600"/>
      <c r="O319" s="688"/>
    </row>
    <row r="320" spans="5:15">
      <c r="E320" s="600"/>
      <c r="O320" s="688"/>
    </row>
    <row r="321" spans="5:15">
      <c r="E321" s="600"/>
      <c r="O321" s="688"/>
    </row>
    <row r="322" spans="5:15">
      <c r="E322" s="600"/>
      <c r="O322" s="688"/>
    </row>
    <row r="323" spans="5:15">
      <c r="E323" s="600"/>
      <c r="O323" s="688"/>
    </row>
    <row r="324" spans="5:15">
      <c r="E324" s="600"/>
      <c r="O324" s="688"/>
    </row>
    <row r="325" spans="5:15">
      <c r="E325" s="600"/>
      <c r="O325" s="688"/>
    </row>
    <row r="326" spans="5:15">
      <c r="E326" s="600"/>
      <c r="O326" s="688"/>
    </row>
    <row r="327" spans="5:15">
      <c r="E327" s="600"/>
      <c r="O327" s="688"/>
    </row>
    <row r="328" spans="5:15">
      <c r="E328" s="600"/>
      <c r="O328" s="688"/>
    </row>
    <row r="329" spans="5:15">
      <c r="E329" s="600"/>
      <c r="O329" s="688"/>
    </row>
    <row r="330" spans="5:15">
      <c r="E330" s="600"/>
      <c r="O330" s="688"/>
    </row>
    <row r="331" spans="5:15">
      <c r="E331" s="600"/>
      <c r="O331" s="688"/>
    </row>
    <row r="332" spans="5:15">
      <c r="E332" s="600"/>
      <c r="O332" s="688"/>
    </row>
    <row r="333" spans="5:15">
      <c r="E333" s="600"/>
      <c r="O333" s="688"/>
    </row>
    <row r="334" spans="5:15">
      <c r="E334" s="600"/>
      <c r="O334" s="688"/>
    </row>
    <row r="335" spans="5:15">
      <c r="E335" s="600"/>
      <c r="O335" s="688"/>
    </row>
    <row r="336" spans="5:15">
      <c r="E336" s="600"/>
      <c r="O336" s="688"/>
    </row>
    <row r="337" spans="5:15">
      <c r="E337" s="600"/>
      <c r="O337" s="688"/>
    </row>
    <row r="338" spans="5:15">
      <c r="E338" s="600"/>
      <c r="O338" s="688"/>
    </row>
    <row r="339" spans="5:15">
      <c r="E339" s="600"/>
      <c r="O339" s="688"/>
    </row>
    <row r="340" spans="5:15">
      <c r="E340" s="600"/>
      <c r="O340" s="688"/>
    </row>
    <row r="341" spans="5:15">
      <c r="E341" s="600"/>
      <c r="O341" s="688"/>
    </row>
    <row r="342" spans="5:15">
      <c r="E342" s="600"/>
      <c r="O342" s="688"/>
    </row>
    <row r="343" spans="5:15">
      <c r="E343" s="600"/>
      <c r="O343" s="688"/>
    </row>
    <row r="344" spans="5:15">
      <c r="E344" s="600"/>
      <c r="O344" s="688"/>
    </row>
    <row r="345" spans="5:15">
      <c r="E345" s="600"/>
      <c r="O345" s="688"/>
    </row>
    <row r="346" spans="5:15">
      <c r="E346" s="600"/>
      <c r="O346" s="688"/>
    </row>
    <row r="347" spans="5:15">
      <c r="E347" s="600"/>
      <c r="O347" s="688"/>
    </row>
    <row r="348" spans="5:15">
      <c r="E348" s="600"/>
      <c r="O348" s="688"/>
    </row>
    <row r="349" spans="5:15">
      <c r="E349" s="600"/>
      <c r="O349" s="688"/>
    </row>
    <row r="350" spans="5:15">
      <c r="E350" s="600"/>
      <c r="O350" s="688"/>
    </row>
    <row r="351" spans="5:15">
      <c r="E351" s="600"/>
      <c r="O351" s="688"/>
    </row>
    <row r="352" spans="5:15">
      <c r="E352" s="600"/>
      <c r="O352" s="688"/>
    </row>
    <row r="353" spans="5:15">
      <c r="E353" s="600"/>
      <c r="O353" s="688"/>
    </row>
    <row r="354" spans="5:15">
      <c r="E354" s="600"/>
      <c r="O354" s="688"/>
    </row>
    <row r="355" spans="5:15">
      <c r="E355" s="600"/>
      <c r="O355" s="688"/>
    </row>
    <row r="356" spans="5:15">
      <c r="E356" s="600"/>
      <c r="O356" s="688"/>
    </row>
    <row r="357" spans="5:15">
      <c r="E357" s="600"/>
      <c r="O357" s="688"/>
    </row>
    <row r="358" spans="5:15">
      <c r="E358" s="600"/>
      <c r="O358" s="688"/>
    </row>
    <row r="359" spans="5:15">
      <c r="E359" s="600"/>
      <c r="O359" s="688"/>
    </row>
    <row r="360" spans="5:15">
      <c r="E360" s="600"/>
      <c r="O360" s="688"/>
    </row>
    <row r="361" spans="5:15">
      <c r="E361" s="600"/>
      <c r="O361" s="688"/>
    </row>
    <row r="362" spans="5:15">
      <c r="E362" s="600"/>
      <c r="O362" s="688"/>
    </row>
    <row r="363" spans="5:15">
      <c r="E363" s="600"/>
      <c r="O363" s="688"/>
    </row>
    <row r="364" spans="5:15">
      <c r="E364" s="600"/>
      <c r="O364" s="688"/>
    </row>
    <row r="365" spans="5:15">
      <c r="E365" s="600"/>
      <c r="O365" s="688"/>
    </row>
    <row r="366" spans="5:15">
      <c r="E366" s="600"/>
      <c r="O366" s="688"/>
    </row>
    <row r="367" spans="5:15">
      <c r="E367" s="600"/>
      <c r="O367" s="688"/>
    </row>
    <row r="368" spans="5:15">
      <c r="E368" s="600"/>
      <c r="O368" s="688"/>
    </row>
    <row r="369" spans="5:15">
      <c r="E369" s="600"/>
      <c r="O369" s="688"/>
    </row>
    <row r="370" spans="5:15">
      <c r="E370" s="600"/>
      <c r="O370" s="688"/>
    </row>
    <row r="371" spans="5:15">
      <c r="E371" s="600"/>
      <c r="O371" s="688"/>
    </row>
    <row r="372" spans="5:15">
      <c r="E372" s="600"/>
      <c r="O372" s="688"/>
    </row>
    <row r="373" spans="5:15">
      <c r="E373" s="600"/>
      <c r="O373" s="688"/>
    </row>
    <row r="374" spans="5:15">
      <c r="E374" s="600"/>
      <c r="O374" s="688"/>
    </row>
    <row r="375" spans="5:15">
      <c r="E375" s="600"/>
      <c r="O375" s="688"/>
    </row>
    <row r="376" spans="5:15">
      <c r="E376" s="600"/>
      <c r="O376" s="688"/>
    </row>
    <row r="377" spans="5:15">
      <c r="E377" s="600"/>
      <c r="O377" s="688"/>
    </row>
    <row r="378" spans="5:15">
      <c r="E378" s="600"/>
      <c r="O378" s="688"/>
    </row>
    <row r="379" spans="5:15">
      <c r="E379" s="600"/>
      <c r="O379" s="688"/>
    </row>
    <row r="380" spans="5:15">
      <c r="E380" s="600"/>
      <c r="O380" s="688"/>
    </row>
    <row r="381" spans="5:15">
      <c r="E381" s="600"/>
      <c r="O381" s="688"/>
    </row>
    <row r="382" spans="5:15">
      <c r="E382" s="600"/>
      <c r="O382" s="688"/>
    </row>
    <row r="383" spans="5:15">
      <c r="E383" s="600"/>
      <c r="O383" s="688"/>
    </row>
    <row r="384" spans="5:15">
      <c r="E384" s="600"/>
      <c r="O384" s="688"/>
    </row>
    <row r="385" spans="5:15">
      <c r="E385" s="600"/>
      <c r="O385" s="688"/>
    </row>
    <row r="386" spans="5:15">
      <c r="E386" s="600"/>
      <c r="O386" s="688"/>
    </row>
    <row r="387" spans="5:15">
      <c r="E387" s="600"/>
      <c r="O387" s="688"/>
    </row>
    <row r="388" spans="5:15">
      <c r="E388" s="600"/>
      <c r="O388" s="688"/>
    </row>
    <row r="389" spans="5:15">
      <c r="E389" s="600"/>
      <c r="O389" s="688"/>
    </row>
    <row r="390" spans="5:15">
      <c r="E390" s="600"/>
      <c r="O390" s="688"/>
    </row>
    <row r="391" spans="5:15">
      <c r="E391" s="600"/>
      <c r="O391" s="688"/>
    </row>
    <row r="392" spans="5:15">
      <c r="E392" s="600"/>
      <c r="O392" s="688"/>
    </row>
    <row r="393" spans="5:15">
      <c r="E393" s="600"/>
      <c r="O393" s="688"/>
    </row>
    <row r="394" spans="5:15">
      <c r="E394" s="600"/>
      <c r="O394" s="688"/>
    </row>
    <row r="395" spans="5:15">
      <c r="E395" s="600"/>
      <c r="O395" s="688"/>
    </row>
    <row r="396" spans="5:15">
      <c r="E396" s="600"/>
      <c r="O396" s="688"/>
    </row>
    <row r="397" spans="5:15">
      <c r="E397" s="600"/>
      <c r="O397" s="688"/>
    </row>
    <row r="398" spans="5:15">
      <c r="E398" s="600"/>
      <c r="O398" s="688"/>
    </row>
    <row r="399" spans="5:15">
      <c r="E399" s="600"/>
      <c r="O399" s="688"/>
    </row>
    <row r="400" spans="5:15">
      <c r="E400" s="600"/>
      <c r="O400" s="688"/>
    </row>
    <row r="401" spans="1:15" ht="12" thickBot="1">
      <c r="A401" s="2783"/>
      <c r="E401" s="600"/>
      <c r="O401" s="688"/>
    </row>
    <row r="402" spans="1:15" ht="12" thickBot="1">
      <c r="A402" s="2784"/>
      <c r="E402" s="600"/>
      <c r="O402" s="688"/>
    </row>
    <row r="403" spans="1:15" ht="12" thickBot="1">
      <c r="A403" s="2784"/>
      <c r="E403" s="600"/>
      <c r="O403" s="688"/>
    </row>
    <row r="404" spans="1:15" ht="12" thickBot="1">
      <c r="A404" s="2784"/>
      <c r="E404" s="600"/>
      <c r="O404" s="688"/>
    </row>
    <row r="405" spans="1:15" ht="12" thickBot="1">
      <c r="A405" s="2784"/>
      <c r="E405" s="600"/>
      <c r="O405" s="688"/>
    </row>
    <row r="406" spans="1:15" ht="12" thickBot="1">
      <c r="A406" s="2784"/>
      <c r="E406" s="600"/>
      <c r="O406" s="688"/>
    </row>
    <row r="407" spans="1:15" ht="12" thickBot="1">
      <c r="A407" s="2784"/>
      <c r="E407" s="600"/>
      <c r="N407" s="2766"/>
      <c r="O407" s="2776"/>
    </row>
    <row r="408" spans="1:15" ht="12" thickBot="1">
      <c r="A408" s="2784"/>
      <c r="C408" s="2766"/>
      <c r="E408" s="600"/>
      <c r="N408" s="2767"/>
      <c r="O408" s="2777"/>
    </row>
    <row r="409" spans="1:15" ht="12" thickBot="1">
      <c r="A409" s="2784"/>
      <c r="C409" s="2767"/>
      <c r="D409" s="2766"/>
      <c r="E409" s="2766"/>
      <c r="F409" s="2766"/>
      <c r="G409" s="2766"/>
      <c r="H409" s="2766"/>
      <c r="I409" s="2766"/>
      <c r="J409" s="2766"/>
      <c r="K409" s="2766"/>
      <c r="L409" s="2766"/>
      <c r="N409" s="2767"/>
      <c r="O409" s="2777"/>
    </row>
    <row r="410" spans="1:15" ht="12" thickBot="1">
      <c r="A410" s="2784"/>
      <c r="C410" s="2768"/>
      <c r="D410" s="2768"/>
      <c r="E410" s="2768"/>
      <c r="F410" s="2768"/>
      <c r="G410" s="2768"/>
      <c r="H410" s="2768"/>
      <c r="I410" s="2768"/>
      <c r="J410" s="2768"/>
      <c r="K410" s="2768"/>
      <c r="L410" s="2768"/>
      <c r="N410" s="2768"/>
      <c r="O410" s="2777"/>
    </row>
    <row r="411" spans="1:15" ht="12" thickBot="1">
      <c r="A411" s="2784"/>
      <c r="E411" s="600"/>
      <c r="O411" s="2777"/>
    </row>
    <row r="412" spans="1:15" ht="12" thickBot="1">
      <c r="A412" s="2784"/>
      <c r="E412" s="600"/>
      <c r="O412" s="2777"/>
    </row>
    <row r="413" spans="1:15" ht="12" thickBot="1">
      <c r="A413" s="2784"/>
      <c r="E413" s="600"/>
      <c r="O413" s="2777"/>
    </row>
    <row r="414" spans="1:15" ht="12" thickBot="1">
      <c r="A414" s="2784"/>
      <c r="E414" s="600"/>
      <c r="O414" s="2777"/>
    </row>
    <row r="415" spans="1:15" ht="12" thickBot="1">
      <c r="A415" s="2784"/>
      <c r="E415" s="600"/>
      <c r="O415" s="2778"/>
    </row>
    <row r="416" spans="1:15" ht="12" thickBot="1">
      <c r="A416" s="2784"/>
      <c r="E416" s="600"/>
      <c r="O416" s="688"/>
    </row>
    <row r="417" spans="1:15" ht="12" thickBot="1">
      <c r="A417" s="2784"/>
      <c r="E417" s="600"/>
      <c r="O417" s="688"/>
    </row>
    <row r="418" spans="1:15">
      <c r="A418" s="2785"/>
      <c r="E418" s="600"/>
      <c r="O418" s="688"/>
    </row>
    <row r="419" spans="1:15">
      <c r="E419" s="600"/>
      <c r="O419" s="688"/>
    </row>
    <row r="420" spans="1:15">
      <c r="E420" s="600"/>
      <c r="O420" s="688"/>
    </row>
    <row r="421" spans="1:15">
      <c r="E421" s="600"/>
      <c r="O421" s="688"/>
    </row>
    <row r="422" spans="1:15">
      <c r="E422" s="600"/>
      <c r="O422" s="688"/>
    </row>
    <row r="423" spans="1:15">
      <c r="E423" s="600"/>
      <c r="O423" s="688"/>
    </row>
    <row r="424" spans="1:15">
      <c r="E424" s="600"/>
      <c r="O424" s="688"/>
    </row>
    <row r="425" spans="1:15">
      <c r="E425" s="600"/>
      <c r="O425" s="688"/>
    </row>
    <row r="426" spans="1:15">
      <c r="E426" s="600"/>
      <c r="O426" s="688"/>
    </row>
    <row r="427" spans="1:15">
      <c r="E427" s="600"/>
      <c r="O427" s="688"/>
    </row>
    <row r="428" spans="1:15">
      <c r="E428" s="600"/>
      <c r="O428" s="688"/>
    </row>
    <row r="429" spans="1:15">
      <c r="E429" s="600"/>
      <c r="O429" s="688"/>
    </row>
    <row r="430" spans="1:15">
      <c r="E430" s="600"/>
      <c r="O430" s="688"/>
    </row>
    <row r="431" spans="1:15">
      <c r="E431" s="600"/>
      <c r="O431" s="688"/>
    </row>
    <row r="432" spans="1:15">
      <c r="E432" s="600"/>
      <c r="O432" s="688"/>
    </row>
    <row r="433" spans="5:15">
      <c r="E433" s="600"/>
      <c r="O433" s="688"/>
    </row>
    <row r="434" spans="5:15">
      <c r="E434" s="600"/>
      <c r="O434" s="688"/>
    </row>
    <row r="435" spans="5:15">
      <c r="E435" s="600"/>
      <c r="O435" s="688"/>
    </row>
    <row r="436" spans="5:15">
      <c r="E436" s="600"/>
      <c r="O436" s="688"/>
    </row>
    <row r="437" spans="5:15">
      <c r="E437" s="600"/>
      <c r="O437" s="688"/>
    </row>
    <row r="438" spans="5:15">
      <c r="E438" s="600"/>
      <c r="O438" s="688"/>
    </row>
    <row r="439" spans="5:15">
      <c r="E439" s="600"/>
      <c r="O439" s="688"/>
    </row>
    <row r="440" spans="5:15">
      <c r="E440" s="600"/>
      <c r="O440" s="688"/>
    </row>
    <row r="441" spans="5:15">
      <c r="E441" s="600"/>
      <c r="O441" s="688"/>
    </row>
    <row r="442" spans="5:15">
      <c r="E442" s="600"/>
      <c r="O442" s="688"/>
    </row>
    <row r="443" spans="5:15">
      <c r="E443" s="600"/>
      <c r="O443" s="688"/>
    </row>
    <row r="444" spans="5:15">
      <c r="E444" s="600"/>
      <c r="O444" s="688"/>
    </row>
    <row r="445" spans="5:15">
      <c r="E445" s="600"/>
      <c r="O445" s="688"/>
    </row>
    <row r="446" spans="5:15">
      <c r="E446" s="600"/>
      <c r="O446" s="688"/>
    </row>
    <row r="447" spans="5:15">
      <c r="E447" s="600"/>
      <c r="O447" s="688"/>
    </row>
    <row r="448" spans="5:15">
      <c r="E448" s="600"/>
      <c r="O448" s="688"/>
    </row>
    <row r="449" spans="5:15">
      <c r="E449" s="600"/>
      <c r="O449" s="688"/>
    </row>
    <row r="450" spans="5:15">
      <c r="E450" s="600"/>
      <c r="O450" s="688"/>
    </row>
    <row r="451" spans="5:15">
      <c r="E451" s="600"/>
      <c r="O451" s="688"/>
    </row>
    <row r="452" spans="5:15">
      <c r="E452" s="600"/>
      <c r="O452" s="688"/>
    </row>
    <row r="453" spans="5:15">
      <c r="E453" s="600"/>
      <c r="O453" s="688"/>
    </row>
    <row r="454" spans="5:15">
      <c r="E454" s="600"/>
      <c r="O454" s="688"/>
    </row>
    <row r="455" spans="5:15">
      <c r="E455" s="600"/>
      <c r="O455" s="688"/>
    </row>
    <row r="456" spans="5:15">
      <c r="E456" s="600"/>
      <c r="O456" s="688"/>
    </row>
    <row r="457" spans="5:15">
      <c r="E457" s="600"/>
      <c r="O457" s="688"/>
    </row>
    <row r="458" spans="5:15">
      <c r="E458" s="600"/>
      <c r="O458" s="688"/>
    </row>
    <row r="459" spans="5:15">
      <c r="E459" s="600"/>
      <c r="O459" s="688"/>
    </row>
    <row r="460" spans="5:15">
      <c r="E460" s="600"/>
      <c r="O460" s="688"/>
    </row>
    <row r="461" spans="5:15">
      <c r="E461" s="600"/>
      <c r="O461" s="688"/>
    </row>
    <row r="462" spans="5:15">
      <c r="E462" s="600"/>
      <c r="O462" s="688"/>
    </row>
    <row r="463" spans="5:15">
      <c r="E463" s="600"/>
      <c r="O463" s="688"/>
    </row>
    <row r="464" spans="5:15">
      <c r="E464" s="600"/>
      <c r="O464" s="688"/>
    </row>
    <row r="465" spans="5:15">
      <c r="E465" s="600"/>
      <c r="O465" s="688"/>
    </row>
    <row r="466" spans="5:15">
      <c r="E466" s="600"/>
      <c r="O466" s="688"/>
    </row>
    <row r="467" spans="5:15">
      <c r="E467" s="600"/>
      <c r="O467" s="688"/>
    </row>
    <row r="468" spans="5:15">
      <c r="E468" s="600"/>
      <c r="O468" s="688"/>
    </row>
    <row r="469" spans="5:15">
      <c r="E469" s="600"/>
      <c r="O469" s="688"/>
    </row>
    <row r="470" spans="5:15">
      <c r="E470" s="600"/>
      <c r="O470" s="688"/>
    </row>
    <row r="471" spans="5:15">
      <c r="E471" s="600"/>
      <c r="O471" s="688"/>
    </row>
    <row r="472" spans="5:15">
      <c r="E472" s="600"/>
      <c r="O472" s="688"/>
    </row>
    <row r="473" spans="5:15">
      <c r="E473" s="600"/>
      <c r="O473" s="688"/>
    </row>
    <row r="474" spans="5:15">
      <c r="E474" s="600"/>
      <c r="O474" s="688"/>
    </row>
    <row r="475" spans="5:15">
      <c r="E475" s="600"/>
      <c r="O475" s="688"/>
    </row>
    <row r="476" spans="5:15">
      <c r="E476" s="600"/>
      <c r="O476" s="688"/>
    </row>
    <row r="477" spans="5:15">
      <c r="E477" s="600"/>
      <c r="O477" s="688"/>
    </row>
    <row r="478" spans="5:15">
      <c r="E478" s="600"/>
      <c r="O478" s="688"/>
    </row>
    <row r="479" spans="5:15">
      <c r="E479" s="600"/>
      <c r="O479" s="688"/>
    </row>
    <row r="480" spans="5:15">
      <c r="E480" s="600"/>
      <c r="O480" s="688"/>
    </row>
    <row r="481" spans="5:15">
      <c r="E481" s="600"/>
      <c r="O481" s="688"/>
    </row>
    <row r="482" spans="5:15">
      <c r="E482" s="600"/>
      <c r="O482" s="688"/>
    </row>
    <row r="483" spans="5:15">
      <c r="E483" s="600"/>
      <c r="O483" s="688"/>
    </row>
    <row r="484" spans="5:15">
      <c r="E484" s="600"/>
      <c r="O484" s="688"/>
    </row>
    <row r="485" spans="5:15">
      <c r="E485" s="600"/>
      <c r="O485" s="688"/>
    </row>
    <row r="486" spans="5:15">
      <c r="E486" s="600"/>
      <c r="O486" s="688"/>
    </row>
    <row r="487" spans="5:15">
      <c r="E487" s="600"/>
      <c r="O487" s="688"/>
    </row>
    <row r="488" spans="5:15">
      <c r="E488" s="600"/>
      <c r="O488" s="688"/>
    </row>
    <row r="489" spans="5:15">
      <c r="E489" s="600"/>
      <c r="O489" s="688"/>
    </row>
    <row r="490" spans="5:15">
      <c r="E490" s="600"/>
      <c r="O490" s="688"/>
    </row>
    <row r="491" spans="5:15">
      <c r="E491" s="600"/>
      <c r="O491" s="688"/>
    </row>
    <row r="492" spans="5:15">
      <c r="E492" s="600"/>
      <c r="O492" s="688"/>
    </row>
    <row r="493" spans="5:15">
      <c r="E493" s="600"/>
      <c r="O493" s="688"/>
    </row>
    <row r="494" spans="5:15">
      <c r="E494" s="600"/>
      <c r="O494" s="688"/>
    </row>
    <row r="495" spans="5:15">
      <c r="E495" s="600"/>
      <c r="O495" s="688"/>
    </row>
    <row r="496" spans="5:15">
      <c r="E496" s="600"/>
      <c r="O496" s="688"/>
    </row>
    <row r="497" spans="5:15">
      <c r="E497" s="600"/>
      <c r="O497" s="688"/>
    </row>
    <row r="498" spans="5:15">
      <c r="E498" s="600"/>
      <c r="O498" s="688"/>
    </row>
    <row r="499" spans="5:15">
      <c r="E499" s="600"/>
      <c r="O499" s="688"/>
    </row>
    <row r="500" spans="5:15">
      <c r="E500" s="600"/>
      <c r="O500" s="688"/>
    </row>
    <row r="501" spans="5:15">
      <c r="E501" s="600"/>
      <c r="O501" s="688"/>
    </row>
    <row r="502" spans="5:15">
      <c r="E502" s="600"/>
      <c r="O502" s="688"/>
    </row>
    <row r="503" spans="5:15">
      <c r="E503" s="600"/>
      <c r="O503" s="688"/>
    </row>
    <row r="504" spans="5:15">
      <c r="E504" s="600"/>
      <c r="O504" s="688"/>
    </row>
    <row r="505" spans="5:15">
      <c r="E505" s="600"/>
      <c r="O505" s="688"/>
    </row>
    <row r="506" spans="5:15">
      <c r="E506" s="600"/>
      <c r="O506" s="688"/>
    </row>
    <row r="507" spans="5:15">
      <c r="E507" s="600"/>
      <c r="O507" s="688"/>
    </row>
    <row r="508" spans="5:15">
      <c r="E508" s="600"/>
      <c r="O508" s="688"/>
    </row>
    <row r="509" spans="5:15">
      <c r="E509" s="600"/>
      <c r="O509" s="688"/>
    </row>
    <row r="510" spans="5:15">
      <c r="E510" s="600"/>
      <c r="O510" s="688"/>
    </row>
    <row r="511" spans="5:15">
      <c r="E511" s="600"/>
      <c r="O511" s="688"/>
    </row>
    <row r="512" spans="5:15">
      <c r="E512" s="600"/>
      <c r="O512" s="688"/>
    </row>
    <row r="513" spans="1:15">
      <c r="E513" s="600"/>
      <c r="O513" s="688"/>
    </row>
    <row r="514" spans="1:15">
      <c r="E514" s="600"/>
      <c r="O514" s="688"/>
    </row>
    <row r="515" spans="1:15">
      <c r="E515" s="600"/>
      <c r="O515" s="688"/>
    </row>
    <row r="516" spans="1:15" ht="12" thickBot="1">
      <c r="E516" s="600"/>
      <c r="O516" s="2776"/>
    </row>
    <row r="517" spans="1:15" ht="12" thickBot="1">
      <c r="E517" s="600"/>
      <c r="O517" s="2777"/>
    </row>
    <row r="518" spans="1:15" ht="12" thickBot="1">
      <c r="E518" s="600"/>
      <c r="O518" s="2777"/>
    </row>
    <row r="519" spans="1:15" ht="12" thickBot="1">
      <c r="E519" s="600"/>
      <c r="O519" s="2777"/>
    </row>
    <row r="520" spans="1:15" ht="12" thickBot="1">
      <c r="E520" s="600"/>
      <c r="N520" s="2766"/>
      <c r="O520" s="2777"/>
    </row>
    <row r="521" spans="1:15" ht="12" thickBot="1">
      <c r="E521" s="600"/>
      <c r="N521" s="2767"/>
      <c r="O521" s="2777"/>
    </row>
    <row r="522" spans="1:15" ht="12" thickBot="1">
      <c r="E522" s="600"/>
      <c r="N522" s="2767"/>
      <c r="O522" s="2777"/>
    </row>
    <row r="523" spans="1:15" ht="12" thickBot="1">
      <c r="E523" s="600"/>
      <c r="N523" s="2767"/>
      <c r="O523" s="2777"/>
    </row>
    <row r="524" spans="1:15" ht="12" thickBot="1">
      <c r="E524" s="600"/>
      <c r="N524" s="2767"/>
      <c r="O524" s="2777"/>
    </row>
    <row r="525" spans="1:15" ht="12" thickBot="1">
      <c r="A525" s="2783"/>
      <c r="B525" s="2766"/>
      <c r="C525" s="2766"/>
      <c r="D525" s="2766"/>
      <c r="E525" s="2766"/>
      <c r="F525" s="2766"/>
      <c r="G525" s="2766"/>
      <c r="H525" s="2766"/>
      <c r="I525" s="2766"/>
      <c r="J525" s="2766"/>
      <c r="K525" s="2766"/>
      <c r="L525" s="2766"/>
      <c r="N525" s="2767"/>
      <c r="O525" s="2777"/>
    </row>
    <row r="526" spans="1:15" ht="12" thickBot="1">
      <c r="A526" s="2784"/>
      <c r="B526" s="2768"/>
      <c r="C526" s="2768"/>
      <c r="D526" s="2768"/>
      <c r="E526" s="2768"/>
      <c r="F526" s="2768"/>
      <c r="G526" s="2768"/>
      <c r="H526" s="2768"/>
      <c r="I526" s="2768"/>
      <c r="J526" s="2768"/>
      <c r="K526" s="2768"/>
      <c r="L526" s="2768"/>
      <c r="N526" s="2768"/>
      <c r="O526" s="2777"/>
    </row>
    <row r="527" spans="1:15" ht="12" thickBot="1">
      <c r="A527" s="2784"/>
      <c r="E527" s="600"/>
      <c r="O527" s="2777"/>
    </row>
    <row r="528" spans="1:15" ht="12" thickBot="1">
      <c r="A528" s="2784"/>
      <c r="E528" s="600"/>
      <c r="O528" s="2777"/>
    </row>
    <row r="529" spans="1:15" ht="12" thickBot="1">
      <c r="A529" s="2784"/>
      <c r="E529" s="600"/>
      <c r="O529" s="2777"/>
    </row>
    <row r="530" spans="1:15" ht="12" thickBot="1">
      <c r="A530" s="2784"/>
      <c r="E530" s="600"/>
      <c r="O530" s="2777"/>
    </row>
    <row r="531" spans="1:15" ht="12" thickBot="1">
      <c r="A531" s="2784"/>
      <c r="E531" s="600"/>
      <c r="O531" s="2777"/>
    </row>
    <row r="532" spans="1:15" ht="12" thickBot="1">
      <c r="A532" s="2784"/>
      <c r="E532" s="600"/>
      <c r="O532" s="2777"/>
    </row>
    <row r="533" spans="1:15">
      <c r="A533" s="2785"/>
      <c r="E533" s="600"/>
      <c r="O533" s="2778"/>
    </row>
    <row r="534" spans="1:15">
      <c r="E534" s="600"/>
      <c r="O534" s="688"/>
    </row>
    <row r="535" spans="1:15">
      <c r="E535" s="600"/>
      <c r="O535" s="688"/>
    </row>
    <row r="536" spans="1:15">
      <c r="E536" s="600"/>
      <c r="O536" s="688"/>
    </row>
    <row r="537" spans="1:15">
      <c r="E537" s="600"/>
      <c r="O537" s="688"/>
    </row>
    <row r="538" spans="1:15">
      <c r="E538" s="600"/>
      <c r="O538" s="688"/>
    </row>
    <row r="539" spans="1:15">
      <c r="E539" s="600"/>
      <c r="O539" s="688"/>
    </row>
    <row r="540" spans="1:15">
      <c r="E540" s="600"/>
      <c r="O540" s="688"/>
    </row>
    <row r="541" spans="1:15">
      <c r="E541" s="600"/>
      <c r="O541" s="688"/>
    </row>
    <row r="542" spans="1:15">
      <c r="E542" s="600"/>
      <c r="O542" s="688"/>
    </row>
    <row r="543" spans="1:15">
      <c r="E543" s="600"/>
      <c r="O543" s="688"/>
    </row>
    <row r="544" spans="1:15">
      <c r="E544" s="600"/>
      <c r="O544" s="688"/>
    </row>
    <row r="545" spans="5:15">
      <c r="E545" s="600"/>
      <c r="O545" s="688"/>
    </row>
    <row r="546" spans="5:15">
      <c r="E546" s="600"/>
      <c r="O546" s="688"/>
    </row>
    <row r="547" spans="5:15">
      <c r="E547" s="600"/>
      <c r="O547" s="688"/>
    </row>
    <row r="548" spans="5:15">
      <c r="E548" s="600"/>
      <c r="O548" s="688"/>
    </row>
    <row r="549" spans="5:15">
      <c r="E549" s="600"/>
      <c r="O549" s="688"/>
    </row>
    <row r="550" spans="5:15">
      <c r="E550" s="600"/>
      <c r="O550" s="688"/>
    </row>
    <row r="551" spans="5:15">
      <c r="E551" s="600"/>
      <c r="O551" s="688"/>
    </row>
    <row r="552" spans="5:15">
      <c r="E552" s="600"/>
      <c r="O552" s="688"/>
    </row>
    <row r="553" spans="5:15">
      <c r="E553" s="600"/>
      <c r="O553" s="688"/>
    </row>
    <row r="554" spans="5:15">
      <c r="E554" s="600"/>
      <c r="O554" s="688"/>
    </row>
    <row r="555" spans="5:15">
      <c r="E555" s="600"/>
      <c r="O555" s="688"/>
    </row>
    <row r="556" spans="5:15">
      <c r="E556" s="600"/>
      <c r="O556" s="688"/>
    </row>
    <row r="557" spans="5:15">
      <c r="E557" s="600"/>
      <c r="O557" s="688"/>
    </row>
    <row r="558" spans="5:15">
      <c r="E558" s="600"/>
      <c r="O558" s="688"/>
    </row>
    <row r="559" spans="5:15">
      <c r="E559" s="600"/>
      <c r="O559" s="688"/>
    </row>
    <row r="560" spans="5:15">
      <c r="E560" s="600"/>
      <c r="O560" s="688"/>
    </row>
    <row r="561" spans="5:15">
      <c r="E561" s="600"/>
      <c r="O561" s="688"/>
    </row>
    <row r="562" spans="5:15">
      <c r="E562" s="600"/>
      <c r="O562" s="688"/>
    </row>
    <row r="563" spans="5:15">
      <c r="E563" s="600"/>
      <c r="O563" s="688"/>
    </row>
    <row r="564" spans="5:15">
      <c r="E564" s="600"/>
      <c r="O564" s="688"/>
    </row>
    <row r="565" spans="5:15">
      <c r="E565" s="600"/>
      <c r="O565" s="688"/>
    </row>
    <row r="566" spans="5:15">
      <c r="E566" s="600"/>
      <c r="O566" s="688"/>
    </row>
    <row r="567" spans="5:15">
      <c r="E567" s="600"/>
      <c r="O567" s="688"/>
    </row>
    <row r="568" spans="5:15">
      <c r="E568" s="600"/>
      <c r="O568" s="688"/>
    </row>
    <row r="569" spans="5:15">
      <c r="E569" s="600"/>
      <c r="O569" s="688"/>
    </row>
    <row r="570" spans="5:15">
      <c r="E570" s="600"/>
      <c r="O570" s="688"/>
    </row>
    <row r="571" spans="5:15">
      <c r="E571" s="600"/>
      <c r="O571" s="688"/>
    </row>
    <row r="572" spans="5:15">
      <c r="E572" s="600"/>
      <c r="O572" s="688"/>
    </row>
    <row r="573" spans="5:15">
      <c r="E573" s="600"/>
      <c r="O573" s="688"/>
    </row>
    <row r="574" spans="5:15">
      <c r="E574" s="600"/>
      <c r="O574" s="688"/>
    </row>
    <row r="575" spans="5:15">
      <c r="E575" s="600"/>
      <c r="O575" s="688"/>
    </row>
    <row r="576" spans="5:15">
      <c r="E576" s="600"/>
      <c r="O576" s="688"/>
    </row>
    <row r="577" spans="5:15">
      <c r="E577" s="600"/>
      <c r="O577" s="688"/>
    </row>
    <row r="578" spans="5:15">
      <c r="E578" s="600"/>
      <c r="O578" s="688"/>
    </row>
    <row r="579" spans="5:15">
      <c r="E579" s="600"/>
      <c r="O579" s="688"/>
    </row>
    <row r="580" spans="5:15">
      <c r="E580" s="600"/>
      <c r="O580" s="688"/>
    </row>
    <row r="581" spans="5:15">
      <c r="E581" s="600"/>
      <c r="O581" s="688"/>
    </row>
    <row r="582" spans="5:15">
      <c r="E582" s="600"/>
      <c r="O582" s="688"/>
    </row>
    <row r="583" spans="5:15">
      <c r="E583" s="600"/>
      <c r="O583" s="688"/>
    </row>
    <row r="584" spans="5:15">
      <c r="E584" s="600"/>
      <c r="O584" s="688"/>
    </row>
    <row r="585" spans="5:15">
      <c r="E585" s="600"/>
      <c r="O585" s="688"/>
    </row>
    <row r="586" spans="5:15">
      <c r="E586" s="600"/>
      <c r="O586" s="688"/>
    </row>
    <row r="587" spans="5:15">
      <c r="E587" s="600"/>
      <c r="O587" s="688"/>
    </row>
    <row r="588" spans="5:15">
      <c r="E588" s="600"/>
      <c r="O588" s="688"/>
    </row>
    <row r="589" spans="5:15">
      <c r="E589" s="600"/>
      <c r="O589" s="688"/>
    </row>
    <row r="590" spans="5:15">
      <c r="E590" s="600"/>
      <c r="O590" s="688"/>
    </row>
    <row r="591" spans="5:15">
      <c r="E591" s="600"/>
      <c r="O591" s="688"/>
    </row>
    <row r="592" spans="5:15">
      <c r="E592" s="600"/>
      <c r="O592" s="688"/>
    </row>
    <row r="593" spans="5:15">
      <c r="E593" s="600"/>
      <c r="O593" s="688"/>
    </row>
    <row r="594" spans="5:15">
      <c r="E594" s="600"/>
      <c r="O594" s="688"/>
    </row>
    <row r="595" spans="5:15">
      <c r="E595" s="600"/>
      <c r="O595" s="688"/>
    </row>
    <row r="596" spans="5:15">
      <c r="E596" s="600"/>
      <c r="O596" s="688"/>
    </row>
    <row r="597" spans="5:15">
      <c r="E597" s="600"/>
      <c r="O597" s="688"/>
    </row>
    <row r="598" spans="5:15">
      <c r="E598" s="600"/>
      <c r="O598" s="688"/>
    </row>
    <row r="599" spans="5:15">
      <c r="E599" s="600"/>
      <c r="O599" s="688"/>
    </row>
    <row r="600" spans="5:15">
      <c r="E600" s="600"/>
      <c r="O600" s="688"/>
    </row>
    <row r="601" spans="5:15">
      <c r="E601" s="600"/>
      <c r="O601" s="688"/>
    </row>
    <row r="602" spans="5:15">
      <c r="E602" s="600"/>
      <c r="O602" s="688"/>
    </row>
    <row r="603" spans="5:15">
      <c r="E603" s="600"/>
      <c r="O603" s="688"/>
    </row>
    <row r="604" spans="5:15">
      <c r="E604" s="600"/>
      <c r="O604" s="688"/>
    </row>
    <row r="605" spans="5:15">
      <c r="E605" s="600"/>
      <c r="O605" s="688"/>
    </row>
    <row r="606" spans="5:15">
      <c r="E606" s="600"/>
      <c r="O606" s="688"/>
    </row>
    <row r="607" spans="5:15">
      <c r="E607" s="600"/>
      <c r="O607" s="688"/>
    </row>
    <row r="608" spans="5:15">
      <c r="E608" s="600"/>
      <c r="O608" s="688"/>
    </row>
    <row r="609" spans="5:15">
      <c r="E609" s="600"/>
      <c r="O609" s="688"/>
    </row>
    <row r="610" spans="5:15">
      <c r="E610" s="600"/>
      <c r="O610" s="688"/>
    </row>
    <row r="611" spans="5:15">
      <c r="E611" s="600"/>
      <c r="O611" s="688"/>
    </row>
    <row r="612" spans="5:15">
      <c r="E612" s="600"/>
      <c r="O612" s="688"/>
    </row>
    <row r="613" spans="5:15">
      <c r="E613" s="600"/>
      <c r="O613" s="688"/>
    </row>
    <row r="614" spans="5:15">
      <c r="E614" s="600"/>
      <c r="O614" s="688"/>
    </row>
    <row r="615" spans="5:15">
      <c r="E615" s="600"/>
      <c r="O615" s="688"/>
    </row>
    <row r="616" spans="5:15">
      <c r="E616" s="600"/>
      <c r="O616" s="688"/>
    </row>
    <row r="617" spans="5:15">
      <c r="E617" s="600"/>
      <c r="O617" s="688"/>
    </row>
    <row r="618" spans="5:15">
      <c r="E618" s="600"/>
      <c r="O618" s="688"/>
    </row>
    <row r="619" spans="5:15">
      <c r="E619" s="600"/>
      <c r="O619" s="688"/>
    </row>
    <row r="620" spans="5:15">
      <c r="E620" s="600"/>
      <c r="O620" s="688"/>
    </row>
    <row r="621" spans="5:15">
      <c r="E621" s="600"/>
      <c r="O621" s="688"/>
    </row>
    <row r="622" spans="5:15">
      <c r="E622" s="600"/>
      <c r="O622" s="688"/>
    </row>
    <row r="623" spans="5:15">
      <c r="E623" s="600"/>
      <c r="O623" s="688"/>
    </row>
    <row r="624" spans="5:15">
      <c r="E624" s="600"/>
      <c r="O624" s="688"/>
    </row>
    <row r="625" spans="5:15">
      <c r="E625" s="600"/>
      <c r="O625" s="688"/>
    </row>
    <row r="626" spans="5:15">
      <c r="E626" s="600"/>
      <c r="O626" s="688"/>
    </row>
    <row r="627" spans="5:15">
      <c r="E627" s="600"/>
      <c r="O627" s="688"/>
    </row>
    <row r="628" spans="5:15">
      <c r="E628" s="600"/>
      <c r="O628" s="688"/>
    </row>
    <row r="629" spans="5:15">
      <c r="E629" s="600"/>
      <c r="O629" s="688"/>
    </row>
    <row r="630" spans="5:15">
      <c r="E630" s="600"/>
      <c r="O630" s="688"/>
    </row>
    <row r="631" spans="5:15">
      <c r="E631" s="600"/>
      <c r="O631" s="688"/>
    </row>
    <row r="632" spans="5:15">
      <c r="E632" s="600"/>
      <c r="O632" s="688"/>
    </row>
    <row r="633" spans="5:15">
      <c r="E633" s="600"/>
      <c r="O633" s="688"/>
    </row>
    <row r="634" spans="5:15">
      <c r="E634" s="600"/>
      <c r="O634" s="688"/>
    </row>
    <row r="635" spans="5:15">
      <c r="E635" s="600"/>
      <c r="O635" s="688"/>
    </row>
    <row r="636" spans="5:15">
      <c r="E636" s="600"/>
      <c r="O636" s="688"/>
    </row>
    <row r="637" spans="5:15">
      <c r="E637" s="600"/>
      <c r="O637" s="688"/>
    </row>
    <row r="638" spans="5:15">
      <c r="E638" s="600"/>
      <c r="O638" s="688"/>
    </row>
    <row r="639" spans="5:15">
      <c r="E639" s="600"/>
      <c r="O639" s="688"/>
    </row>
    <row r="640" spans="5:15">
      <c r="E640" s="600"/>
      <c r="O640" s="688"/>
    </row>
    <row r="641" spans="5:15">
      <c r="E641" s="600"/>
      <c r="O641" s="688"/>
    </row>
    <row r="642" spans="5:15">
      <c r="E642" s="600"/>
      <c r="O642" s="688"/>
    </row>
    <row r="643" spans="5:15">
      <c r="E643" s="600"/>
      <c r="O643" s="688"/>
    </row>
    <row r="644" spans="5:15">
      <c r="E644" s="600"/>
      <c r="O644" s="688"/>
    </row>
    <row r="645" spans="5:15">
      <c r="E645" s="600"/>
      <c r="O645" s="688"/>
    </row>
    <row r="646" spans="5:15">
      <c r="E646" s="600"/>
      <c r="O646" s="688"/>
    </row>
    <row r="647" spans="5:15">
      <c r="E647" s="600"/>
      <c r="O647" s="688"/>
    </row>
    <row r="648" spans="5:15">
      <c r="E648" s="600"/>
      <c r="O648" s="688"/>
    </row>
    <row r="649" spans="5:15">
      <c r="E649" s="600"/>
      <c r="O649" s="688"/>
    </row>
    <row r="650" spans="5:15">
      <c r="E650" s="600"/>
      <c r="O650" s="688"/>
    </row>
    <row r="651" spans="5:15">
      <c r="E651" s="600"/>
      <c r="O651" s="688"/>
    </row>
    <row r="652" spans="5:15">
      <c r="E652" s="600"/>
      <c r="O652" s="688"/>
    </row>
    <row r="653" spans="5:15">
      <c r="E653" s="600"/>
      <c r="O653" s="688"/>
    </row>
    <row r="654" spans="5:15">
      <c r="E654" s="600"/>
      <c r="O654" s="688"/>
    </row>
    <row r="655" spans="5:15">
      <c r="E655" s="600"/>
      <c r="O655" s="688"/>
    </row>
    <row r="656" spans="5:15">
      <c r="E656" s="600"/>
      <c r="O656" s="688"/>
    </row>
    <row r="657" spans="5:15">
      <c r="E657" s="600"/>
      <c r="O657" s="688"/>
    </row>
    <row r="658" spans="5:15">
      <c r="E658" s="600"/>
      <c r="O658" s="688"/>
    </row>
  </sheetData>
  <mergeCells count="168">
    <mergeCell ref="M158:M160"/>
    <mergeCell ref="M167:M169"/>
    <mergeCell ref="M180:M182"/>
    <mergeCell ref="M189:M191"/>
    <mergeCell ref="N149:N151"/>
    <mergeCell ref="C150:C151"/>
    <mergeCell ref="C39:C43"/>
    <mergeCell ref="O37:O43"/>
    <mergeCell ref="O44:O48"/>
    <mergeCell ref="C47:C48"/>
    <mergeCell ref="N44:N48"/>
    <mergeCell ref="O102:O104"/>
    <mergeCell ref="O96:O101"/>
    <mergeCell ref="O105:O111"/>
    <mergeCell ref="O112:O116"/>
    <mergeCell ref="N136:N138"/>
    <mergeCell ref="C137:C138"/>
    <mergeCell ref="O117:O129"/>
    <mergeCell ref="O130:O138"/>
    <mergeCell ref="M102:M104"/>
    <mergeCell ref="M112:M116"/>
    <mergeCell ref="M127:M129"/>
    <mergeCell ref="M136:M138"/>
    <mergeCell ref="M149:M151"/>
    <mergeCell ref="A105:A116"/>
    <mergeCell ref="C107:C111"/>
    <mergeCell ref="N112:N116"/>
    <mergeCell ref="A117:A129"/>
    <mergeCell ref="N127:N129"/>
    <mergeCell ref="C128:C129"/>
    <mergeCell ref="A130:A138"/>
    <mergeCell ref="C132:C135"/>
    <mergeCell ref="M32:M36"/>
    <mergeCell ref="M44:M48"/>
    <mergeCell ref="C45:C46"/>
    <mergeCell ref="C33:C34"/>
    <mergeCell ref="C57:C58"/>
    <mergeCell ref="A83:A95"/>
    <mergeCell ref="C85:C90"/>
    <mergeCell ref="C94:C95"/>
    <mergeCell ref="M93:M95"/>
    <mergeCell ref="N93:N95"/>
    <mergeCell ref="A139:A151"/>
    <mergeCell ref="O139:O151"/>
    <mergeCell ref="C141:C146"/>
    <mergeCell ref="C119:C126"/>
    <mergeCell ref="C81:C82"/>
    <mergeCell ref="N80:N82"/>
    <mergeCell ref="O71:O77"/>
    <mergeCell ref="A49:A60"/>
    <mergeCell ref="O49:O55"/>
    <mergeCell ref="C51:C55"/>
    <mergeCell ref="N56:N60"/>
    <mergeCell ref="O56:O60"/>
    <mergeCell ref="C59:C60"/>
    <mergeCell ref="M56:M60"/>
    <mergeCell ref="M67:M69"/>
    <mergeCell ref="M80:M82"/>
    <mergeCell ref="C113:C116"/>
    <mergeCell ref="A61:A69"/>
    <mergeCell ref="O61:O66"/>
    <mergeCell ref="C63:C66"/>
    <mergeCell ref="N67:N69"/>
    <mergeCell ref="O67:O69"/>
    <mergeCell ref="C68:C69"/>
    <mergeCell ref="C72:C77"/>
    <mergeCell ref="A3:O3"/>
    <mergeCell ref="B4:B5"/>
    <mergeCell ref="C4:C5"/>
    <mergeCell ref="D4:D5"/>
    <mergeCell ref="O4:O5"/>
    <mergeCell ref="N4:N5"/>
    <mergeCell ref="F4:F5"/>
    <mergeCell ref="G4:L4"/>
    <mergeCell ref="M4:M5"/>
    <mergeCell ref="M18:M24"/>
    <mergeCell ref="A96:A104"/>
    <mergeCell ref="C98:C101"/>
    <mergeCell ref="N102:N104"/>
    <mergeCell ref="C103:C104"/>
    <mergeCell ref="O25:O31"/>
    <mergeCell ref="O32:O36"/>
    <mergeCell ref="A70:A82"/>
    <mergeCell ref="N18:N24"/>
    <mergeCell ref="A25:A36"/>
    <mergeCell ref="C35:C36"/>
    <mergeCell ref="C27:C31"/>
    <mergeCell ref="N32:N36"/>
    <mergeCell ref="A37:A48"/>
    <mergeCell ref="O80:O82"/>
    <mergeCell ref="O83:O89"/>
    <mergeCell ref="O90:O95"/>
    <mergeCell ref="A275:O276"/>
    <mergeCell ref="A267:A273"/>
    <mergeCell ref="O267:O273"/>
    <mergeCell ref="C269:C270"/>
    <mergeCell ref="C272:C273"/>
    <mergeCell ref="N271:N273"/>
    <mergeCell ref="A259:A262"/>
    <mergeCell ref="A192:A204"/>
    <mergeCell ref="O192:O201"/>
    <mergeCell ref="C194:C201"/>
    <mergeCell ref="N202:N204"/>
    <mergeCell ref="O202:O204"/>
    <mergeCell ref="C203:C204"/>
    <mergeCell ref="A263:A266"/>
    <mergeCell ref="O263:O266"/>
    <mergeCell ref="C265:C266"/>
    <mergeCell ref="O259:O262"/>
    <mergeCell ref="C261:C262"/>
    <mergeCell ref="C252:C255"/>
    <mergeCell ref="O248:O258"/>
    <mergeCell ref="N256:N258"/>
    <mergeCell ref="M202:M204"/>
    <mergeCell ref="M256:M258"/>
    <mergeCell ref="M271:M273"/>
    <mergeCell ref="O180:O182"/>
    <mergeCell ref="C181:C182"/>
    <mergeCell ref="A183:A191"/>
    <mergeCell ref="O183:O188"/>
    <mergeCell ref="C185:C188"/>
    <mergeCell ref="N189:N191"/>
    <mergeCell ref="O189:O191"/>
    <mergeCell ref="C190:C191"/>
    <mergeCell ref="A152:A160"/>
    <mergeCell ref="C154:C157"/>
    <mergeCell ref="N158:N160"/>
    <mergeCell ref="C159:C160"/>
    <mergeCell ref="A161:A169"/>
    <mergeCell ref="C163:C166"/>
    <mergeCell ref="N167:N169"/>
    <mergeCell ref="C168:C169"/>
    <mergeCell ref="O152:O157"/>
    <mergeCell ref="O158:O160"/>
    <mergeCell ref="O161:O166"/>
    <mergeCell ref="O167:O169"/>
    <mergeCell ref="A170:A182"/>
    <mergeCell ref="O170:O179"/>
    <mergeCell ref="C172:C179"/>
    <mergeCell ref="N180:N182"/>
    <mergeCell ref="A205:A213"/>
    <mergeCell ref="O205:O210"/>
    <mergeCell ref="C207:C210"/>
    <mergeCell ref="M211:M213"/>
    <mergeCell ref="N211:N213"/>
    <mergeCell ref="O211:O213"/>
    <mergeCell ref="C212:C213"/>
    <mergeCell ref="A214:A225"/>
    <mergeCell ref="O214:O220"/>
    <mergeCell ref="C216:C220"/>
    <mergeCell ref="M221:M225"/>
    <mergeCell ref="N221:N225"/>
    <mergeCell ref="O221:O225"/>
    <mergeCell ref="C222:C225"/>
    <mergeCell ref="A235:A246"/>
    <mergeCell ref="A226:A234"/>
    <mergeCell ref="O226:O231"/>
    <mergeCell ref="C228:C231"/>
    <mergeCell ref="M232:M234"/>
    <mergeCell ref="N232:N234"/>
    <mergeCell ref="O232:O234"/>
    <mergeCell ref="C233:C234"/>
    <mergeCell ref="O235:O241"/>
    <mergeCell ref="C237:C241"/>
    <mergeCell ref="M242:M246"/>
    <mergeCell ref="N242:N246"/>
    <mergeCell ref="O242:O246"/>
    <mergeCell ref="C243:C246"/>
  </mergeCells>
  <printOptions horizontalCentered="1"/>
  <pageMargins left="3.937007874015748E-2" right="7.874015748031496E-2" top="0.51181102362204722" bottom="0.51181102362204722" header="0.11811023622047245" footer="0.15748031496062992"/>
  <pageSetup paperSize="9" scale="67" firstPageNumber="54" orientation="landscape" useFirstPageNumber="1" r:id="rId1"/>
  <headerFooter alignWithMargins="0">
    <oddHeader>&amp;C&amp;"Arial,Kursywa"Wieloletnia prognoza finansowa Województwa Zachodniopomorskiego&amp;"Arial,Normalny"
_______________________________________________________________________________________________________________________</oddHeader>
    <oddFooter>&amp;C&amp;9&amp;P</oddFooter>
  </headerFooter>
  <rowBreaks count="5" manualBreakCount="5">
    <brk id="48" max="14" man="1"/>
    <brk id="95" max="14" man="1"/>
    <brk id="138" max="14" man="1"/>
    <brk id="213" max="14" man="1"/>
    <brk id="25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19</vt:i4>
      </vt:variant>
    </vt:vector>
  </HeadingPairs>
  <TitlesOfParts>
    <vt:vector size="30" baseType="lpstr">
      <vt:lpstr>Tabela nr 6</vt:lpstr>
      <vt:lpstr>Tab. 6A -Drogi</vt:lpstr>
      <vt:lpstr>Tab. 6B Polit społ i rozwój prz</vt:lpstr>
      <vt:lpstr>Tab. 6C - Ochrona zdrowia</vt:lpstr>
      <vt:lpstr>Tab. 6D - Oświata</vt:lpstr>
      <vt:lpstr>Tab. 6E - Administracja</vt:lpstr>
      <vt:lpstr>Tab. 6F - Kultura</vt:lpstr>
      <vt:lpstr>Tab. 6G - Roln i ochrona środ.</vt:lpstr>
      <vt:lpstr>Tab. 6H - Kultura fiz. i turyst</vt:lpstr>
      <vt:lpstr>Tab.6I - Planow. przestrz.</vt:lpstr>
      <vt:lpstr>Arkusz1</vt:lpstr>
      <vt:lpstr>'Tab. 6A -Drogi'!Obszar_wydruku</vt:lpstr>
      <vt:lpstr>'Tab. 6B Polit społ i rozwój prz'!Obszar_wydruku</vt:lpstr>
      <vt:lpstr>'Tab. 6C - Ochrona zdrowia'!Obszar_wydruku</vt:lpstr>
      <vt:lpstr>'Tab. 6D - Oświata'!Obszar_wydruku</vt:lpstr>
      <vt:lpstr>'Tab. 6E - Administracja'!Obszar_wydruku</vt:lpstr>
      <vt:lpstr>'Tab. 6F - Kultura'!Obszar_wydruku</vt:lpstr>
      <vt:lpstr>'Tab. 6G - Roln i ochrona środ.'!Obszar_wydruku</vt:lpstr>
      <vt:lpstr>'Tab. 6H - Kultura fiz. i turyst'!Obszar_wydruku</vt:lpstr>
      <vt:lpstr>'Tab.6I - Planow. przestrz.'!Obszar_wydruku</vt:lpstr>
      <vt:lpstr>'Tabela nr 6'!Obszar_wydruku</vt:lpstr>
      <vt:lpstr>'Tab. 6A -Drogi'!Tytuły_wydruku</vt:lpstr>
      <vt:lpstr>'Tab. 6B Polit społ i rozwój prz'!Tytuły_wydruku</vt:lpstr>
      <vt:lpstr>'Tab. 6C - Ochrona zdrowia'!Tytuły_wydruku</vt:lpstr>
      <vt:lpstr>'Tab. 6D - Oświata'!Tytuły_wydruku</vt:lpstr>
      <vt:lpstr>'Tab. 6E - Administracja'!Tytuły_wydruku</vt:lpstr>
      <vt:lpstr>'Tab. 6F - Kultura'!Tytuły_wydruku</vt:lpstr>
      <vt:lpstr>'Tab. 6G - Roln i ochrona środ.'!Tytuły_wydruku</vt:lpstr>
      <vt:lpstr>'Tab. 6H - Kultura fiz. i turyst'!Tytuły_wydruku</vt:lpstr>
      <vt:lpstr>'Tab.6I - Planow. przestrz.'!Tytuły_wydruku</vt:lpstr>
    </vt:vector>
  </TitlesOfParts>
  <Company>Urząd Marszałkowski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Nowocień</dc:creator>
  <cp:lastModifiedBy>mnowocien</cp:lastModifiedBy>
  <cp:lastPrinted>2018-09-25T08:09:11Z</cp:lastPrinted>
  <dcterms:created xsi:type="dcterms:W3CDTF">2015-01-20T07:24:04Z</dcterms:created>
  <dcterms:modified xsi:type="dcterms:W3CDTF">2018-10-04T06:35:24Z</dcterms:modified>
</cp:coreProperties>
</file>