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755" yWindow="420" windowWidth="20370" windowHeight="5520" tabRatio="975"/>
  </bookViews>
  <sheets>
    <sheet name="Tabela nr 6" sheetId="1" r:id="rId1"/>
    <sheet name="Tab. 6A -Drogi" sheetId="2" r:id="rId2"/>
    <sheet name="Tab. 6B Polit społ i rozwój prz" sheetId="3" r:id="rId3"/>
    <sheet name="Tab. 6C - Ochrona zdrowia" sheetId="4" r:id="rId4"/>
    <sheet name="Tab. 6D - Oświata" sheetId="5" r:id="rId5"/>
    <sheet name="Tab. 6E - Administracja" sheetId="6" r:id="rId6"/>
    <sheet name="Tab. 6F - Kultura" sheetId="7" r:id="rId7"/>
    <sheet name="Tab. 6G - Roln i ochrona środ." sheetId="8" r:id="rId8"/>
    <sheet name="Tab. 6H - Kultura fiz. i turyst" sheetId="9" r:id="rId9"/>
    <sheet name="Tab.6I - Planow. przestrz." sheetId="13" r:id="rId10"/>
    <sheet name="projekty UE" sheetId="10" r:id="rId11"/>
    <sheet name="Arkusz1" sheetId="15" r:id="rId12"/>
  </sheets>
  <externalReferences>
    <externalReference r:id="rId13"/>
    <externalReference r:id="rId14"/>
  </externalReferences>
  <definedNames>
    <definedName name="_xlnm._FilterDatabase" localSheetId="1" hidden="1">'Tab. 6A -Drogi'!$A$11:$EA$503</definedName>
    <definedName name="_xlnm._FilterDatabase" localSheetId="2" hidden="1">'Tab. 6B Polit społ i rozwój prz'!#REF!</definedName>
    <definedName name="_xlnm._FilterDatabase" localSheetId="7" hidden="1">'Tab. 6G - Roln i ochrona środ.'!$A$4:$O$56</definedName>
    <definedName name="_xlnm.Print_Area" localSheetId="1">'Tab. 6A -Drogi'!$A$1:$O$630</definedName>
    <definedName name="_xlnm.Print_Area" localSheetId="2">'Tab. 6B Polit społ i rozwój prz'!$A$1:$O$172</definedName>
    <definedName name="_xlnm.Print_Area" localSheetId="3">'Tab. 6C - Ochrona zdrowia'!$A$1:$O$60</definedName>
    <definedName name="_xlnm.Print_Area" localSheetId="4">'Tab. 6D - Oświata'!$A$1:$O$70</definedName>
    <definedName name="_xlnm.Print_Area" localSheetId="5">'Tab. 6E - Administracja'!$A$1:$O$266</definedName>
    <definedName name="_xlnm.Print_Area" localSheetId="6">'Tab. 6F - Kultura'!$A$1:$O$162</definedName>
    <definedName name="_xlnm.Print_Area" localSheetId="7">'Tab. 6G - Roln i ochrona środ.'!$A$1:$O$111</definedName>
    <definedName name="_xlnm.Print_Area" localSheetId="8">'Tab. 6H - Kultura fiz. i turyst'!$A$1:$O$248</definedName>
    <definedName name="_xlnm.Print_Area" localSheetId="9">'Tab.6I - Planow. przestrz.'!$A$1:$O$101</definedName>
    <definedName name="_xlnm.Print_Area" localSheetId="0">'Tabela nr 6'!$A$1:$L$93</definedName>
    <definedName name="_xlnm.Print_Titles" localSheetId="1">'Tab. 6A -Drogi'!$5:$7</definedName>
    <definedName name="_xlnm.Print_Titles" localSheetId="2">'Tab. 6B Polit społ i rozwój prz'!$4:$6</definedName>
    <definedName name="_xlnm.Print_Titles" localSheetId="3">'Tab. 6C - Ochrona zdrowia'!$6:$9</definedName>
    <definedName name="_xlnm.Print_Titles" localSheetId="4">'Tab. 6D - Oświata'!$6:$9</definedName>
    <definedName name="_xlnm.Print_Titles" localSheetId="5">'Tab. 6E - Administracja'!$6:$8</definedName>
    <definedName name="_xlnm.Print_Titles" localSheetId="6">'Tab. 6F - Kultura'!$4:$6</definedName>
    <definedName name="_xlnm.Print_Titles" localSheetId="7">'Tab. 6G - Roln i ochrona środ.'!$5:$7</definedName>
    <definedName name="_xlnm.Print_Titles" localSheetId="8">'Tab. 6H - Kultura fiz. i turyst'!$4:$6</definedName>
    <definedName name="_xlnm.Print_Titles" localSheetId="9">'Tab.6I - Planow. przestrz.'!$5:$7</definedName>
  </definedNames>
  <calcPr calcId="124519"/>
</workbook>
</file>

<file path=xl/calcChain.xml><?xml version="1.0" encoding="utf-8"?>
<calcChain xmlns="http://schemas.openxmlformats.org/spreadsheetml/2006/main">
  <c r="D252" i="9"/>
  <c r="E9" l="1"/>
  <c r="F9"/>
  <c r="G9"/>
  <c r="H9"/>
  <c r="I9"/>
  <c r="J9"/>
  <c r="K9"/>
  <c r="L9"/>
  <c r="E18"/>
  <c r="D9"/>
  <c r="N8"/>
  <c r="E8"/>
  <c r="F8"/>
  <c r="G8"/>
  <c r="H8"/>
  <c r="I8"/>
  <c r="J8"/>
  <c r="K8"/>
  <c r="L8"/>
  <c r="D8"/>
  <c r="E39" i="10" l="1"/>
  <c r="F39"/>
  <c r="G39"/>
  <c r="I39"/>
  <c r="J39"/>
  <c r="D39"/>
  <c r="C39"/>
  <c r="F38"/>
  <c r="G38"/>
  <c r="H38"/>
  <c r="I38"/>
  <c r="J38"/>
  <c r="E38"/>
  <c r="D38"/>
  <c r="C38"/>
  <c r="D211" i="9" l="1"/>
  <c r="D215"/>
  <c r="E253" l="1"/>
  <c r="F253"/>
  <c r="G253"/>
  <c r="H253"/>
  <c r="I253"/>
  <c r="J253"/>
  <c r="K253"/>
  <c r="L253"/>
  <c r="E252"/>
  <c r="F252"/>
  <c r="G252"/>
  <c r="H252"/>
  <c r="I252"/>
  <c r="J252"/>
  <c r="K252"/>
  <c r="L252"/>
  <c r="E23"/>
  <c r="F23"/>
  <c r="G23"/>
  <c r="H23"/>
  <c r="I23"/>
  <c r="J23"/>
  <c r="K23"/>
  <c r="L23"/>
  <c r="E21"/>
  <c r="F21"/>
  <c r="G21"/>
  <c r="H21"/>
  <c r="I21"/>
  <c r="J21"/>
  <c r="K21"/>
  <c r="L21"/>
  <c r="E16"/>
  <c r="F16"/>
  <c r="G16"/>
  <c r="H16"/>
  <c r="I16"/>
  <c r="J16"/>
  <c r="K16"/>
  <c r="L16"/>
  <c r="E14"/>
  <c r="F14"/>
  <c r="G14"/>
  <c r="H14"/>
  <c r="I14"/>
  <c r="J14"/>
  <c r="K14"/>
  <c r="L14"/>
  <c r="E12"/>
  <c r="F12"/>
  <c r="G12"/>
  <c r="H12"/>
  <c r="I12"/>
  <c r="J12"/>
  <c r="K12"/>
  <c r="L12"/>
  <c r="D220"/>
  <c r="L219"/>
  <c r="L216" s="1"/>
  <c r="K219"/>
  <c r="J219"/>
  <c r="I219"/>
  <c r="H219"/>
  <c r="H216" s="1"/>
  <c r="G219"/>
  <c r="F219"/>
  <c r="E219"/>
  <c r="D218"/>
  <c r="D21" s="1"/>
  <c r="L217"/>
  <c r="K217"/>
  <c r="J217"/>
  <c r="I217"/>
  <c r="H217"/>
  <c r="G217"/>
  <c r="F217"/>
  <c r="E217"/>
  <c r="E216" s="1"/>
  <c r="K216"/>
  <c r="I216"/>
  <c r="G216"/>
  <c r="N215"/>
  <c r="N214" s="1"/>
  <c r="M215"/>
  <c r="M214" s="1"/>
  <c r="D214"/>
  <c r="L214"/>
  <c r="K214"/>
  <c r="J214"/>
  <c r="I214"/>
  <c r="H214"/>
  <c r="G214"/>
  <c r="E214"/>
  <c r="E210" s="1"/>
  <c r="M213"/>
  <c r="D213"/>
  <c r="D14" s="1"/>
  <c r="N212"/>
  <c r="N211" s="1"/>
  <c r="M212"/>
  <c r="D212"/>
  <c r="L211"/>
  <c r="L210" s="1"/>
  <c r="K211"/>
  <c r="J211"/>
  <c r="J210" s="1"/>
  <c r="I211"/>
  <c r="H211"/>
  <c r="H210" s="1"/>
  <c r="G211"/>
  <c r="F211"/>
  <c r="F210" s="1"/>
  <c r="E211"/>
  <c r="K210"/>
  <c r="I210"/>
  <c r="G210"/>
  <c r="D208"/>
  <c r="L207"/>
  <c r="L206" s="1"/>
  <c r="K207"/>
  <c r="J207"/>
  <c r="J206" s="1"/>
  <c r="I207"/>
  <c r="H207"/>
  <c r="H206" s="1"/>
  <c r="G207"/>
  <c r="F207"/>
  <c r="F206" s="1"/>
  <c r="E207"/>
  <c r="D207"/>
  <c r="D206" s="1"/>
  <c r="K206"/>
  <c r="I206"/>
  <c r="G206"/>
  <c r="E206"/>
  <c r="N205"/>
  <c r="N204" s="1"/>
  <c r="M205"/>
  <c r="M204" s="1"/>
  <c r="D205"/>
  <c r="I204"/>
  <c r="G204"/>
  <c r="E204"/>
  <c r="D204"/>
  <c r="N203"/>
  <c r="N202" s="1"/>
  <c r="M203"/>
  <c r="M202" s="1"/>
  <c r="D203"/>
  <c r="D202" s="1"/>
  <c r="L202"/>
  <c r="L201" s="1"/>
  <c r="K202"/>
  <c r="J202"/>
  <c r="J201" s="1"/>
  <c r="I202"/>
  <c r="H202"/>
  <c r="H201" s="1"/>
  <c r="G202"/>
  <c r="F202"/>
  <c r="E202"/>
  <c r="K201"/>
  <c r="I201"/>
  <c r="G201"/>
  <c r="F201"/>
  <c r="E201"/>
  <c r="J216" l="1"/>
  <c r="H39" i="10" s="1"/>
  <c r="D219" i="9"/>
  <c r="D253"/>
  <c r="D254" s="1"/>
  <c r="D23"/>
  <c r="D217"/>
  <c r="M201"/>
  <c r="D201"/>
  <c r="M211"/>
  <c r="M210" s="1"/>
  <c r="D216"/>
  <c r="F216"/>
  <c r="D16"/>
  <c r="D210"/>
  <c r="N210"/>
  <c r="D12"/>
  <c r="N201"/>
  <c r="F267" i="2" l="1"/>
  <c r="F270"/>
  <c r="G267"/>
  <c r="L57" i="3" l="1"/>
  <c r="K57"/>
  <c r="J57"/>
  <c r="I57"/>
  <c r="L55"/>
  <c r="K55"/>
  <c r="J55"/>
  <c r="I55"/>
  <c r="L54"/>
  <c r="K54"/>
  <c r="J54"/>
  <c r="I54"/>
  <c r="L51"/>
  <c r="K51"/>
  <c r="J51"/>
  <c r="I51"/>
  <c r="L50"/>
  <c r="K50"/>
  <c r="J50"/>
  <c r="I50"/>
  <c r="L46"/>
  <c r="K46"/>
  <c r="J46"/>
  <c r="I46"/>
  <c r="L45"/>
  <c r="K45"/>
  <c r="J45"/>
  <c r="I45"/>
  <c r="L44"/>
  <c r="K44"/>
  <c r="J44"/>
  <c r="I44"/>
  <c r="E46"/>
  <c r="D117" i="6" l="1"/>
  <c r="N87" i="3"/>
  <c r="P87" s="1"/>
  <c r="G42" i="5" l="1"/>
  <c r="N47" i="3" l="1"/>
  <c r="N48"/>
  <c r="F51"/>
  <c r="E51"/>
  <c r="E22" l="1"/>
  <c r="F22"/>
  <c r="G22"/>
  <c r="H22"/>
  <c r="I22"/>
  <c r="J22"/>
  <c r="K22"/>
  <c r="L22"/>
  <c r="E19"/>
  <c r="F19"/>
  <c r="G19"/>
  <c r="H19"/>
  <c r="I19"/>
  <c r="J19"/>
  <c r="K19"/>
  <c r="L19"/>
  <c r="E16"/>
  <c r="E13"/>
  <c r="F13"/>
  <c r="E12"/>
  <c r="E9"/>
  <c r="I9"/>
  <c r="J9"/>
  <c r="K9"/>
  <c r="L9"/>
  <c r="J177"/>
  <c r="L177"/>
  <c r="D172"/>
  <c r="D171" s="1"/>
  <c r="L171"/>
  <c r="K171"/>
  <c r="J171"/>
  <c r="I171"/>
  <c r="H171"/>
  <c r="G171"/>
  <c r="F171"/>
  <c r="E171"/>
  <c r="D170"/>
  <c r="D169" s="1"/>
  <c r="L169"/>
  <c r="K169"/>
  <c r="J169"/>
  <c r="J168" s="1"/>
  <c r="I169"/>
  <c r="H169"/>
  <c r="G169"/>
  <c r="F169"/>
  <c r="E169"/>
  <c r="L168"/>
  <c r="K166"/>
  <c r="J166"/>
  <c r="I166"/>
  <c r="H166"/>
  <c r="L166"/>
  <c r="F166"/>
  <c r="E166"/>
  <c r="L163"/>
  <c r="K163"/>
  <c r="J163"/>
  <c r="I163"/>
  <c r="H163"/>
  <c r="G163"/>
  <c r="F163"/>
  <c r="E163"/>
  <c r="E162" s="1"/>
  <c r="M176"/>
  <c r="E145"/>
  <c r="F145"/>
  <c r="D160"/>
  <c r="L157"/>
  <c r="K157"/>
  <c r="J157"/>
  <c r="I157"/>
  <c r="H157"/>
  <c r="G157"/>
  <c r="F157"/>
  <c r="E157"/>
  <c r="D158"/>
  <c r="D157" s="1"/>
  <c r="L149"/>
  <c r="L13" s="1"/>
  <c r="K149"/>
  <c r="K13" s="1"/>
  <c r="J149"/>
  <c r="J13" s="1"/>
  <c r="I149"/>
  <c r="I13" s="1"/>
  <c r="H149"/>
  <c r="H13" s="1"/>
  <c r="G149"/>
  <c r="G13" s="1"/>
  <c r="D151"/>
  <c r="D150"/>
  <c r="N151"/>
  <c r="N150"/>
  <c r="F168" l="1"/>
  <c r="F177" s="1"/>
  <c r="H168"/>
  <c r="H177" s="1"/>
  <c r="M167"/>
  <c r="M166" s="1"/>
  <c r="E168"/>
  <c r="E177" s="1"/>
  <c r="G168"/>
  <c r="G177" s="1"/>
  <c r="I168"/>
  <c r="I177" s="1"/>
  <c r="K168"/>
  <c r="K177" s="1"/>
  <c r="N149"/>
  <c r="F162"/>
  <c r="F9" s="1"/>
  <c r="J162"/>
  <c r="I162"/>
  <c r="K162"/>
  <c r="M164"/>
  <c r="M163" s="1"/>
  <c r="M162" s="1"/>
  <c r="M9" s="1"/>
  <c r="D165"/>
  <c r="P170" s="1"/>
  <c r="H162"/>
  <c r="L162"/>
  <c r="D168"/>
  <c r="G166"/>
  <c r="D167"/>
  <c r="D166" s="1"/>
  <c r="D149"/>
  <c r="P158" s="1"/>
  <c r="D164"/>
  <c r="N164"/>
  <c r="N165"/>
  <c r="N167"/>
  <c r="N166" s="1"/>
  <c r="G398" i="2"/>
  <c r="F398"/>
  <c r="G399"/>
  <c r="F399"/>
  <c r="G403"/>
  <c r="F403"/>
  <c r="G404"/>
  <c r="F404"/>
  <c r="H407"/>
  <c r="G407"/>
  <c r="F407"/>
  <c r="G413"/>
  <c r="F413"/>
  <c r="G414"/>
  <c r="F414"/>
  <c r="G418"/>
  <c r="G419"/>
  <c r="F418"/>
  <c r="F419"/>
  <c r="H422"/>
  <c r="G422"/>
  <c r="I41" i="3"/>
  <c r="D177" l="1"/>
  <c r="G162"/>
  <c r="H9"/>
  <c r="G9"/>
  <c r="D163"/>
  <c r="D162" s="1"/>
  <c r="P172"/>
  <c r="N163"/>
  <c r="N162" s="1"/>
  <c r="N9" s="1"/>
  <c r="H41"/>
  <c r="G41"/>
  <c r="G28"/>
  <c r="F28"/>
  <c r="G29"/>
  <c r="F29"/>
  <c r="G34"/>
  <c r="F34"/>
  <c r="G35"/>
  <c r="F35"/>
  <c r="D9" l="1"/>
  <c r="L153"/>
  <c r="K153"/>
  <c r="J153"/>
  <c r="I153"/>
  <c r="H153"/>
  <c r="G153"/>
  <c r="N155"/>
  <c r="N154"/>
  <c r="N148"/>
  <c r="N147"/>
  <c r="H146"/>
  <c r="H145" s="1"/>
  <c r="I146"/>
  <c r="I145" s="1"/>
  <c r="J146"/>
  <c r="J145" s="1"/>
  <c r="K146"/>
  <c r="K145" s="1"/>
  <c r="L146"/>
  <c r="L145" s="1"/>
  <c r="G146"/>
  <c r="G145" l="1"/>
  <c r="N146"/>
  <c r="N145" s="1"/>
  <c r="D153"/>
  <c r="P160" s="1"/>
  <c r="D159"/>
  <c r="D156" s="1"/>
  <c r="L159"/>
  <c r="L156" s="1"/>
  <c r="K159"/>
  <c r="K156" s="1"/>
  <c r="J159"/>
  <c r="J156" s="1"/>
  <c r="I159"/>
  <c r="I156" s="1"/>
  <c r="H159"/>
  <c r="G159"/>
  <c r="F159"/>
  <c r="F156" s="1"/>
  <c r="E159"/>
  <c r="E156" s="1"/>
  <c r="D155"/>
  <c r="D154"/>
  <c r="M153"/>
  <c r="M152" s="1"/>
  <c r="N153"/>
  <c r="N152" s="1"/>
  <c r="L152"/>
  <c r="K152"/>
  <c r="J152"/>
  <c r="I152"/>
  <c r="H152"/>
  <c r="G152"/>
  <c r="F152"/>
  <c r="E152"/>
  <c r="D148"/>
  <c r="D147"/>
  <c r="M146"/>
  <c r="M145" s="1"/>
  <c r="J144" l="1"/>
  <c r="N144"/>
  <c r="H156"/>
  <c r="G156"/>
  <c r="D152"/>
  <c r="H144"/>
  <c r="L144"/>
  <c r="F144"/>
  <c r="E144"/>
  <c r="K144"/>
  <c r="G144"/>
  <c r="I144"/>
  <c r="M144"/>
  <c r="D146"/>
  <c r="D145" s="1"/>
  <c r="F401" i="2"/>
  <c r="D144" i="3" l="1"/>
  <c r="N224" i="9"/>
  <c r="N13" i="13"/>
  <c r="N10"/>
  <c r="N13" i="9"/>
  <c r="N9"/>
  <c r="N77" i="8"/>
  <c r="N78"/>
  <c r="N84"/>
  <c r="P143" i="3" l="1"/>
  <c r="F56" i="13"/>
  <c r="F59"/>
  <c r="F62"/>
  <c r="F65"/>
  <c r="N170" i="2" l="1"/>
  <c r="N172"/>
  <c r="N171"/>
  <c r="N230"/>
  <c r="N232"/>
  <c r="N231"/>
  <c r="N52" i="6"/>
  <c r="D44"/>
  <c r="D48"/>
  <c r="D64" i="13"/>
  <c r="D65"/>
  <c r="N58" l="1"/>
  <c r="N59"/>
  <c r="N64"/>
  <c r="N65"/>
  <c r="N10" i="8" l="1"/>
  <c r="N9"/>
  <c r="N20"/>
  <c r="N18"/>
  <c r="N15"/>
  <c r="N14"/>
  <c r="N13"/>
  <c r="N12"/>
  <c r="M15"/>
  <c r="M20"/>
  <c r="M13"/>
  <c r="M12" s="1"/>
  <c r="M14"/>
  <c r="M18"/>
  <c r="M16" s="1"/>
  <c r="M11" s="1"/>
  <c r="N11" i="4"/>
  <c r="N15"/>
  <c r="O18"/>
  <c r="L18"/>
  <c r="N16" i="8" l="1"/>
  <c r="N11" s="1"/>
  <c r="O21" i="10"/>
  <c r="M230" i="2" l="1"/>
  <c r="M240" i="9" l="1"/>
  <c r="M255" i="6"/>
  <c r="M170" i="2" l="1"/>
  <c r="M174"/>
  <c r="M172"/>
  <c r="M171"/>
  <c r="M127" i="6"/>
  <c r="M199"/>
  <c r="M84" i="8"/>
  <c r="M49"/>
  <c r="M47"/>
  <c r="M35"/>
  <c r="M129" i="7"/>
  <c r="M105"/>
  <c r="M45"/>
  <c r="M13"/>
  <c r="L15" i="4"/>
  <c r="M56"/>
  <c r="M51"/>
  <c r="M15" s="1"/>
  <c r="M46"/>
  <c r="M34"/>
  <c r="M251" i="6"/>
  <c r="M219"/>
  <c r="M216"/>
  <c r="M215"/>
  <c r="M132"/>
  <c r="M130"/>
  <c r="M128"/>
  <c r="M155" i="7"/>
  <c r="M143"/>
  <c r="E30" l="1"/>
  <c r="E29"/>
  <c r="F19"/>
  <c r="D47" i="6" l="1"/>
  <c r="D403" i="2" l="1"/>
  <c r="D404"/>
  <c r="D398"/>
  <c r="D399"/>
  <c r="M8" i="7" l="1"/>
  <c r="E8"/>
  <c r="F8"/>
  <c r="G8"/>
  <c r="H8"/>
  <c r="I8"/>
  <c r="J8"/>
  <c r="K8"/>
  <c r="L8"/>
  <c r="D8"/>
  <c r="D9"/>
  <c r="D171"/>
  <c r="D12"/>
  <c r="E12"/>
  <c r="G12"/>
  <c r="H12"/>
  <c r="I12"/>
  <c r="J12"/>
  <c r="K12"/>
  <c r="L12"/>
  <c r="F12"/>
  <c r="F11" s="1"/>
  <c r="G103"/>
  <c r="G168"/>
  <c r="G152"/>
  <c r="G11"/>
  <c r="G13"/>
  <c r="E9"/>
  <c r="F9"/>
  <c r="G9"/>
  <c r="H9"/>
  <c r="I9"/>
  <c r="J9"/>
  <c r="K9"/>
  <c r="L9"/>
  <c r="M9"/>
  <c r="M7" s="1"/>
  <c r="E22"/>
  <c r="F22"/>
  <c r="G22"/>
  <c r="H22"/>
  <c r="I22"/>
  <c r="J22"/>
  <c r="K22"/>
  <c r="L22"/>
  <c r="D22"/>
  <c r="D20"/>
  <c r="D17"/>
  <c r="E13" i="8"/>
  <c r="F13"/>
  <c r="G13"/>
  <c r="H13"/>
  <c r="I13"/>
  <c r="J13"/>
  <c r="K13"/>
  <c r="L13"/>
  <c r="F108" i="6" l="1"/>
  <c r="F110"/>
  <c r="F100"/>
  <c r="F98"/>
  <c r="M34" l="1"/>
  <c r="M33"/>
  <c r="D33"/>
  <c r="D52"/>
  <c r="D136" l="1"/>
  <c r="H136"/>
  <c r="F136"/>
  <c r="H127"/>
  <c r="F127"/>
  <c r="I117" l="1"/>
  <c r="H117"/>
  <c r="F117"/>
  <c r="I113"/>
  <c r="H113"/>
  <c r="F113"/>
  <c r="H112"/>
  <c r="F112"/>
  <c r="F111"/>
  <c r="I109"/>
  <c r="F109"/>
  <c r="I108"/>
  <c r="H108"/>
  <c r="I103"/>
  <c r="H103"/>
  <c r="F103"/>
  <c r="D34" l="1"/>
  <c r="E31"/>
  <c r="F641" i="2" l="1"/>
  <c r="G641"/>
  <c r="H641"/>
  <c r="I641"/>
  <c r="J641"/>
  <c r="K641"/>
  <c r="L641"/>
  <c r="J640"/>
  <c r="G102" i="1" s="1"/>
  <c r="K640" i="2"/>
  <c r="H102" i="1" s="1"/>
  <c r="L640" i="2"/>
  <c r="I102" i="1" s="1"/>
  <c r="D19" i="7"/>
  <c r="I19"/>
  <c r="H42" i="2"/>
  <c r="M190" i="9"/>
  <c r="M192"/>
  <c r="G189"/>
  <c r="D189"/>
  <c r="K642" i="2" l="1"/>
  <c r="L642"/>
  <c r="J642"/>
  <c r="G69" i="9" l="1"/>
  <c r="F69"/>
  <c r="G66"/>
  <c r="F66"/>
  <c r="G64"/>
  <c r="F64"/>
  <c r="G40" i="8"/>
  <c r="F40"/>
  <c r="H37"/>
  <c r="G37"/>
  <c r="F37"/>
  <c r="H35"/>
  <c r="G35"/>
  <c r="F35"/>
  <c r="E19" i="7" l="1"/>
  <c r="G19"/>
  <c r="H19"/>
  <c r="J19"/>
  <c r="K19"/>
  <c r="L19"/>
  <c r="E16"/>
  <c r="F16"/>
  <c r="G16"/>
  <c r="H16"/>
  <c r="I16"/>
  <c r="J16"/>
  <c r="K16"/>
  <c r="L16"/>
  <c r="D16"/>
  <c r="E13"/>
  <c r="F13"/>
  <c r="H13"/>
  <c r="I13"/>
  <c r="J13"/>
  <c r="K13"/>
  <c r="L13"/>
  <c r="D13"/>
  <c r="E142"/>
  <c r="E141" s="1"/>
  <c r="E140" s="1"/>
  <c r="D162"/>
  <c r="K161"/>
  <c r="J161"/>
  <c r="I161"/>
  <c r="H161"/>
  <c r="G161"/>
  <c r="F161"/>
  <c r="E161"/>
  <c r="D161"/>
  <c r="D160"/>
  <c r="D159" s="1"/>
  <c r="K159"/>
  <c r="J159"/>
  <c r="J158" s="1"/>
  <c r="I159"/>
  <c r="H159"/>
  <c r="G159"/>
  <c r="F159"/>
  <c r="F158" s="1"/>
  <c r="E159"/>
  <c r="K158"/>
  <c r="I158"/>
  <c r="G158"/>
  <c r="E158"/>
  <c r="D157"/>
  <c r="N156"/>
  <c r="M156"/>
  <c r="K156"/>
  <c r="J156"/>
  <c r="I156"/>
  <c r="H156"/>
  <c r="G156"/>
  <c r="F156"/>
  <c r="E156"/>
  <c r="D156"/>
  <c r="N155"/>
  <c r="N153" s="1"/>
  <c r="N152" s="1"/>
  <c r="M153"/>
  <c r="M152" s="1"/>
  <c r="D154"/>
  <c r="K153"/>
  <c r="J153"/>
  <c r="I153"/>
  <c r="H153"/>
  <c r="G153"/>
  <c r="F153"/>
  <c r="E153"/>
  <c r="K152"/>
  <c r="J152"/>
  <c r="I152"/>
  <c r="H152"/>
  <c r="F152"/>
  <c r="E152"/>
  <c r="D150"/>
  <c r="K149"/>
  <c r="J149"/>
  <c r="I149"/>
  <c r="H149"/>
  <c r="H146" s="1"/>
  <c r="G149"/>
  <c r="F149"/>
  <c r="E149"/>
  <c r="D149"/>
  <c r="D148"/>
  <c r="D147" s="1"/>
  <c r="K147"/>
  <c r="J147"/>
  <c r="J146" s="1"/>
  <c r="I147"/>
  <c r="H147"/>
  <c r="G147"/>
  <c r="F147"/>
  <c r="E147"/>
  <c r="K146"/>
  <c r="I146"/>
  <c r="G146"/>
  <c r="F146"/>
  <c r="E146"/>
  <c r="D145"/>
  <c r="N144"/>
  <c r="M144"/>
  <c r="K144"/>
  <c r="J144"/>
  <c r="I144"/>
  <c r="H144"/>
  <c r="H140" s="1"/>
  <c r="G144"/>
  <c r="F144"/>
  <c r="E144"/>
  <c r="D144"/>
  <c r="N143"/>
  <c r="N141" s="1"/>
  <c r="N140" s="1"/>
  <c r="M141"/>
  <c r="M140" s="1"/>
  <c r="D142"/>
  <c r="K141"/>
  <c r="J141"/>
  <c r="I141"/>
  <c r="H141"/>
  <c r="G141"/>
  <c r="F141"/>
  <c r="F140" s="1"/>
  <c r="K140"/>
  <c r="J140"/>
  <c r="I140"/>
  <c r="G140"/>
  <c r="G50"/>
  <c r="F50"/>
  <c r="G45"/>
  <c r="F45"/>
  <c r="H158" l="1"/>
  <c r="D158"/>
  <c r="D146"/>
  <c r="D155"/>
  <c r="D153" s="1"/>
  <c r="D152" s="1"/>
  <c r="D143"/>
  <c r="D141" s="1"/>
  <c r="D140" s="1"/>
  <c r="G172" i="6"/>
  <c r="F172"/>
  <c r="H176"/>
  <c r="F176"/>
  <c r="H183"/>
  <c r="F183"/>
  <c r="H184"/>
  <c r="G184"/>
  <c r="H177"/>
  <c r="G177"/>
  <c r="H199"/>
  <c r="I199"/>
  <c r="G199"/>
  <c r="I204"/>
  <c r="H204"/>
  <c r="I211"/>
  <c r="H211"/>
  <c r="F251"/>
  <c r="G250"/>
  <c r="G249" s="1"/>
  <c r="I43"/>
  <c r="H43"/>
  <c r="G43"/>
  <c r="F43"/>
  <c r="E43"/>
  <c r="I44"/>
  <c r="H44"/>
  <c r="G44"/>
  <c r="F44"/>
  <c r="E41"/>
  <c r="I47"/>
  <c r="H47"/>
  <c r="G47"/>
  <c r="F47"/>
  <c r="E47"/>
  <c r="E45" s="1"/>
  <c r="I48"/>
  <c r="H48"/>
  <c r="G48"/>
  <c r="F48"/>
  <c r="I53"/>
  <c r="I52"/>
  <c r="H52"/>
  <c r="G52"/>
  <c r="F52"/>
  <c r="E52"/>
  <c r="H53"/>
  <c r="G53"/>
  <c r="F53"/>
  <c r="E50"/>
  <c r="G58"/>
  <c r="G56"/>
  <c r="F58"/>
  <c r="K33"/>
  <c r="F33"/>
  <c r="G37"/>
  <c r="F37"/>
  <c r="G65" i="5" l="1"/>
  <c r="G66"/>
  <c r="F67"/>
  <c r="G68"/>
  <c r="G69"/>
  <c r="F70"/>
  <c r="I28" i="3"/>
  <c r="H28"/>
  <c r="I29"/>
  <c r="H29"/>
  <c r="E29"/>
  <c r="E26" s="1"/>
  <c r="I34"/>
  <c r="H34"/>
  <c r="I35"/>
  <c r="H35"/>
  <c r="E35"/>
  <c r="J41"/>
  <c r="F41"/>
  <c r="I413" i="2"/>
  <c r="H413"/>
  <c r="I414"/>
  <c r="H414"/>
  <c r="I418"/>
  <c r="H418"/>
  <c r="I419"/>
  <c r="H419"/>
  <c r="I407"/>
  <c r="H399"/>
  <c r="E396"/>
  <c r="E399"/>
  <c r="H404"/>
  <c r="E401"/>
  <c r="E404"/>
  <c r="D34" i="3" l="1"/>
  <c r="D28"/>
  <c r="D35"/>
  <c r="E32"/>
  <c r="D29"/>
  <c r="H99" i="8"/>
  <c r="H95"/>
  <c r="F95"/>
  <c r="F99"/>
  <c r="H29" l="1"/>
  <c r="I29"/>
  <c r="L29"/>
  <c r="E29"/>
  <c r="G62"/>
  <c r="F62"/>
  <c r="G60"/>
  <c r="F60"/>
  <c r="M14" i="9"/>
  <c r="E19"/>
  <c r="F19"/>
  <c r="G19"/>
  <c r="H19"/>
  <c r="I19"/>
  <c r="J19"/>
  <c r="K19"/>
  <c r="L19"/>
  <c r="D19"/>
  <c r="E11"/>
  <c r="D197"/>
  <c r="D196" s="1"/>
  <c r="L196"/>
  <c r="K196"/>
  <c r="J196"/>
  <c r="I196"/>
  <c r="H196"/>
  <c r="G196"/>
  <c r="F196"/>
  <c r="E196"/>
  <c r="E190"/>
  <c r="F190"/>
  <c r="G190"/>
  <c r="H190"/>
  <c r="H189" s="1"/>
  <c r="I190"/>
  <c r="D190"/>
  <c r="H193"/>
  <c r="I193"/>
  <c r="I189" s="1"/>
  <c r="J193"/>
  <c r="K193"/>
  <c r="L193"/>
  <c r="E185"/>
  <c r="E186"/>
  <c r="F189"/>
  <c r="J190"/>
  <c r="K190"/>
  <c r="L190"/>
  <c r="D192"/>
  <c r="J189"/>
  <c r="K189"/>
  <c r="L189"/>
  <c r="J186"/>
  <c r="I180"/>
  <c r="I183"/>
  <c r="I181"/>
  <c r="J181"/>
  <c r="J180" s="1"/>
  <c r="K181"/>
  <c r="L181"/>
  <c r="H181"/>
  <c r="D199"/>
  <c r="D198" s="1"/>
  <c r="L198"/>
  <c r="K198"/>
  <c r="J198"/>
  <c r="I198"/>
  <c r="H198"/>
  <c r="G198"/>
  <c r="F198"/>
  <c r="E198"/>
  <c r="N194"/>
  <c r="N193" s="1"/>
  <c r="M194"/>
  <c r="D194"/>
  <c r="D193" s="1"/>
  <c r="M193"/>
  <c r="G193"/>
  <c r="E193"/>
  <c r="N191"/>
  <c r="N190" s="1"/>
  <c r="M191"/>
  <c r="D191"/>
  <c r="E189"/>
  <c r="D187"/>
  <c r="D186" s="1"/>
  <c r="D185" s="1"/>
  <c r="L186"/>
  <c r="L185" s="1"/>
  <c r="K186"/>
  <c r="I186"/>
  <c r="H186"/>
  <c r="G186"/>
  <c r="F186"/>
  <c r="N184"/>
  <c r="N183" s="1"/>
  <c r="M184"/>
  <c r="D184"/>
  <c r="D183" s="1"/>
  <c r="M183"/>
  <c r="G183"/>
  <c r="E183"/>
  <c r="N182"/>
  <c r="N181" s="1"/>
  <c r="M182"/>
  <c r="D182"/>
  <c r="D181" s="1"/>
  <c r="M181"/>
  <c r="M180" s="1"/>
  <c r="G181"/>
  <c r="F181"/>
  <c r="E181"/>
  <c r="F180"/>
  <c r="E180"/>
  <c r="G185" l="1"/>
  <c r="G180" s="1"/>
  <c r="I185"/>
  <c r="L180"/>
  <c r="G195"/>
  <c r="I195"/>
  <c r="J185"/>
  <c r="F185"/>
  <c r="H185"/>
  <c r="K185"/>
  <c r="H195"/>
  <c r="J195"/>
  <c r="F195"/>
  <c r="L195"/>
  <c r="K195"/>
  <c r="E195"/>
  <c r="D195"/>
  <c r="M189"/>
  <c r="N189"/>
  <c r="D180"/>
  <c r="N180"/>
  <c r="F82"/>
  <c r="G90"/>
  <c r="F90"/>
  <c r="K180" l="1"/>
  <c r="H180"/>
  <c r="G85"/>
  <c r="F85"/>
  <c r="G82"/>
  <c r="K39" i="10" l="1"/>
  <c r="M38"/>
  <c r="K38"/>
  <c r="I41" i="13"/>
  <c r="G38"/>
  <c r="L38" i="10" l="1"/>
  <c r="G27" i="13"/>
  <c r="F36"/>
  <c r="I32"/>
  <c r="F38"/>
  <c r="F27"/>
  <c r="F29"/>
  <c r="G36"/>
  <c r="G29"/>
  <c r="G125" i="9" l="1"/>
  <c r="F125"/>
  <c r="G122" l="1"/>
  <c r="F122"/>
  <c r="G118"/>
  <c r="F118"/>
  <c r="E20" i="7" l="1"/>
  <c r="F20"/>
  <c r="G20"/>
  <c r="H20"/>
  <c r="I20"/>
  <c r="J20"/>
  <c r="K20"/>
  <c r="L20"/>
  <c r="E14"/>
  <c r="F14"/>
  <c r="G14"/>
  <c r="H14"/>
  <c r="I14"/>
  <c r="J14"/>
  <c r="K14"/>
  <c r="L14"/>
  <c r="E18"/>
  <c r="F18"/>
  <c r="H18"/>
  <c r="I18"/>
  <c r="J18"/>
  <c r="K18"/>
  <c r="L18"/>
  <c r="E11"/>
  <c r="H11"/>
  <c r="I11"/>
  <c r="J11"/>
  <c r="L11"/>
  <c r="D136"/>
  <c r="E134"/>
  <c r="F134"/>
  <c r="G134"/>
  <c r="H134"/>
  <c r="I134"/>
  <c r="J134"/>
  <c r="K134"/>
  <c r="E127"/>
  <c r="F127"/>
  <c r="G127"/>
  <c r="H127"/>
  <c r="I127"/>
  <c r="J127"/>
  <c r="K127"/>
  <c r="L127"/>
  <c r="D130"/>
  <c r="D14" s="1"/>
  <c r="D138"/>
  <c r="K137"/>
  <c r="K133" s="1"/>
  <c r="J137"/>
  <c r="I137"/>
  <c r="H137"/>
  <c r="G137"/>
  <c r="G133" s="1"/>
  <c r="F137"/>
  <c r="E137"/>
  <c r="D137"/>
  <c r="D135"/>
  <c r="D134" s="1"/>
  <c r="I133"/>
  <c r="E133"/>
  <c r="D132"/>
  <c r="N131"/>
  <c r="M131"/>
  <c r="K131"/>
  <c r="J131"/>
  <c r="I131"/>
  <c r="H131"/>
  <c r="H126" s="1"/>
  <c r="G131"/>
  <c r="G126" s="1"/>
  <c r="F131"/>
  <c r="F126" s="1"/>
  <c r="E131"/>
  <c r="D131"/>
  <c r="M127"/>
  <c r="M126" s="1"/>
  <c r="D129"/>
  <c r="D128"/>
  <c r="K126"/>
  <c r="J126"/>
  <c r="I126"/>
  <c r="E126"/>
  <c r="J10" i="2"/>
  <c r="K10"/>
  <c r="L10"/>
  <c r="E7" i="7"/>
  <c r="H7"/>
  <c r="I7"/>
  <c r="J7"/>
  <c r="L7"/>
  <c r="F39"/>
  <c r="F38" s="1"/>
  <c r="D40"/>
  <c r="G39"/>
  <c r="D39"/>
  <c r="G38"/>
  <c r="D38"/>
  <c r="D37"/>
  <c r="D36" s="1"/>
  <c r="G34"/>
  <c r="G33" s="1"/>
  <c r="M35"/>
  <c r="M34" s="1"/>
  <c r="M33" s="1"/>
  <c r="D35"/>
  <c r="D34" s="1"/>
  <c r="I34"/>
  <c r="H34"/>
  <c r="F34"/>
  <c r="F33" s="1"/>
  <c r="E34"/>
  <c r="I33"/>
  <c r="H33"/>
  <c r="E33"/>
  <c r="L95" i="3"/>
  <c r="L90"/>
  <c r="L87"/>
  <c r="G95"/>
  <c r="G90"/>
  <c r="G87"/>
  <c r="G71"/>
  <c r="G66"/>
  <c r="G63"/>
  <c r="F71"/>
  <c r="F66"/>
  <c r="F63"/>
  <c r="E45" i="2"/>
  <c r="F45"/>
  <c r="G45"/>
  <c r="H45"/>
  <c r="I45"/>
  <c r="J45"/>
  <c r="K45"/>
  <c r="L45"/>
  <c r="E38"/>
  <c r="F38"/>
  <c r="G38"/>
  <c r="H38"/>
  <c r="I38"/>
  <c r="J38"/>
  <c r="K38"/>
  <c r="L38"/>
  <c r="G239"/>
  <c r="G51" s="1"/>
  <c r="G234"/>
  <c r="G231"/>
  <c r="F239"/>
  <c r="F234"/>
  <c r="F231"/>
  <c r="G215"/>
  <c r="G213"/>
  <c r="G210"/>
  <c r="G208"/>
  <c r="F213"/>
  <c r="F208"/>
  <c r="G251"/>
  <c r="G246"/>
  <c r="G243"/>
  <c r="F251"/>
  <c r="F246"/>
  <c r="F42" s="1"/>
  <c r="F243"/>
  <c r="G174"/>
  <c r="G171"/>
  <c r="G37" s="1"/>
  <c r="G176"/>
  <c r="G179"/>
  <c r="F176"/>
  <c r="F179"/>
  <c r="F174"/>
  <c r="F171"/>
  <c r="E51"/>
  <c r="F51"/>
  <c r="H51"/>
  <c r="I51"/>
  <c r="J51"/>
  <c r="K51"/>
  <c r="L51"/>
  <c r="E42"/>
  <c r="G42"/>
  <c r="I42"/>
  <c r="J42"/>
  <c r="K42"/>
  <c r="L42"/>
  <c r="E37"/>
  <c r="F37"/>
  <c r="H37"/>
  <c r="I37"/>
  <c r="J37"/>
  <c r="K37"/>
  <c r="L37"/>
  <c r="H259"/>
  <c r="H262"/>
  <c r="H253"/>
  <c r="H257"/>
  <c r="H254"/>
  <c r="D263"/>
  <c r="D262" s="1"/>
  <c r="G262"/>
  <c r="E262"/>
  <c r="D261"/>
  <c r="G260"/>
  <c r="F260"/>
  <c r="E260"/>
  <c r="D260"/>
  <c r="N258"/>
  <c r="N257" s="1"/>
  <c r="D258"/>
  <c r="D257" s="1"/>
  <c r="G257"/>
  <c r="E257"/>
  <c r="N256"/>
  <c r="M256"/>
  <c r="D256"/>
  <c r="N255"/>
  <c r="N254" s="1"/>
  <c r="D255"/>
  <c r="D254" s="1"/>
  <c r="G254"/>
  <c r="G253" s="1"/>
  <c r="E254"/>
  <c r="E253"/>
  <c r="G537"/>
  <c r="G538"/>
  <c r="F539"/>
  <c r="G360"/>
  <c r="F360"/>
  <c r="G351"/>
  <c r="G348"/>
  <c r="M37" l="1"/>
  <c r="M42"/>
  <c r="M66" i="3"/>
  <c r="M63"/>
  <c r="G18" i="7"/>
  <c r="J133"/>
  <c r="H133"/>
  <c r="F133"/>
  <c r="D133"/>
  <c r="D127"/>
  <c r="D126" s="1"/>
  <c r="N129"/>
  <c r="N127" s="1"/>
  <c r="N126" s="1"/>
  <c r="D33"/>
  <c r="N35"/>
  <c r="N34" s="1"/>
  <c r="N33" s="1"/>
  <c r="D253" i="2"/>
  <c r="G259"/>
  <c r="E259"/>
  <c r="D259"/>
  <c r="N253"/>
  <c r="M255"/>
  <c r="M254" s="1"/>
  <c r="M258"/>
  <c r="M257" s="1"/>
  <c r="F254"/>
  <c r="F257"/>
  <c r="F262"/>
  <c r="F259" s="1"/>
  <c r="G337"/>
  <c r="G338"/>
  <c r="G340"/>
  <c r="F341"/>
  <c r="F339"/>
  <c r="G48" i="9"/>
  <c r="G46"/>
  <c r="F48"/>
  <c r="F46"/>
  <c r="F253" i="2" l="1"/>
  <c r="M253"/>
  <c r="G100" i="13" l="1"/>
  <c r="F100"/>
  <c r="G224" i="6" l="1"/>
  <c r="F224"/>
  <c r="G222"/>
  <c r="F222"/>
  <c r="G217"/>
  <c r="F217"/>
  <c r="G215"/>
  <c r="F215"/>
  <c r="G219" l="1"/>
  <c r="F219"/>
  <c r="G216"/>
  <c r="F216"/>
  <c r="I142" i="3" l="1"/>
  <c r="H142"/>
  <c r="G142"/>
  <c r="F142"/>
  <c r="G139"/>
  <c r="F139"/>
  <c r="D139" s="1"/>
  <c r="F138"/>
  <c r="D138" s="1"/>
  <c r="I137"/>
  <c r="H137"/>
  <c r="G137"/>
  <c r="F137"/>
  <c r="I132"/>
  <c r="H132"/>
  <c r="G132"/>
  <c r="F132"/>
  <c r="I129"/>
  <c r="H129"/>
  <c r="G129"/>
  <c r="F129"/>
  <c r="H128"/>
  <c r="G128"/>
  <c r="F128"/>
  <c r="H127"/>
  <c r="G127"/>
  <c r="F127"/>
  <c r="H126"/>
  <c r="G126"/>
  <c r="F126"/>
  <c r="I125"/>
  <c r="H125"/>
  <c r="G125"/>
  <c r="F125"/>
  <c r="D129" l="1"/>
  <c r="D126"/>
  <c r="D128"/>
  <c r="D137"/>
  <c r="D125"/>
  <c r="D127"/>
  <c r="L18" i="8"/>
  <c r="E18"/>
  <c r="H18"/>
  <c r="I18"/>
  <c r="D74"/>
  <c r="H73"/>
  <c r="G73"/>
  <c r="F73"/>
  <c r="E73"/>
  <c r="D73"/>
  <c r="H72"/>
  <c r="G72"/>
  <c r="F72"/>
  <c r="E72"/>
  <c r="D72"/>
  <c r="N71"/>
  <c r="M71"/>
  <c r="D71"/>
  <c r="N70"/>
  <c r="M70"/>
  <c r="H70"/>
  <c r="G70"/>
  <c r="F70"/>
  <c r="E70"/>
  <c r="D70"/>
  <c r="N69"/>
  <c r="N68" s="1"/>
  <c r="N67" s="1"/>
  <c r="M69"/>
  <c r="D69"/>
  <c r="M68"/>
  <c r="H68"/>
  <c r="G68"/>
  <c r="F68"/>
  <c r="E68"/>
  <c r="D68"/>
  <c r="M67"/>
  <c r="H67"/>
  <c r="G67"/>
  <c r="F67"/>
  <c r="E67"/>
  <c r="D67"/>
  <c r="J116"/>
  <c r="K116"/>
  <c r="L116"/>
  <c r="J10"/>
  <c r="K10"/>
  <c r="L10"/>
  <c r="F20"/>
  <c r="G20"/>
  <c r="H20"/>
  <c r="I20"/>
  <c r="J20"/>
  <c r="K20"/>
  <c r="L20"/>
  <c r="D65"/>
  <c r="I64"/>
  <c r="H64"/>
  <c r="G64"/>
  <c r="F64"/>
  <c r="E64"/>
  <c r="D64"/>
  <c r="I63"/>
  <c r="I116" s="1"/>
  <c r="H63"/>
  <c r="G63"/>
  <c r="F63"/>
  <c r="E63"/>
  <c r="D63"/>
  <c r="N62"/>
  <c r="M62"/>
  <c r="D62"/>
  <c r="N61"/>
  <c r="M61"/>
  <c r="I61"/>
  <c r="H61"/>
  <c r="G61"/>
  <c r="F61"/>
  <c r="E61"/>
  <c r="D61"/>
  <c r="N60"/>
  <c r="N59" s="1"/>
  <c r="N58" s="1"/>
  <c r="M60"/>
  <c r="D60"/>
  <c r="I59"/>
  <c r="H59"/>
  <c r="G59"/>
  <c r="F59"/>
  <c r="E59"/>
  <c r="I58"/>
  <c r="H58"/>
  <c r="G58"/>
  <c r="F58"/>
  <c r="E58"/>
  <c r="D77"/>
  <c r="E77"/>
  <c r="F77"/>
  <c r="G77"/>
  <c r="H77"/>
  <c r="I77"/>
  <c r="J77"/>
  <c r="I10" l="1"/>
  <c r="M59"/>
  <c r="M58" s="1"/>
  <c r="D59"/>
  <c r="D58" s="1"/>
  <c r="K55"/>
  <c r="K29" s="1"/>
  <c r="K52"/>
  <c r="K49"/>
  <c r="K18" s="1"/>
  <c r="K47"/>
  <c r="J55"/>
  <c r="J29" s="1"/>
  <c r="J52"/>
  <c r="J49"/>
  <c r="J18" s="1"/>
  <c r="J47"/>
  <c r="G55"/>
  <c r="G29" s="1"/>
  <c r="G52"/>
  <c r="G49"/>
  <c r="G18" s="1"/>
  <c r="G47"/>
  <c r="M86" i="1" l="1"/>
  <c r="F542" i="2"/>
  <c r="E539"/>
  <c r="E251" i="6"/>
  <c r="K21" i="10"/>
  <c r="K15"/>
  <c r="M21"/>
  <c r="L21"/>
  <c r="M15"/>
  <c r="L15"/>
  <c r="M11"/>
  <c r="L11"/>
  <c r="M9"/>
  <c r="L9"/>
  <c r="M46" i="5"/>
  <c r="M26"/>
  <c r="M24"/>
  <c r="G17" i="10"/>
  <c r="H17"/>
  <c r="I17"/>
  <c r="J17"/>
  <c r="G18"/>
  <c r="H18"/>
  <c r="I18"/>
  <c r="J18"/>
  <c r="M13" i="9"/>
  <c r="E13"/>
  <c r="F13"/>
  <c r="G13"/>
  <c r="H13"/>
  <c r="I13"/>
  <c r="J13"/>
  <c r="K13"/>
  <c r="L13"/>
  <c r="E15"/>
  <c r="E20"/>
  <c r="F20"/>
  <c r="G20"/>
  <c r="H20"/>
  <c r="I20"/>
  <c r="J20"/>
  <c r="K20"/>
  <c r="L20"/>
  <c r="E22"/>
  <c r="F22"/>
  <c r="F18" s="1"/>
  <c r="G22"/>
  <c r="G18" s="1"/>
  <c r="H22"/>
  <c r="H18" s="1"/>
  <c r="I22"/>
  <c r="I18" s="1"/>
  <c r="J22"/>
  <c r="J18" s="1"/>
  <c r="K22"/>
  <c r="K18" s="1"/>
  <c r="L22"/>
  <c r="L18" s="1"/>
  <c r="E14" i="8"/>
  <c r="G14"/>
  <c r="H14"/>
  <c r="I14"/>
  <c r="J14"/>
  <c r="K14"/>
  <c r="L14"/>
  <c r="E15"/>
  <c r="F15"/>
  <c r="G15"/>
  <c r="H15"/>
  <c r="I15"/>
  <c r="J15"/>
  <c r="K15"/>
  <c r="L15"/>
  <c r="G16"/>
  <c r="H16"/>
  <c r="I16"/>
  <c r="J16"/>
  <c r="K16"/>
  <c r="L16"/>
  <c r="E20"/>
  <c r="E16" s="1"/>
  <c r="E23"/>
  <c r="G23"/>
  <c r="H23"/>
  <c r="I23"/>
  <c r="J23"/>
  <c r="K23"/>
  <c r="L23"/>
  <c r="E25"/>
  <c r="F25"/>
  <c r="G25"/>
  <c r="H25"/>
  <c r="I25"/>
  <c r="J25"/>
  <c r="K25"/>
  <c r="L25"/>
  <c r="E31"/>
  <c r="E28" s="1"/>
  <c r="F31"/>
  <c r="H31"/>
  <c r="H28" s="1"/>
  <c r="I31"/>
  <c r="I28" s="1"/>
  <c r="J31"/>
  <c r="J28" s="1"/>
  <c r="K31"/>
  <c r="K28" s="1"/>
  <c r="L31"/>
  <c r="L28" s="1"/>
  <c r="G54"/>
  <c r="G51"/>
  <c r="G48"/>
  <c r="G46"/>
  <c r="G45" s="1"/>
  <c r="G44" s="1"/>
  <c r="V66" i="4"/>
  <c r="L64"/>
  <c r="G64"/>
  <c r="H64"/>
  <c r="I64"/>
  <c r="J64"/>
  <c r="K64"/>
  <c r="F64"/>
  <c r="V65" s="1"/>
  <c r="M18"/>
  <c r="E15"/>
  <c r="F15"/>
  <c r="G15"/>
  <c r="H15"/>
  <c r="I15"/>
  <c r="J15"/>
  <c r="K15"/>
  <c r="E16"/>
  <c r="F16"/>
  <c r="G16"/>
  <c r="D67" i="1" s="1"/>
  <c r="H16" i="4"/>
  <c r="E67" i="1" s="1"/>
  <c r="I16" i="4"/>
  <c r="F67" i="1" s="1"/>
  <c r="J16" i="4"/>
  <c r="G67" i="1" s="1"/>
  <c r="K16" i="4"/>
  <c r="H67" i="1" s="1"/>
  <c r="L16" i="4"/>
  <c r="I67" i="1" s="1"/>
  <c r="E17" i="4"/>
  <c r="B68" i="1" s="1"/>
  <c r="F17" i="4"/>
  <c r="C68" i="1" s="1"/>
  <c r="G17" i="4"/>
  <c r="D68" i="1" s="1"/>
  <c r="H17" i="4"/>
  <c r="E68" i="1" s="1"/>
  <c r="I17" i="4"/>
  <c r="F68" i="1" s="1"/>
  <c r="J17" i="4"/>
  <c r="G68" i="1" s="1"/>
  <c r="K17" i="4"/>
  <c r="H68" i="1" s="1"/>
  <c r="L17" i="4"/>
  <c r="I68" i="1" s="1"/>
  <c r="E18" i="4"/>
  <c r="F18"/>
  <c r="G18"/>
  <c r="H18"/>
  <c r="I18"/>
  <c r="J18"/>
  <c r="K18"/>
  <c r="E20"/>
  <c r="F20"/>
  <c r="G20"/>
  <c r="H20"/>
  <c r="I20"/>
  <c r="J20"/>
  <c r="K20"/>
  <c r="L20"/>
  <c r="E21"/>
  <c r="F21"/>
  <c r="G21"/>
  <c r="H21"/>
  <c r="I21"/>
  <c r="J21"/>
  <c r="K21"/>
  <c r="L21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M11"/>
  <c r="E11"/>
  <c r="F11"/>
  <c r="G11"/>
  <c r="H11"/>
  <c r="I11"/>
  <c r="J11"/>
  <c r="K11"/>
  <c r="L11"/>
  <c r="E12"/>
  <c r="F12"/>
  <c r="G12"/>
  <c r="H12"/>
  <c r="I12"/>
  <c r="J12"/>
  <c r="K12"/>
  <c r="L12"/>
  <c r="K24" l="1"/>
  <c r="I24"/>
  <c r="I23" s="1"/>
  <c r="G24"/>
  <c r="E24"/>
  <c r="E23" s="1"/>
  <c r="L24"/>
  <c r="J24"/>
  <c r="J23" s="1"/>
  <c r="H24"/>
  <c r="F24"/>
  <c r="F23" s="1"/>
  <c r="V67"/>
  <c r="L14"/>
  <c r="L13" s="1"/>
  <c r="J14"/>
  <c r="H14"/>
  <c r="H13" s="1"/>
  <c r="K14"/>
  <c r="I14"/>
  <c r="I13" s="1"/>
  <c r="G14"/>
  <c r="E14"/>
  <c r="E13" s="1"/>
  <c r="E13" i="10"/>
  <c r="O13" s="1"/>
  <c r="G9" i="8"/>
  <c r="K22"/>
  <c r="I22"/>
  <c r="E22"/>
  <c r="I12"/>
  <c r="E12"/>
  <c r="L22"/>
  <c r="J22"/>
  <c r="H22"/>
  <c r="L12"/>
  <c r="G22"/>
  <c r="H12"/>
  <c r="H11" s="1"/>
  <c r="F14" i="4"/>
  <c r="F13" s="1"/>
  <c r="K12" i="8"/>
  <c r="K11" s="1"/>
  <c r="J12"/>
  <c r="G50"/>
  <c r="G12"/>
  <c r="G11" s="1"/>
  <c r="E10" i="9"/>
  <c r="L21" i="8"/>
  <c r="J21"/>
  <c r="H21"/>
  <c r="L11"/>
  <c r="J11"/>
  <c r="K21"/>
  <c r="I21"/>
  <c r="E21"/>
  <c r="I11"/>
  <c r="E11"/>
  <c r="L23" i="4"/>
  <c r="H23"/>
  <c r="K23"/>
  <c r="G23"/>
  <c r="K13"/>
  <c r="G13"/>
  <c r="J13"/>
  <c r="E14" i="10" l="1"/>
  <c r="G115" i="8"/>
  <c r="E339" i="2"/>
  <c r="G344"/>
  <c r="E39"/>
  <c r="E36" s="1"/>
  <c r="F39"/>
  <c r="F36" s="1"/>
  <c r="G39"/>
  <c r="G36" s="1"/>
  <c r="H39"/>
  <c r="H36" s="1"/>
  <c r="I39"/>
  <c r="I36" s="1"/>
  <c r="J39"/>
  <c r="J36" s="1"/>
  <c r="K39"/>
  <c r="K36" s="1"/>
  <c r="L39"/>
  <c r="L36" s="1"/>
  <c r="E40"/>
  <c r="F40"/>
  <c r="G40"/>
  <c r="H40"/>
  <c r="I40"/>
  <c r="J40"/>
  <c r="K40"/>
  <c r="L40"/>
  <c r="E41"/>
  <c r="F41"/>
  <c r="G41"/>
  <c r="H41"/>
  <c r="I41"/>
  <c r="J41"/>
  <c r="K41"/>
  <c r="L41"/>
  <c r="E46"/>
  <c r="E44" s="1"/>
  <c r="F46"/>
  <c r="F44" s="1"/>
  <c r="G46"/>
  <c r="G44" s="1"/>
  <c r="H46"/>
  <c r="H44" s="1"/>
  <c r="I46"/>
  <c r="I44" s="1"/>
  <c r="J46"/>
  <c r="J44" s="1"/>
  <c r="K46"/>
  <c r="K44" s="1"/>
  <c r="L46"/>
  <c r="L44" s="1"/>
  <c r="E48"/>
  <c r="F48"/>
  <c r="G48"/>
  <c r="H48"/>
  <c r="I48"/>
  <c r="J48"/>
  <c r="K48"/>
  <c r="L48"/>
  <c r="E50"/>
  <c r="E49" s="1"/>
  <c r="F50"/>
  <c r="F49" s="1"/>
  <c r="G50"/>
  <c r="G49" s="1"/>
  <c r="H50"/>
  <c r="H49" s="1"/>
  <c r="I50"/>
  <c r="I49" s="1"/>
  <c r="J50"/>
  <c r="J49" s="1"/>
  <c r="K50"/>
  <c r="K49" s="1"/>
  <c r="L50"/>
  <c r="L49" s="1"/>
  <c r="F203"/>
  <c r="G203"/>
  <c r="E198"/>
  <c r="F198"/>
  <c r="E195"/>
  <c r="F195"/>
  <c r="G138"/>
  <c r="G143"/>
  <c r="E143"/>
  <c r="F143"/>
  <c r="E140"/>
  <c r="F140"/>
  <c r="F136"/>
  <c r="E136"/>
  <c r="E133"/>
  <c r="F133"/>
  <c r="E131"/>
  <c r="F131"/>
  <c r="E90"/>
  <c r="E88"/>
  <c r="E85"/>
  <c r="E83"/>
  <c r="F82"/>
  <c r="E82"/>
  <c r="L43" l="1"/>
  <c r="J43"/>
  <c r="H43"/>
  <c r="F43"/>
  <c r="L35"/>
  <c r="J35"/>
  <c r="H35"/>
  <c r="F35"/>
  <c r="K43"/>
  <c r="I43"/>
  <c r="G43"/>
  <c r="E43"/>
  <c r="K35"/>
  <c r="I35"/>
  <c r="G35"/>
  <c r="E35"/>
  <c r="M100" i="13" l="1"/>
  <c r="M99" s="1"/>
  <c r="M98" s="1"/>
  <c r="M96"/>
  <c r="M95"/>
  <c r="M94" s="1"/>
  <c r="M85"/>
  <c r="M76"/>
  <c r="M75" s="1"/>
  <c r="M74"/>
  <c r="M73" s="1"/>
  <c r="M65"/>
  <c r="M64"/>
  <c r="M60"/>
  <c r="M59"/>
  <c r="M58"/>
  <c r="M47"/>
  <c r="M46" s="1"/>
  <c r="M44"/>
  <c r="M43" s="1"/>
  <c r="M38"/>
  <c r="M37" s="1"/>
  <c r="M36"/>
  <c r="M35" s="1"/>
  <c r="M29"/>
  <c r="M28" s="1"/>
  <c r="M27"/>
  <c r="M26" s="1"/>
  <c r="M16"/>
  <c r="M243" i="9"/>
  <c r="M242" s="1"/>
  <c r="M239"/>
  <c r="M238" s="1"/>
  <c r="M236"/>
  <c r="M235" s="1"/>
  <c r="M234" s="1"/>
  <c r="M175"/>
  <c r="M174"/>
  <c r="M173"/>
  <c r="M172" s="1"/>
  <c r="M171"/>
  <c r="M170"/>
  <c r="M169" s="1"/>
  <c r="M168" s="1"/>
  <c r="M167" s="1"/>
  <c r="M162"/>
  <c r="M161" s="1"/>
  <c r="M160"/>
  <c r="M159" s="1"/>
  <c r="M153"/>
  <c r="M152"/>
  <c r="M149"/>
  <c r="M148"/>
  <c r="M147" s="1"/>
  <c r="M146" s="1"/>
  <c r="M140"/>
  <c r="M139" s="1"/>
  <c r="M138"/>
  <c r="M137" s="1"/>
  <c r="M131"/>
  <c r="M130" s="1"/>
  <c r="M129"/>
  <c r="M128" s="1"/>
  <c r="M120"/>
  <c r="M119" s="1"/>
  <c r="M116"/>
  <c r="M115" s="1"/>
  <c r="M109"/>
  <c r="M108" s="1"/>
  <c r="M107"/>
  <c r="M106" s="1"/>
  <c r="M83"/>
  <c r="M75"/>
  <c r="M74" s="1"/>
  <c r="M73"/>
  <c r="M72" s="1"/>
  <c r="M104" i="8"/>
  <c r="M103" s="1"/>
  <c r="M102" s="1"/>
  <c r="M96"/>
  <c r="M95"/>
  <c r="M94" s="1"/>
  <c r="M93" s="1"/>
  <c r="M118" i="7"/>
  <c r="M117"/>
  <c r="M115"/>
  <c r="M114" s="1"/>
  <c r="M106"/>
  <c r="M94"/>
  <c r="M93"/>
  <c r="M91" s="1"/>
  <c r="M90" s="1"/>
  <c r="M82"/>
  <c r="M81"/>
  <c r="M79" s="1"/>
  <c r="M78" s="1"/>
  <c r="M70"/>
  <c r="M68"/>
  <c r="M67"/>
  <c r="M66" s="1"/>
  <c r="M58"/>
  <c r="M56"/>
  <c r="M55" s="1"/>
  <c r="M54" s="1"/>
  <c r="M46"/>
  <c r="M15"/>
  <c r="M260" i="6"/>
  <c r="M259"/>
  <c r="M258" s="1"/>
  <c r="M257" s="1"/>
  <c r="M254"/>
  <c r="M253" s="1"/>
  <c r="M250"/>
  <c r="M249" s="1"/>
  <c r="M230"/>
  <c r="M229" s="1"/>
  <c r="M228"/>
  <c r="M218"/>
  <c r="M214"/>
  <c r="M204"/>
  <c r="M203"/>
  <c r="M200"/>
  <c r="M177"/>
  <c r="M176"/>
  <c r="M173"/>
  <c r="M172"/>
  <c r="M133"/>
  <c r="M131"/>
  <c r="M129"/>
  <c r="M120"/>
  <c r="M114"/>
  <c r="M113"/>
  <c r="M112"/>
  <c r="M111"/>
  <c r="M110"/>
  <c r="M109"/>
  <c r="M108"/>
  <c r="M102"/>
  <c r="M17" s="1"/>
  <c r="M101"/>
  <c r="M100"/>
  <c r="M99"/>
  <c r="M98"/>
  <c r="M87"/>
  <c r="M86" s="1"/>
  <c r="M85"/>
  <c r="M84" s="1"/>
  <c r="M76"/>
  <c r="M75" s="1"/>
  <c r="M74"/>
  <c r="M73" s="1"/>
  <c r="M72" s="1"/>
  <c r="M65"/>
  <c r="M64" s="1"/>
  <c r="M63"/>
  <c r="M62"/>
  <c r="M61" s="1"/>
  <c r="M53"/>
  <c r="M52"/>
  <c r="M48"/>
  <c r="M47"/>
  <c r="M44"/>
  <c r="M43"/>
  <c r="M29"/>
  <c r="M28" s="1"/>
  <c r="M64" i="4"/>
  <c r="M55"/>
  <c r="M54" s="1"/>
  <c r="M53" s="1"/>
  <c r="M50"/>
  <c r="M49"/>
  <c r="M48" s="1"/>
  <c r="M45"/>
  <c r="M44"/>
  <c r="M43" s="1"/>
  <c r="M35"/>
  <c r="M33"/>
  <c r="M12" s="1"/>
  <c r="M20"/>
  <c r="M100" i="3"/>
  <c r="M88"/>
  <c r="M78"/>
  <c r="M77" s="1"/>
  <c r="M76"/>
  <c r="M75"/>
  <c r="M65"/>
  <c r="M64"/>
  <c r="M62" s="1"/>
  <c r="M61" s="1"/>
  <c r="M49"/>
  <c r="M36"/>
  <c r="M35"/>
  <c r="M34"/>
  <c r="M30"/>
  <c r="M29"/>
  <c r="M28"/>
  <c r="M630" i="2"/>
  <c r="M629" s="1"/>
  <c r="M628" s="1"/>
  <c r="M626"/>
  <c r="M625" s="1"/>
  <c r="M624" s="1"/>
  <c r="M618"/>
  <c r="M598"/>
  <c r="M597" s="1"/>
  <c r="M596" s="1"/>
  <c r="M594"/>
  <c r="M593" s="1"/>
  <c r="M592" s="1"/>
  <c r="M587"/>
  <c r="M586"/>
  <c r="M579"/>
  <c r="M578"/>
  <c r="M554"/>
  <c r="M553" s="1"/>
  <c r="M552" s="1"/>
  <c r="M547"/>
  <c r="M546"/>
  <c r="M545" s="1"/>
  <c r="M544" s="1"/>
  <c r="M532"/>
  <c r="M531"/>
  <c r="M530" s="1"/>
  <c r="M529" s="1"/>
  <c r="M527"/>
  <c r="M526"/>
  <c r="M525" s="1"/>
  <c r="M516"/>
  <c r="M480"/>
  <c r="M479" s="1"/>
  <c r="M478"/>
  <c r="M477" s="1"/>
  <c r="M462"/>
  <c r="M461" s="1"/>
  <c r="M460"/>
  <c r="M459" s="1"/>
  <c r="M447"/>
  <c r="M446"/>
  <c r="M444"/>
  <c r="M443"/>
  <c r="M442"/>
  <c r="M441" s="1"/>
  <c r="M419"/>
  <c r="M418"/>
  <c r="M414"/>
  <c r="M413"/>
  <c r="M389"/>
  <c r="M388" s="1"/>
  <c r="M387"/>
  <c r="M386" s="1"/>
  <c r="M385" s="1"/>
  <c r="M380"/>
  <c r="M379" s="1"/>
  <c r="M378"/>
  <c r="M377" s="1"/>
  <c r="M376" s="1"/>
  <c r="M349"/>
  <c r="M331"/>
  <c r="M330" s="1"/>
  <c r="M329"/>
  <c r="M328" s="1"/>
  <c r="M303"/>
  <c r="M282"/>
  <c r="M281"/>
  <c r="M280"/>
  <c r="M279"/>
  <c r="M278" s="1"/>
  <c r="M277" s="1"/>
  <c r="M244"/>
  <c r="M232"/>
  <c r="M220"/>
  <c r="M120"/>
  <c r="M119" s="1"/>
  <c r="M108"/>
  <c r="M107" s="1"/>
  <c r="M97"/>
  <c r="M96" s="1"/>
  <c r="M95"/>
  <c r="M85"/>
  <c r="M84" s="1"/>
  <c r="M83"/>
  <c r="M73"/>
  <c r="M72" s="1"/>
  <c r="M71"/>
  <c r="M60"/>
  <c r="M58" s="1"/>
  <c r="M57"/>
  <c r="K164" i="1"/>
  <c r="K165" s="1"/>
  <c r="K152"/>
  <c r="K147"/>
  <c r="K146"/>
  <c r="K145"/>
  <c r="K144"/>
  <c r="K143"/>
  <c r="K142"/>
  <c r="K141"/>
  <c r="K140"/>
  <c r="K139"/>
  <c r="K138"/>
  <c r="K137"/>
  <c r="K136"/>
  <c r="K148" s="1"/>
  <c r="M38" i="6" l="1"/>
  <c r="M60"/>
  <c r="M83"/>
  <c r="M445" i="2"/>
  <c r="M31" i="4"/>
  <c r="M30" s="1"/>
  <c r="M171" i="6"/>
  <c r="M175"/>
  <c r="M174" s="1"/>
  <c r="M34" i="13"/>
  <c r="M25"/>
  <c r="M213" i="6"/>
  <c r="M136" i="9"/>
  <c r="M127"/>
  <c r="M72" i="13"/>
  <c r="M105" i="9"/>
  <c r="M71"/>
  <c r="M114"/>
  <c r="M158"/>
  <c r="M14" i="4"/>
  <c r="M13" s="1"/>
  <c r="M10"/>
  <c r="M74" i="3"/>
  <c r="M73" s="1"/>
  <c r="M577" i="2"/>
  <c r="M576" s="1"/>
  <c r="M585"/>
  <c r="M584" s="1"/>
  <c r="M458"/>
  <c r="M476"/>
  <c r="M327"/>
  <c r="M440"/>
  <c r="M112" i="5"/>
  <c r="M111" s="1"/>
  <c r="M102"/>
  <c r="M99"/>
  <c r="M98"/>
  <c r="M92"/>
  <c r="M91"/>
  <c r="M90" s="1"/>
  <c r="M80"/>
  <c r="M79"/>
  <c r="M77"/>
  <c r="M76" s="1"/>
  <c r="M75"/>
  <c r="M74"/>
  <c r="M73"/>
  <c r="M67"/>
  <c r="M66" s="1"/>
  <c r="M65" s="1"/>
  <c r="M60"/>
  <c r="M59" s="1"/>
  <c r="M58" s="1"/>
  <c r="M53"/>
  <c r="M52" s="1"/>
  <c r="M51" s="1"/>
  <c r="M45"/>
  <c r="M44" s="1"/>
  <c r="M37"/>
  <c r="M36" s="1"/>
  <c r="M35"/>
  <c r="M34" s="1"/>
  <c r="M25"/>
  <c r="M23"/>
  <c r="M12"/>
  <c r="E70"/>
  <c r="E67"/>
  <c r="F42"/>
  <c r="E42"/>
  <c r="F37"/>
  <c r="E37"/>
  <c r="F35"/>
  <c r="E35"/>
  <c r="M170" i="6" l="1"/>
  <c r="M33" i="5"/>
  <c r="M22"/>
  <c r="E321" i="2"/>
  <c r="E325" l="1"/>
  <c r="E323"/>
  <c r="E320"/>
  <c r="E319" s="1"/>
  <c r="E318"/>
  <c r="M341" l="1"/>
  <c r="M340" s="1"/>
  <c r="M339"/>
  <c r="M338" s="1"/>
  <c r="M515"/>
  <c r="M514" s="1"/>
  <c r="M513" s="1"/>
  <c r="M539"/>
  <c r="M538" s="1"/>
  <c r="M537" s="1"/>
  <c r="M198"/>
  <c r="M197" s="1"/>
  <c r="M195"/>
  <c r="M194" s="1"/>
  <c r="M150"/>
  <c r="M149" s="1"/>
  <c r="E141"/>
  <c r="E138"/>
  <c r="M136"/>
  <c r="M134" s="1"/>
  <c r="M131"/>
  <c r="M116"/>
  <c r="M115" s="1"/>
  <c r="M114" s="1"/>
  <c r="M106"/>
  <c r="M105" s="1"/>
  <c r="M104" s="1"/>
  <c r="M94"/>
  <c r="M93" s="1"/>
  <c r="M92" s="1"/>
  <c r="M82"/>
  <c r="M81" s="1"/>
  <c r="M80" s="1"/>
  <c r="M70"/>
  <c r="M69" s="1"/>
  <c r="M68" s="1"/>
  <c r="M56"/>
  <c r="M55" s="1"/>
  <c r="M54" s="1"/>
  <c r="M193" l="1"/>
  <c r="E137"/>
  <c r="M337"/>
  <c r="M133"/>
  <c r="M130" s="1"/>
  <c r="M129" s="1"/>
  <c r="M147"/>
  <c r="M146" s="1"/>
  <c r="M145" s="1"/>
  <c r="E149"/>
  <c r="E146"/>
  <c r="E154"/>
  <c r="E151" s="1"/>
  <c r="Q51" i="4"/>
  <c r="N51"/>
  <c r="H157" i="6"/>
  <c r="I157"/>
  <c r="J157"/>
  <c r="K157"/>
  <c r="L157"/>
  <c r="F158"/>
  <c r="F157" s="1"/>
  <c r="G158"/>
  <c r="G157" s="1"/>
  <c r="N158"/>
  <c r="D159"/>
  <c r="M159" s="1"/>
  <c r="N159"/>
  <c r="H161"/>
  <c r="H160" s="1"/>
  <c r="I161"/>
  <c r="I160" s="1"/>
  <c r="J161"/>
  <c r="J160" s="1"/>
  <c r="K161"/>
  <c r="K160" s="1"/>
  <c r="L161"/>
  <c r="L160" s="1"/>
  <c r="F162"/>
  <c r="F161" s="1"/>
  <c r="G162"/>
  <c r="G161" s="1"/>
  <c r="G160" s="1"/>
  <c r="N162"/>
  <c r="F164"/>
  <c r="G164"/>
  <c r="H164"/>
  <c r="I164"/>
  <c r="J164"/>
  <c r="K164"/>
  <c r="L164"/>
  <c r="D165"/>
  <c r="H167"/>
  <c r="H166" s="1"/>
  <c r="I167"/>
  <c r="I166" s="1"/>
  <c r="J167"/>
  <c r="J166" s="1"/>
  <c r="K167"/>
  <c r="K166" s="1"/>
  <c r="L167"/>
  <c r="L166" s="1"/>
  <c r="F168"/>
  <c r="F167" s="1"/>
  <c r="G168"/>
  <c r="G167" s="1"/>
  <c r="G166" s="1"/>
  <c r="N173"/>
  <c r="N53"/>
  <c r="N47"/>
  <c r="N48"/>
  <c r="N44"/>
  <c r="N43"/>
  <c r="N85" i="13"/>
  <c r="N100"/>
  <c r="N96"/>
  <c r="N74"/>
  <c r="N73" s="1"/>
  <c r="N72" s="1"/>
  <c r="N76"/>
  <c r="N75" s="1"/>
  <c r="N60"/>
  <c r="N38"/>
  <c r="N36"/>
  <c r="N29"/>
  <c r="N27"/>
  <c r="E145" i="2" l="1"/>
  <c r="D164" i="6"/>
  <c r="L163"/>
  <c r="F166"/>
  <c r="D166" s="1"/>
  <c r="D167"/>
  <c r="K163"/>
  <c r="I163"/>
  <c r="G163"/>
  <c r="F160"/>
  <c r="F156" s="1"/>
  <c r="D161"/>
  <c r="M161" s="1"/>
  <c r="N161"/>
  <c r="D157"/>
  <c r="M157" s="1"/>
  <c r="N157"/>
  <c r="K156"/>
  <c r="I156"/>
  <c r="J163"/>
  <c r="H163"/>
  <c r="G156"/>
  <c r="L156"/>
  <c r="J156"/>
  <c r="H156"/>
  <c r="D168"/>
  <c r="D162"/>
  <c r="M162" s="1"/>
  <c r="D158"/>
  <c r="M158" s="1"/>
  <c r="D228" i="9"/>
  <c r="N240"/>
  <c r="N236"/>
  <c r="N175"/>
  <c r="N174"/>
  <c r="N171"/>
  <c r="N170"/>
  <c r="N162"/>
  <c r="N160"/>
  <c r="N149"/>
  <c r="N148"/>
  <c r="N147" s="1"/>
  <c r="N140"/>
  <c r="N138"/>
  <c r="N131"/>
  <c r="N129"/>
  <c r="N120"/>
  <c r="N116"/>
  <c r="N109"/>
  <c r="N107"/>
  <c r="N83"/>
  <c r="N75"/>
  <c r="N73"/>
  <c r="N95" i="8"/>
  <c r="N49"/>
  <c r="N47"/>
  <c r="N35"/>
  <c r="F163" i="6" l="1"/>
  <c r="D163" s="1"/>
  <c r="N169" i="9"/>
  <c r="N168" s="1"/>
  <c r="N173"/>
  <c r="N172" s="1"/>
  <c r="D156" i="6"/>
  <c r="M156" s="1"/>
  <c r="N156"/>
  <c r="D160"/>
  <c r="M160" s="1"/>
  <c r="N160"/>
  <c r="N167" i="9" l="1"/>
  <c r="N117" i="7"/>
  <c r="N99" i="6"/>
  <c r="N101"/>
  <c r="N131"/>
  <c r="N130"/>
  <c r="N129"/>
  <c r="E15"/>
  <c r="J15"/>
  <c r="K15"/>
  <c r="L15"/>
  <c r="E16"/>
  <c r="E22"/>
  <c r="H22"/>
  <c r="I22"/>
  <c r="J22"/>
  <c r="K22"/>
  <c r="L22"/>
  <c r="N259"/>
  <c r="N251"/>
  <c r="N230"/>
  <c r="N228"/>
  <c r="N87"/>
  <c r="N85"/>
  <c r="N76"/>
  <c r="N74"/>
  <c r="N65"/>
  <c r="N63"/>
  <c r="N62"/>
  <c r="N35" i="5"/>
  <c r="N37"/>
  <c r="N67"/>
  <c r="N53"/>
  <c r="N56" i="4"/>
  <c r="N55"/>
  <c r="N50"/>
  <c r="N45"/>
  <c r="N46"/>
  <c r="N35"/>
  <c r="N20" s="1"/>
  <c r="N34"/>
  <c r="N18" s="1"/>
  <c r="N33"/>
  <c r="E21" i="3"/>
  <c r="F21"/>
  <c r="G21"/>
  <c r="H21"/>
  <c r="I21"/>
  <c r="J21"/>
  <c r="K21"/>
  <c r="L21"/>
  <c r="E15"/>
  <c r="J15"/>
  <c r="K15"/>
  <c r="L15"/>
  <c r="N13"/>
  <c r="N102"/>
  <c r="N100"/>
  <c r="N99"/>
  <c r="N88"/>
  <c r="N78"/>
  <c r="N76"/>
  <c r="N75"/>
  <c r="N64"/>
  <c r="N630" i="2"/>
  <c r="N626"/>
  <c r="N619"/>
  <c r="N618"/>
  <c r="N611"/>
  <c r="N610"/>
  <c r="N606"/>
  <c r="N566"/>
  <c r="N539"/>
  <c r="N527"/>
  <c r="N516"/>
  <c r="N515"/>
  <c r="N389"/>
  <c r="N387"/>
  <c r="N380"/>
  <c r="N378"/>
  <c r="N371"/>
  <c r="N369"/>
  <c r="N362"/>
  <c r="N360"/>
  <c r="N351"/>
  <c r="N349"/>
  <c r="N348"/>
  <c r="N341"/>
  <c r="N339"/>
  <c r="N303"/>
  <c r="N270"/>
  <c r="N222"/>
  <c r="N220"/>
  <c r="N207"/>
  <c r="N198"/>
  <c r="N195"/>
  <c r="N150"/>
  <c r="N147"/>
  <c r="N136"/>
  <c r="N133"/>
  <c r="N131"/>
  <c r="N120"/>
  <c r="N116"/>
  <c r="N108"/>
  <c r="N106"/>
  <c r="N97"/>
  <c r="N95"/>
  <c r="N94"/>
  <c r="N85"/>
  <c r="N83"/>
  <c r="N82"/>
  <c r="N73"/>
  <c r="N71"/>
  <c r="N70"/>
  <c r="N60"/>
  <c r="N57"/>
  <c r="N56"/>
  <c r="N12" i="4" l="1"/>
  <c r="M13" i="3"/>
  <c r="F619" i="2" l="1"/>
  <c r="M619" s="1"/>
  <c r="M617" s="1"/>
  <c r="M616" s="1"/>
  <c r="F622"/>
  <c r="F606" l="1"/>
  <c r="M606" s="1"/>
  <c r="M605" s="1"/>
  <c r="M604" s="1"/>
  <c r="G51" i="9" l="1"/>
  <c r="F51"/>
  <c r="N48"/>
  <c r="M48"/>
  <c r="M47" s="1"/>
  <c r="N46"/>
  <c r="M46"/>
  <c r="M45" s="1"/>
  <c r="M44" s="1"/>
  <c r="G42"/>
  <c r="F42"/>
  <c r="G39"/>
  <c r="N39" s="1"/>
  <c r="F39"/>
  <c r="M39" s="1"/>
  <c r="M38" s="1"/>
  <c r="G37"/>
  <c r="N37" s="1"/>
  <c r="F37"/>
  <c r="M37" s="1"/>
  <c r="M36" s="1"/>
  <c r="M35" s="1"/>
  <c r="G33"/>
  <c r="G30"/>
  <c r="N30" s="1"/>
  <c r="G28"/>
  <c r="N28" s="1"/>
  <c r="F33"/>
  <c r="F30"/>
  <c r="F28"/>
  <c r="M28" s="1"/>
  <c r="M27" s="1"/>
  <c r="M30" l="1"/>
  <c r="M29" s="1"/>
  <c r="M26" s="1"/>
  <c r="H224" i="2"/>
  <c r="H226"/>
  <c r="G227"/>
  <c r="F227"/>
  <c r="H221"/>
  <c r="H218"/>
  <c r="H217" s="1"/>
  <c r="F222"/>
  <c r="M222" s="1"/>
  <c r="M221" s="1"/>
  <c r="F219"/>
  <c r="M219" s="1"/>
  <c r="M218" s="1"/>
  <c r="M217" s="1"/>
  <c r="G219"/>
  <c r="N219" s="1"/>
  <c r="F215"/>
  <c r="N210"/>
  <c r="F210"/>
  <c r="M210" s="1"/>
  <c r="M209" s="1"/>
  <c r="F207"/>
  <c r="M207" s="1"/>
  <c r="G141"/>
  <c r="G137" s="1"/>
  <c r="N174"/>
  <c r="G191"/>
  <c r="F191"/>
  <c r="G186"/>
  <c r="N186" s="1"/>
  <c r="F186"/>
  <c r="G183"/>
  <c r="N183" s="1"/>
  <c r="F183"/>
  <c r="M267" l="1"/>
  <c r="M266" s="1"/>
  <c r="M208"/>
  <c r="M206" s="1"/>
  <c r="M205" s="1"/>
  <c r="N208"/>
  <c r="N267"/>
  <c r="M183"/>
  <c r="M182" s="1"/>
  <c r="M186"/>
  <c r="M185" s="1"/>
  <c r="M173"/>
  <c r="H223"/>
  <c r="M169" l="1"/>
  <c r="M181"/>
  <c r="D53" i="6"/>
  <c r="J602" i="2" l="1"/>
  <c r="J601"/>
  <c r="I602"/>
  <c r="G602"/>
  <c r="H602"/>
  <c r="F602"/>
  <c r="M602" s="1"/>
  <c r="M601" s="1"/>
  <c r="M600" s="1"/>
  <c r="J561"/>
  <c r="J560" s="1"/>
  <c r="J559" s="1"/>
  <c r="I561"/>
  <c r="I560" s="1"/>
  <c r="I559" s="1"/>
  <c r="H561"/>
  <c r="G561"/>
  <c r="N561" s="1"/>
  <c r="F561"/>
  <c r="M561" l="1"/>
  <c r="M560" s="1"/>
  <c r="M559" s="1"/>
  <c r="N602"/>
  <c r="J600"/>
  <c r="G136" i="3"/>
  <c r="H136"/>
  <c r="I136"/>
  <c r="J136"/>
  <c r="K136"/>
  <c r="F136"/>
  <c r="M136" l="1"/>
  <c r="M135" s="1"/>
  <c r="M134" s="1"/>
  <c r="N609" i="2"/>
  <c r="F130" i="6" l="1"/>
  <c r="L117"/>
  <c r="L108"/>
  <c r="L100"/>
  <c r="L96" s="1"/>
  <c r="F114"/>
  <c r="F104"/>
  <c r="E125"/>
  <c r="E121"/>
  <c r="E102"/>
  <c r="F96"/>
  <c r="D130"/>
  <c r="D129"/>
  <c r="E108"/>
  <c r="E109"/>
  <c r="E110"/>
  <c r="E100"/>
  <c r="E96" s="1"/>
  <c r="E14" s="1"/>
  <c r="E106" l="1"/>
  <c r="E17"/>
  <c r="N16" i="13" l="1"/>
  <c r="F20"/>
  <c r="D231" i="9"/>
  <c r="D230" s="1"/>
  <c r="D56" i="8"/>
  <c r="D110" i="7"/>
  <c r="D117"/>
  <c r="D44"/>
  <c r="D28"/>
  <c r="D116"/>
  <c r="D263" i="6"/>
  <c r="D260"/>
  <c r="D40" i="5"/>
  <c r="D39" s="1"/>
  <c r="D105" i="3"/>
  <c r="D100"/>
  <c r="D93"/>
  <c r="D88"/>
  <c r="D42"/>
  <c r="D39"/>
  <c r="D36"/>
  <c r="D30"/>
  <c r="D483" i="2"/>
  <c r="D480"/>
  <c r="D478"/>
  <c r="D465"/>
  <c r="D462"/>
  <c r="D460"/>
  <c r="D456"/>
  <c r="D455"/>
  <c r="D454"/>
  <c r="D452"/>
  <c r="D451"/>
  <c r="D450"/>
  <c r="D447"/>
  <c r="D446"/>
  <c r="D444"/>
  <c r="D443"/>
  <c r="D442"/>
  <c r="D419"/>
  <c r="D418"/>
  <c r="D550"/>
  <c r="D547"/>
  <c r="D546"/>
  <c r="D535"/>
  <c r="D532"/>
  <c r="D531"/>
  <c r="D334"/>
  <c r="D331"/>
  <c r="D329"/>
  <c r="D297"/>
  <c r="D287"/>
  <c r="D285"/>
  <c r="D282"/>
  <c r="D280"/>
  <c r="D279"/>
  <c r="D273"/>
  <c r="D268"/>
  <c r="D249"/>
  <c r="D244"/>
  <c r="D237"/>
  <c r="D232"/>
  <c r="D126"/>
  <c r="D124"/>
  <c r="D123"/>
  <c r="D102"/>
  <c r="D65"/>
  <c r="D59"/>
  <c r="D57"/>
  <c r="J42" i="1"/>
  <c r="E182" i="6"/>
  <c r="E181" s="1"/>
  <c r="E179"/>
  <c r="E171"/>
  <c r="E175"/>
  <c r="E174" s="1"/>
  <c r="E144"/>
  <c r="E143" s="1"/>
  <c r="E19" s="1"/>
  <c r="E151"/>
  <c r="E152"/>
  <c r="E23"/>
  <c r="E21" s="1"/>
  <c r="N15" i="1"/>
  <c r="H20" i="10"/>
  <c r="I20"/>
  <c r="J20"/>
  <c r="H19"/>
  <c r="I19"/>
  <c r="J19"/>
  <c r="E150" i="6" l="1"/>
  <c r="E25"/>
  <c r="E24" s="1"/>
  <c r="E20" s="1"/>
  <c r="E13"/>
  <c r="E170"/>
  <c r="E178"/>
  <c r="E142"/>
  <c r="E18"/>
  <c r="E12" l="1"/>
  <c r="E255"/>
  <c r="E23" i="13"/>
  <c r="E21" s="1"/>
  <c r="E18" s="1"/>
  <c r="E20"/>
  <c r="E19" s="1"/>
  <c r="E17"/>
  <c r="E14"/>
  <c r="E13"/>
  <c r="E21" i="7"/>
  <c r="E17" s="1"/>
  <c r="E15"/>
  <c r="E243" i="6"/>
  <c r="E242" s="1"/>
  <c r="E241" s="1"/>
  <c r="E20" i="5"/>
  <c r="E19" s="1"/>
  <c r="E18" s="1"/>
  <c r="E17"/>
  <c r="E16" s="1"/>
  <c r="E15"/>
  <c r="E14" s="1"/>
  <c r="E20" i="3"/>
  <c r="E18"/>
  <c r="E14"/>
  <c r="E499" i="2"/>
  <c r="E498"/>
  <c r="E497"/>
  <c r="E496"/>
  <c r="E493"/>
  <c r="E492"/>
  <c r="E491"/>
  <c r="E490"/>
  <c r="E28"/>
  <c r="E15"/>
  <c r="B21" i="1" s="1"/>
  <c r="C35" i="10"/>
  <c r="E99" i="13"/>
  <c r="E98" s="1"/>
  <c r="E95"/>
  <c r="E94" s="1"/>
  <c r="E80"/>
  <c r="E78"/>
  <c r="E75"/>
  <c r="E73"/>
  <c r="E69"/>
  <c r="E67"/>
  <c r="E61"/>
  <c r="E55"/>
  <c r="E37"/>
  <c r="E35"/>
  <c r="E28"/>
  <c r="E26"/>
  <c r="D100"/>
  <c r="D60"/>
  <c r="D96"/>
  <c r="D81"/>
  <c r="D80" s="1"/>
  <c r="D79"/>
  <c r="D78" s="1"/>
  <c r="D76"/>
  <c r="D75" s="1"/>
  <c r="D74"/>
  <c r="D73" s="1"/>
  <c r="D57"/>
  <c r="D29"/>
  <c r="D27"/>
  <c r="E239" i="9"/>
  <c r="E238" s="1"/>
  <c r="E235"/>
  <c r="E234" s="1"/>
  <c r="E177"/>
  <c r="E176" s="1"/>
  <c r="E172"/>
  <c r="E168"/>
  <c r="E164"/>
  <c r="E163" s="1"/>
  <c r="E161"/>
  <c r="E159"/>
  <c r="E158" s="1"/>
  <c r="E155"/>
  <c r="E154" s="1"/>
  <c r="E150"/>
  <c r="E146"/>
  <c r="E142"/>
  <c r="E139"/>
  <c r="E137"/>
  <c r="E133"/>
  <c r="E130"/>
  <c r="E128"/>
  <c r="E124"/>
  <c r="E123" s="1"/>
  <c r="E119"/>
  <c r="E115"/>
  <c r="E111"/>
  <c r="E110" s="1"/>
  <c r="E108"/>
  <c r="E106"/>
  <c r="E102"/>
  <c r="E101" s="1"/>
  <c r="E97"/>
  <c r="E93"/>
  <c r="E87"/>
  <c r="E89"/>
  <c r="E84"/>
  <c r="E81"/>
  <c r="E77"/>
  <c r="E76" s="1"/>
  <c r="E74"/>
  <c r="E72"/>
  <c r="E68"/>
  <c r="E67" s="1"/>
  <c r="E65"/>
  <c r="E63"/>
  <c r="E59"/>
  <c r="E58" s="1"/>
  <c r="E56"/>
  <c r="E54"/>
  <c r="E53" s="1"/>
  <c r="E50"/>
  <c r="E49" s="1"/>
  <c r="E47"/>
  <c r="E45"/>
  <c r="E41"/>
  <c r="E40" s="1"/>
  <c r="E38"/>
  <c r="E36"/>
  <c r="E35" s="1"/>
  <c r="E32"/>
  <c r="E31" s="1"/>
  <c r="E29"/>
  <c r="E26" s="1"/>
  <c r="E27"/>
  <c r="D240"/>
  <c r="D236"/>
  <c r="D178"/>
  <c r="D165"/>
  <c r="D162"/>
  <c r="D160"/>
  <c r="D156"/>
  <c r="D134"/>
  <c r="D125"/>
  <c r="D124" s="1"/>
  <c r="D123" s="1"/>
  <c r="D120"/>
  <c r="D116"/>
  <c r="D112"/>
  <c r="D111" s="1"/>
  <c r="D110" s="1"/>
  <c r="D109"/>
  <c r="D107"/>
  <c r="D103"/>
  <c r="D102" s="1"/>
  <c r="D101" s="1"/>
  <c r="D88"/>
  <c r="D83"/>
  <c r="D78"/>
  <c r="D77" s="1"/>
  <c r="D76" s="1"/>
  <c r="D75"/>
  <c r="D73"/>
  <c r="D60"/>
  <c r="E54" i="8"/>
  <c r="E51"/>
  <c r="E48"/>
  <c r="E45"/>
  <c r="E44" s="1"/>
  <c r="E9" s="1"/>
  <c r="E41"/>
  <c r="E39"/>
  <c r="E38" s="1"/>
  <c r="C18" i="10" s="1"/>
  <c r="E36" i="8"/>
  <c r="E34"/>
  <c r="E33" s="1"/>
  <c r="E94"/>
  <c r="E93" s="1"/>
  <c r="E78" s="1"/>
  <c r="E76" s="1"/>
  <c r="D99"/>
  <c r="D95"/>
  <c r="D53"/>
  <c r="E115" i="7"/>
  <c r="E109"/>
  <c r="E111"/>
  <c r="E106"/>
  <c r="E103"/>
  <c r="E102" s="1"/>
  <c r="E51"/>
  <c r="E49"/>
  <c r="E48" s="1"/>
  <c r="E46"/>
  <c r="E43"/>
  <c r="E42" s="1"/>
  <c r="E25"/>
  <c r="E24" s="1"/>
  <c r="D104"/>
  <c r="D107"/>
  <c r="D50"/>
  <c r="D47"/>
  <c r="D112"/>
  <c r="D52"/>
  <c r="D31"/>
  <c r="E258" i="6"/>
  <c r="E257" s="1"/>
  <c r="E254"/>
  <c r="E253" s="1"/>
  <c r="E250"/>
  <c r="E249" s="1"/>
  <c r="E234"/>
  <c r="E232"/>
  <c r="E231" s="1"/>
  <c r="E229"/>
  <c r="E227"/>
  <c r="E223"/>
  <c r="E221"/>
  <c r="E218"/>
  <c r="E214"/>
  <c r="E213" s="1"/>
  <c r="E148"/>
  <c r="E147" s="1"/>
  <c r="E139"/>
  <c r="E138" s="1"/>
  <c r="E135"/>
  <c r="E134" s="1"/>
  <c r="E124"/>
  <c r="E120"/>
  <c r="E116"/>
  <c r="E115" s="1"/>
  <c r="E105"/>
  <c r="E95"/>
  <c r="E91"/>
  <c r="E89"/>
  <c r="E86"/>
  <c r="E84"/>
  <c r="E83" s="1"/>
  <c r="E80"/>
  <c r="E78"/>
  <c r="E77" s="1"/>
  <c r="E75"/>
  <c r="E73"/>
  <c r="E72" s="1"/>
  <c r="E69"/>
  <c r="E67"/>
  <c r="E64"/>
  <c r="E61"/>
  <c r="E57"/>
  <c r="E55"/>
  <c r="E54" s="1"/>
  <c r="E49"/>
  <c r="E40"/>
  <c r="E36"/>
  <c r="E35" s="1"/>
  <c r="E30"/>
  <c r="E28"/>
  <c r="D87"/>
  <c r="D70"/>
  <c r="D69" s="1"/>
  <c r="D37"/>
  <c r="D259"/>
  <c r="D251"/>
  <c r="D235"/>
  <c r="D233"/>
  <c r="D230"/>
  <c r="D228"/>
  <c r="D101"/>
  <c r="D99"/>
  <c r="D97"/>
  <c r="D92"/>
  <c r="D90"/>
  <c r="D85"/>
  <c r="D68"/>
  <c r="D65"/>
  <c r="D64" s="1"/>
  <c r="D63"/>
  <c r="D62"/>
  <c r="D58"/>
  <c r="D56"/>
  <c r="D43"/>
  <c r="E69" i="5"/>
  <c r="E68" s="1"/>
  <c r="E66"/>
  <c r="E65" s="1"/>
  <c r="E55"/>
  <c r="E54" s="1"/>
  <c r="E52"/>
  <c r="E51" s="1"/>
  <c r="E39"/>
  <c r="E41"/>
  <c r="E36"/>
  <c r="E34"/>
  <c r="D56"/>
  <c r="D56" i="4"/>
  <c r="D51"/>
  <c r="E54"/>
  <c r="E53" s="1"/>
  <c r="E49"/>
  <c r="E48" s="1"/>
  <c r="E44"/>
  <c r="E43" s="1"/>
  <c r="E31"/>
  <c r="E30" s="1"/>
  <c r="E39"/>
  <c r="E38"/>
  <c r="D55"/>
  <c r="D50"/>
  <c r="D46"/>
  <c r="D45"/>
  <c r="D25"/>
  <c r="D35"/>
  <c r="D34"/>
  <c r="D33"/>
  <c r="D17" s="1"/>
  <c r="D32"/>
  <c r="E141" i="3"/>
  <c r="E140" s="1"/>
  <c r="E135"/>
  <c r="E134" s="1"/>
  <c r="E131"/>
  <c r="E130" s="1"/>
  <c r="E123"/>
  <c r="E122" s="1"/>
  <c r="E119"/>
  <c r="E118" s="1"/>
  <c r="E114"/>
  <c r="E110"/>
  <c r="E104"/>
  <c r="E106"/>
  <c r="E101"/>
  <c r="E98"/>
  <c r="E92"/>
  <c r="E94"/>
  <c r="E89"/>
  <c r="E86"/>
  <c r="E80"/>
  <c r="E82"/>
  <c r="E77"/>
  <c r="E74"/>
  <c r="E68"/>
  <c r="E70"/>
  <c r="E65"/>
  <c r="E62"/>
  <c r="E55"/>
  <c r="E57"/>
  <c r="E50"/>
  <c r="E45"/>
  <c r="E31"/>
  <c r="E25"/>
  <c r="D75"/>
  <c r="D18" i="4" l="1"/>
  <c r="D12"/>
  <c r="E10" i="8"/>
  <c r="C17" i="10"/>
  <c r="E136" i="9"/>
  <c r="D18" i="7"/>
  <c r="E132" i="9"/>
  <c r="D15" i="4"/>
  <c r="D11"/>
  <c r="E50" i="8"/>
  <c r="C13" i="10"/>
  <c r="E8" i="8"/>
  <c r="E12" i="13"/>
  <c r="E15"/>
  <c r="E71" i="9"/>
  <c r="E86"/>
  <c r="E145"/>
  <c r="E127"/>
  <c r="E141"/>
  <c r="E489" i="2"/>
  <c r="E488" s="1"/>
  <c r="E38" i="5"/>
  <c r="E13"/>
  <c r="D67" i="6"/>
  <c r="E167" i="9"/>
  <c r="E226" i="6"/>
  <c r="C19" i="10" s="1"/>
  <c r="P19" s="1"/>
  <c r="E27" i="6"/>
  <c r="E39"/>
  <c r="E24" i="3"/>
  <c r="E44"/>
  <c r="E61"/>
  <c r="E73"/>
  <c r="E85"/>
  <c r="E97"/>
  <c r="E109"/>
  <c r="E94" i="6"/>
  <c r="E119"/>
  <c r="E118" s="1"/>
  <c r="E25" i="13"/>
  <c r="E34"/>
  <c r="E54"/>
  <c r="E66"/>
  <c r="E72"/>
  <c r="E10" s="1"/>
  <c r="P13" i="10"/>
  <c r="D61" i="6"/>
  <c r="E88"/>
  <c r="D72" i="13"/>
  <c r="D77"/>
  <c r="E77"/>
  <c r="E44" i="9"/>
  <c r="C37" i="10"/>
  <c r="E114" i="9"/>
  <c r="E62"/>
  <c r="E80"/>
  <c r="E92"/>
  <c r="E105"/>
  <c r="E108" i="7"/>
  <c r="E10"/>
  <c r="E60" i="6"/>
  <c r="E66"/>
  <c r="C31" i="10" s="1"/>
  <c r="E220" i="6"/>
  <c r="E33" i="5"/>
  <c r="E10" i="4"/>
  <c r="E11" i="3"/>
  <c r="E10" s="1"/>
  <c r="E54"/>
  <c r="E67"/>
  <c r="P67" s="1"/>
  <c r="E79"/>
  <c r="E91"/>
  <c r="E103"/>
  <c r="E17"/>
  <c r="E495" i="2"/>
  <c r="E494" s="1"/>
  <c r="E11" i="13"/>
  <c r="E98" i="8"/>
  <c r="E97" s="1"/>
  <c r="D83" i="3"/>
  <c r="D78"/>
  <c r="D142"/>
  <c r="D132"/>
  <c r="P132" s="1"/>
  <c r="D120"/>
  <c r="E538" i="2"/>
  <c r="E537" s="1"/>
  <c r="E629"/>
  <c r="E628" s="1"/>
  <c r="E625"/>
  <c r="E624" s="1"/>
  <c r="E621"/>
  <c r="E620" s="1"/>
  <c r="E617"/>
  <c r="E616" s="1"/>
  <c r="E613"/>
  <c r="E612" s="1"/>
  <c r="E609"/>
  <c r="E608" s="1"/>
  <c r="E601"/>
  <c r="E600" s="1"/>
  <c r="E568"/>
  <c r="E567" s="1"/>
  <c r="E640" s="1"/>
  <c r="E564"/>
  <c r="E563" s="1"/>
  <c r="E560"/>
  <c r="E559" s="1"/>
  <c r="E526"/>
  <c r="E525" s="1"/>
  <c r="E522"/>
  <c r="E521" s="1"/>
  <c r="E518"/>
  <c r="E517" s="1"/>
  <c r="E641" s="1"/>
  <c r="E514"/>
  <c r="E513" s="1"/>
  <c r="E506"/>
  <c r="E505" s="1"/>
  <c r="E502"/>
  <c r="E501" s="1"/>
  <c r="E421"/>
  <c r="E420" s="1"/>
  <c r="E415"/>
  <c r="E410"/>
  <c r="E400"/>
  <c r="E395"/>
  <c r="E391"/>
  <c r="E390" s="1"/>
  <c r="E388"/>
  <c r="E387"/>
  <c r="E382"/>
  <c r="E381" s="1"/>
  <c r="E379"/>
  <c r="E377"/>
  <c r="C8" i="10" l="1"/>
  <c r="E10" i="6"/>
  <c r="E93"/>
  <c r="C7" i="10"/>
  <c r="B103" i="1"/>
  <c r="E176" i="3"/>
  <c r="C34" i="10"/>
  <c r="E8" i="3"/>
  <c r="C23" i="10"/>
  <c r="P23" s="1"/>
  <c r="E7" i="9"/>
  <c r="C30" i="10"/>
  <c r="B102" i="1"/>
  <c r="E642" i="2"/>
  <c r="E643" s="1"/>
  <c r="C14" i="10"/>
  <c r="P14" s="1"/>
  <c r="E115" i="8"/>
  <c r="C36" i="10"/>
  <c r="E386" i="2"/>
  <c r="E317"/>
  <c r="E316" s="1"/>
  <c r="E315" s="1"/>
  <c r="C20" i="10"/>
  <c r="P20" s="1"/>
  <c r="E11" i="6"/>
  <c r="E9" i="13"/>
  <c r="E486" i="2"/>
  <c r="C24" i="10"/>
  <c r="E376" i="2"/>
  <c r="E394"/>
  <c r="E487"/>
  <c r="E485" s="1"/>
  <c r="E385"/>
  <c r="C33" i="10"/>
  <c r="C29"/>
  <c r="E409" i="2"/>
  <c r="E373"/>
  <c r="E372" s="1"/>
  <c r="E370"/>
  <c r="E368"/>
  <c r="E364"/>
  <c r="E363" s="1"/>
  <c r="E361"/>
  <c r="E359"/>
  <c r="E355"/>
  <c r="E353"/>
  <c r="E350"/>
  <c r="E347"/>
  <c r="E342"/>
  <c r="E340"/>
  <c r="E338"/>
  <c r="E312"/>
  <c r="E309"/>
  <c r="E306"/>
  <c r="E302"/>
  <c r="E274"/>
  <c r="E272"/>
  <c r="E269"/>
  <c r="E266"/>
  <c r="E248"/>
  <c r="E250"/>
  <c r="E245"/>
  <c r="E242"/>
  <c r="E236"/>
  <c r="E238"/>
  <c r="E233"/>
  <c r="E230"/>
  <c r="E226"/>
  <c r="E224"/>
  <c r="E221"/>
  <c r="E218"/>
  <c r="E214"/>
  <c r="E212"/>
  <c r="E209"/>
  <c r="E206"/>
  <c r="E202"/>
  <c r="E200"/>
  <c r="E197"/>
  <c r="E194"/>
  <c r="E190"/>
  <c r="E187" s="1"/>
  <c r="E185"/>
  <c r="E182"/>
  <c r="E178"/>
  <c r="E173"/>
  <c r="E170"/>
  <c r="E166"/>
  <c r="E163" s="1"/>
  <c r="E161"/>
  <c r="E158"/>
  <c r="E134"/>
  <c r="E130"/>
  <c r="E125"/>
  <c r="E119"/>
  <c r="E115"/>
  <c r="E110"/>
  <c r="E109" s="1"/>
  <c r="E107"/>
  <c r="E105"/>
  <c r="D630"/>
  <c r="D626"/>
  <c r="D618"/>
  <c r="D602"/>
  <c r="D542"/>
  <c r="D527"/>
  <c r="D519"/>
  <c r="D516"/>
  <c r="D515"/>
  <c r="D507"/>
  <c r="D422"/>
  <c r="D392"/>
  <c r="D389"/>
  <c r="D387"/>
  <c r="D383"/>
  <c r="D380"/>
  <c r="D378"/>
  <c r="D354"/>
  <c r="D349"/>
  <c r="D303"/>
  <c r="D227"/>
  <c r="D225"/>
  <c r="D222"/>
  <c r="D220"/>
  <c r="D219"/>
  <c r="D215"/>
  <c r="D213"/>
  <c r="D210"/>
  <c r="D208"/>
  <c r="D140"/>
  <c r="D133"/>
  <c r="D132"/>
  <c r="D120"/>
  <c r="D111"/>
  <c r="D108"/>
  <c r="D100"/>
  <c r="D97"/>
  <c r="D95"/>
  <c r="D90"/>
  <c r="D88"/>
  <c r="D85"/>
  <c r="D83"/>
  <c r="D76"/>
  <c r="D73"/>
  <c r="D71"/>
  <c r="D78"/>
  <c r="D66"/>
  <c r="D63"/>
  <c r="D60"/>
  <c r="E9" i="6" l="1"/>
  <c r="C26" i="10"/>
  <c r="C32"/>
  <c r="E8" i="13"/>
  <c r="E199" i="2"/>
  <c r="E205"/>
  <c r="E217"/>
  <c r="E223"/>
  <c r="E229"/>
  <c r="E241"/>
  <c r="E169"/>
  <c r="E175"/>
  <c r="E265"/>
  <c r="E271"/>
  <c r="E301"/>
  <c r="E308"/>
  <c r="E114"/>
  <c r="E104"/>
  <c r="P24" i="10"/>
  <c r="E367" i="2"/>
  <c r="E247"/>
  <c r="E235"/>
  <c r="E346"/>
  <c r="E352"/>
  <c r="E358"/>
  <c r="E25"/>
  <c r="B37" i="1" s="1"/>
  <c r="E122" i="2"/>
  <c r="E121" s="1"/>
  <c r="C28" i="10"/>
  <c r="E129" i="2"/>
  <c r="E157"/>
  <c r="E193"/>
  <c r="E337"/>
  <c r="E211"/>
  <c r="E181"/>
  <c r="C25" i="10" l="1"/>
  <c r="J325" i="2" l="1"/>
  <c r="I325"/>
  <c r="K323"/>
  <c r="J323"/>
  <c r="I323"/>
  <c r="H323"/>
  <c r="G323"/>
  <c r="F323"/>
  <c r="K325"/>
  <c r="G374"/>
  <c r="D619" l="1"/>
  <c r="D622"/>
  <c r="B136" i="1" l="1"/>
  <c r="E136"/>
  <c r="G497" i="2" l="1"/>
  <c r="H497"/>
  <c r="I497"/>
  <c r="J497"/>
  <c r="K497"/>
  <c r="L497"/>
  <c r="G491"/>
  <c r="H491"/>
  <c r="I491"/>
  <c r="J491"/>
  <c r="K491"/>
  <c r="L491"/>
  <c r="G609"/>
  <c r="H609"/>
  <c r="I609"/>
  <c r="J609"/>
  <c r="K609"/>
  <c r="L609"/>
  <c r="F610"/>
  <c r="F611"/>
  <c r="M611" s="1"/>
  <c r="F614"/>
  <c r="F613" s="1"/>
  <c r="F612" s="1"/>
  <c r="L613"/>
  <c r="L612" s="1"/>
  <c r="K613"/>
  <c r="J613"/>
  <c r="J612" s="1"/>
  <c r="I613"/>
  <c r="I612" s="1"/>
  <c r="H613"/>
  <c r="H612" s="1"/>
  <c r="G613"/>
  <c r="K612"/>
  <c r="G612"/>
  <c r="G523"/>
  <c r="N523" s="1"/>
  <c r="F523"/>
  <c r="D539"/>
  <c r="F541"/>
  <c r="F540" s="1"/>
  <c r="G541"/>
  <c r="G540" s="1"/>
  <c r="H541"/>
  <c r="H540" s="1"/>
  <c r="I541"/>
  <c r="I540" s="1"/>
  <c r="J541"/>
  <c r="J540" s="1"/>
  <c r="K541"/>
  <c r="K540" s="1"/>
  <c r="L541"/>
  <c r="L540" s="1"/>
  <c r="D541"/>
  <c r="D540" s="1"/>
  <c r="M523" l="1"/>
  <c r="M522" s="1"/>
  <c r="M521" s="1"/>
  <c r="M487" s="1"/>
  <c r="D610"/>
  <c r="M610"/>
  <c r="M609" s="1"/>
  <c r="M608" s="1"/>
  <c r="D523"/>
  <c r="N491"/>
  <c r="D614"/>
  <c r="D613" s="1"/>
  <c r="D612" s="1"/>
  <c r="F491"/>
  <c r="M491" s="1"/>
  <c r="D611"/>
  <c r="D491" s="1"/>
  <c r="F609"/>
  <c r="D497"/>
  <c r="F497"/>
  <c r="N66" i="9"/>
  <c r="N64"/>
  <c r="D64" l="1"/>
  <c r="M64"/>
  <c r="M63" s="1"/>
  <c r="D66"/>
  <c r="M66"/>
  <c r="M65" s="1"/>
  <c r="M62" s="1"/>
  <c r="D69"/>
  <c r="D171"/>
  <c r="D20"/>
  <c r="D68" l="1"/>
  <c r="D67" s="1"/>
  <c r="G370" i="2"/>
  <c r="G368"/>
  <c r="H373"/>
  <c r="H372" s="1"/>
  <c r="F374"/>
  <c r="D374" s="1"/>
  <c r="F371"/>
  <c r="F369"/>
  <c r="G359"/>
  <c r="H364"/>
  <c r="H363" s="1"/>
  <c r="G365"/>
  <c r="F365"/>
  <c r="G361"/>
  <c r="F362"/>
  <c r="G350"/>
  <c r="H355"/>
  <c r="H352" s="1"/>
  <c r="G356"/>
  <c r="D344"/>
  <c r="D341"/>
  <c r="D339"/>
  <c r="G358" l="1"/>
  <c r="D362"/>
  <c r="M362"/>
  <c r="M361" s="1"/>
  <c r="D369"/>
  <c r="M369"/>
  <c r="M368" s="1"/>
  <c r="D351"/>
  <c r="M351"/>
  <c r="M350" s="1"/>
  <c r="D348"/>
  <c r="M348"/>
  <c r="M347" s="1"/>
  <c r="D360"/>
  <c r="M360"/>
  <c r="M359" s="1"/>
  <c r="M358" s="1"/>
  <c r="D371"/>
  <c r="M371"/>
  <c r="M370" s="1"/>
  <c r="D365"/>
  <c r="D356"/>
  <c r="G367"/>
  <c r="G274"/>
  <c r="G271" s="1"/>
  <c r="F275"/>
  <c r="D275" s="1"/>
  <c r="D267"/>
  <c r="D82"/>
  <c r="D56"/>
  <c r="D106"/>
  <c r="D94"/>
  <c r="M346" l="1"/>
  <c r="M367"/>
  <c r="D270"/>
  <c r="M270"/>
  <c r="M269" s="1"/>
  <c r="M265" s="1"/>
  <c r="N246"/>
  <c r="N243"/>
  <c r="D251"/>
  <c r="D127"/>
  <c r="D116"/>
  <c r="N234"/>
  <c r="D239"/>
  <c r="D155"/>
  <c r="D150"/>
  <c r="D147"/>
  <c r="D174"/>
  <c r="D198"/>
  <c r="D195"/>
  <c r="D186"/>
  <c r="G167"/>
  <c r="G162"/>
  <c r="N162" s="1"/>
  <c r="G159"/>
  <c r="F167"/>
  <c r="F162"/>
  <c r="M162" s="1"/>
  <c r="M161" s="1"/>
  <c r="F159"/>
  <c r="D143"/>
  <c r="D136"/>
  <c r="G105" i="7"/>
  <c r="N105" s="1"/>
  <c r="F105"/>
  <c r="D124"/>
  <c r="K123"/>
  <c r="J123"/>
  <c r="I123"/>
  <c r="H123"/>
  <c r="G123"/>
  <c r="F123"/>
  <c r="K121"/>
  <c r="K120" s="1"/>
  <c r="J121"/>
  <c r="I121"/>
  <c r="I120" s="1"/>
  <c r="H121"/>
  <c r="H120" s="1"/>
  <c r="G121"/>
  <c r="G120" s="1"/>
  <c r="F121"/>
  <c r="N118"/>
  <c r="K118"/>
  <c r="J118"/>
  <c r="I118"/>
  <c r="H118"/>
  <c r="G118"/>
  <c r="F118"/>
  <c r="N115"/>
  <c r="N114" s="1"/>
  <c r="D115"/>
  <c r="K115"/>
  <c r="J115"/>
  <c r="I115"/>
  <c r="H115"/>
  <c r="G115"/>
  <c r="F115"/>
  <c r="I114"/>
  <c r="G26"/>
  <c r="F26"/>
  <c r="H54" i="9"/>
  <c r="H56"/>
  <c r="G57"/>
  <c r="N57" s="1"/>
  <c r="G55"/>
  <c r="N55" s="1"/>
  <c r="F57"/>
  <c r="F55"/>
  <c r="D51"/>
  <c r="D48"/>
  <c r="D46"/>
  <c r="H42"/>
  <c r="D42"/>
  <c r="D39"/>
  <c r="D37"/>
  <c r="H33"/>
  <c r="D28"/>
  <c r="G7" i="7" l="1"/>
  <c r="N26"/>
  <c r="F7"/>
  <c r="Q7" s="1"/>
  <c r="M26"/>
  <c r="D105"/>
  <c r="M103"/>
  <c r="M102" s="1"/>
  <c r="D55" i="9"/>
  <c r="M55"/>
  <c r="M54" s="1"/>
  <c r="D57"/>
  <c r="M57"/>
  <c r="M56" s="1"/>
  <c r="H53"/>
  <c r="N159" i="2"/>
  <c r="D231"/>
  <c r="M231"/>
  <c r="D243"/>
  <c r="M243"/>
  <c r="M242" s="1"/>
  <c r="M159"/>
  <c r="M158" s="1"/>
  <c r="M157" s="1"/>
  <c r="M234"/>
  <c r="M233" s="1"/>
  <c r="M229" s="1"/>
  <c r="M246"/>
  <c r="M245" s="1"/>
  <c r="D246"/>
  <c r="D42" s="1"/>
  <c r="D159"/>
  <c r="D167"/>
  <c r="D30" i="9"/>
  <c r="D33"/>
  <c r="D122" i="7"/>
  <c r="D121" s="1"/>
  <c r="D26"/>
  <c r="F114"/>
  <c r="H114"/>
  <c r="J114"/>
  <c r="F120"/>
  <c r="D162" i="2"/>
  <c r="D183"/>
  <c r="D191"/>
  <c r="D171"/>
  <c r="D179"/>
  <c r="D51" s="1"/>
  <c r="D234"/>
  <c r="G114" i="7"/>
  <c r="K114"/>
  <c r="J120"/>
  <c r="D123"/>
  <c r="E123"/>
  <c r="E118"/>
  <c r="E114" s="1"/>
  <c r="E121"/>
  <c r="F173" i="9"/>
  <c r="L177"/>
  <c r="K177"/>
  <c r="J177"/>
  <c r="I177"/>
  <c r="H177"/>
  <c r="G177"/>
  <c r="F177"/>
  <c r="L176"/>
  <c r="J176"/>
  <c r="F176"/>
  <c r="D175"/>
  <c r="D174"/>
  <c r="L173"/>
  <c r="K173"/>
  <c r="J173"/>
  <c r="I173"/>
  <c r="H173"/>
  <c r="G173"/>
  <c r="L172"/>
  <c r="K172"/>
  <c r="J172"/>
  <c r="I172"/>
  <c r="H172"/>
  <c r="G172"/>
  <c r="F172"/>
  <c r="D170"/>
  <c r="L169"/>
  <c r="L11" s="1"/>
  <c r="K169"/>
  <c r="J169"/>
  <c r="J11" s="1"/>
  <c r="I169"/>
  <c r="H169"/>
  <c r="H11" s="1"/>
  <c r="G169"/>
  <c r="F169"/>
  <c r="F11" s="1"/>
  <c r="F168"/>
  <c r="J168" l="1"/>
  <c r="H168"/>
  <c r="L168"/>
  <c r="G168"/>
  <c r="I168"/>
  <c r="I11"/>
  <c r="K168"/>
  <c r="K11"/>
  <c r="K176"/>
  <c r="M25" i="7"/>
  <c r="M24" s="1"/>
  <c r="M53" i="9"/>
  <c r="M241" i="2"/>
  <c r="K167" i="9"/>
  <c r="H176"/>
  <c r="J167"/>
  <c r="L167"/>
  <c r="D169"/>
  <c r="G176"/>
  <c r="I176"/>
  <c r="D173"/>
  <c r="D120" i="7"/>
  <c r="D119"/>
  <c r="D118" s="1"/>
  <c r="D114" s="1"/>
  <c r="H167" i="9"/>
  <c r="F167"/>
  <c r="I167"/>
  <c r="D176"/>
  <c r="D177"/>
  <c r="E120" i="7"/>
  <c r="G167" i="9"/>
  <c r="D172"/>
  <c r="I136" i="6"/>
  <c r="F131"/>
  <c r="D131" s="1"/>
  <c r="N16" i="9" l="1"/>
  <c r="G11"/>
  <c r="N12"/>
  <c r="D168"/>
  <c r="D167" s="1"/>
  <c r="G136" i="6"/>
  <c r="G132"/>
  <c r="N132" s="1"/>
  <c r="G127"/>
  <c r="N127" s="1"/>
  <c r="H122"/>
  <c r="G122"/>
  <c r="G117"/>
  <c r="G112"/>
  <c r="G109"/>
  <c r="G108"/>
  <c r="K100"/>
  <c r="K96" s="1"/>
  <c r="D112" l="1"/>
  <c r="N112"/>
  <c r="F106"/>
  <c r="F102"/>
  <c r="D127"/>
  <c r="F81"/>
  <c r="D81" s="1"/>
  <c r="F79"/>
  <c r="F76"/>
  <c r="D76" s="1"/>
  <c r="F74"/>
  <c r="D74" s="1"/>
  <c r="D79" l="1"/>
  <c r="G87" i="9"/>
  <c r="D87" s="1"/>
  <c r="F87"/>
  <c r="D13"/>
  <c r="N82"/>
  <c r="N81" s="1"/>
  <c r="F81"/>
  <c r="G81"/>
  <c r="H81"/>
  <c r="I81"/>
  <c r="J81"/>
  <c r="K81"/>
  <c r="L81"/>
  <c r="G161"/>
  <c r="D161" s="1"/>
  <c r="F164"/>
  <c r="G164"/>
  <c r="H164"/>
  <c r="I164"/>
  <c r="J164"/>
  <c r="K164"/>
  <c r="L164"/>
  <c r="L163" s="1"/>
  <c r="F159"/>
  <c r="G159"/>
  <c r="H159"/>
  <c r="I159"/>
  <c r="J159"/>
  <c r="K159"/>
  <c r="L159"/>
  <c r="L158" s="1"/>
  <c r="D153"/>
  <c r="D152"/>
  <c r="D148"/>
  <c r="N161"/>
  <c r="N159"/>
  <c r="F155"/>
  <c r="G155"/>
  <c r="H155"/>
  <c r="I155"/>
  <c r="J155"/>
  <c r="K155"/>
  <c r="L155"/>
  <c r="N152"/>
  <c r="N153"/>
  <c r="F151"/>
  <c r="G151"/>
  <c r="G15" s="1"/>
  <c r="H151"/>
  <c r="H15" s="1"/>
  <c r="I151"/>
  <c r="I15" s="1"/>
  <c r="J151"/>
  <c r="J15" s="1"/>
  <c r="K151"/>
  <c r="K15" s="1"/>
  <c r="L151"/>
  <c r="L15" s="1"/>
  <c r="F147"/>
  <c r="G147"/>
  <c r="H147"/>
  <c r="I147"/>
  <c r="J147"/>
  <c r="K147"/>
  <c r="L147"/>
  <c r="K10" l="1"/>
  <c r="H163"/>
  <c r="F163"/>
  <c r="J163"/>
  <c r="L10"/>
  <c r="J10"/>
  <c r="I10"/>
  <c r="H10"/>
  <c r="G10"/>
  <c r="F15"/>
  <c r="M16"/>
  <c r="F10"/>
  <c r="M12"/>
  <c r="M11" s="1"/>
  <c r="F158"/>
  <c r="M82"/>
  <c r="M81" s="1"/>
  <c r="M151"/>
  <c r="M150" s="1"/>
  <c r="M145" s="1"/>
  <c r="N151"/>
  <c r="N150" s="1"/>
  <c r="N146"/>
  <c r="G163"/>
  <c r="D82"/>
  <c r="K154"/>
  <c r="I154"/>
  <c r="G154"/>
  <c r="K158"/>
  <c r="G158"/>
  <c r="D151"/>
  <c r="D147"/>
  <c r="L154"/>
  <c r="J154"/>
  <c r="H154"/>
  <c r="F154"/>
  <c r="I158"/>
  <c r="J158"/>
  <c r="H158"/>
  <c r="K163"/>
  <c r="I163"/>
  <c r="K150"/>
  <c r="I150"/>
  <c r="G150"/>
  <c r="L150"/>
  <c r="J150"/>
  <c r="H150"/>
  <c r="F150"/>
  <c r="D150" s="1"/>
  <c r="L146"/>
  <c r="J146"/>
  <c r="H146"/>
  <c r="K146"/>
  <c r="I146"/>
  <c r="G146"/>
  <c r="D159"/>
  <c r="D155"/>
  <c r="D164"/>
  <c r="D158"/>
  <c r="N158"/>
  <c r="K145"/>
  <c r="G145"/>
  <c r="L145"/>
  <c r="F146"/>
  <c r="F105" i="13"/>
  <c r="H105"/>
  <c r="I105"/>
  <c r="J105"/>
  <c r="K105"/>
  <c r="L105"/>
  <c r="N629" i="2"/>
  <c r="N628" s="1"/>
  <c r="F629"/>
  <c r="F628" s="1"/>
  <c r="G629"/>
  <c r="G628" s="1"/>
  <c r="H629"/>
  <c r="H628" s="1"/>
  <c r="I629"/>
  <c r="I628" s="1"/>
  <c r="J629"/>
  <c r="J628" s="1"/>
  <c r="J487" s="1"/>
  <c r="K629"/>
  <c r="K628" s="1"/>
  <c r="K487" s="1"/>
  <c r="L629"/>
  <c r="L628" s="1"/>
  <c r="L487" s="1"/>
  <c r="D629"/>
  <c r="D628" s="1"/>
  <c r="I504"/>
  <c r="I503"/>
  <c r="H504"/>
  <c r="H503"/>
  <c r="G504"/>
  <c r="N504" s="1"/>
  <c r="G503"/>
  <c r="N503" s="1"/>
  <c r="F504"/>
  <c r="F503"/>
  <c r="I569"/>
  <c r="I496" s="1"/>
  <c r="H569"/>
  <c r="H496" s="1"/>
  <c r="G569"/>
  <c r="G496" s="1"/>
  <c r="F569"/>
  <c r="I565"/>
  <c r="H565"/>
  <c r="G565"/>
  <c r="N565" s="1"/>
  <c r="F565"/>
  <c r="M565" s="1"/>
  <c r="D163" i="9" l="1"/>
  <c r="D146"/>
  <c r="D503" i="2"/>
  <c r="M503"/>
  <c r="D504"/>
  <c r="M504"/>
  <c r="N145" i="9"/>
  <c r="D565" i="2"/>
  <c r="H145" i="9"/>
  <c r="D154"/>
  <c r="J145"/>
  <c r="I145"/>
  <c r="F496" i="2"/>
  <c r="D569"/>
  <c r="D145" i="9"/>
  <c r="F145"/>
  <c r="M502" i="2" l="1"/>
  <c r="M501" s="1"/>
  <c r="L10" i="13" l="1"/>
  <c r="K10"/>
  <c r="J10"/>
  <c r="I10"/>
  <c r="H10"/>
  <c r="G10"/>
  <c r="H20"/>
  <c r="I20"/>
  <c r="J20"/>
  <c r="K20"/>
  <c r="J30" i="10" l="1"/>
  <c r="I33"/>
  <c r="H33"/>
  <c r="I32"/>
  <c r="H32"/>
  <c r="D16" i="4" l="1"/>
  <c r="G68" i="13" l="1"/>
  <c r="G70"/>
  <c r="D70" s="1"/>
  <c r="H23"/>
  <c r="G23"/>
  <c r="F23"/>
  <c r="F73"/>
  <c r="F75"/>
  <c r="G78"/>
  <c r="G80"/>
  <c r="G412" i="2"/>
  <c r="H412"/>
  <c r="I412"/>
  <c r="F412"/>
  <c r="F417"/>
  <c r="G417"/>
  <c r="H417"/>
  <c r="I417"/>
  <c r="J317"/>
  <c r="K320"/>
  <c r="J320"/>
  <c r="L325"/>
  <c r="M417" l="1"/>
  <c r="M412"/>
  <c r="D68" i="13"/>
  <c r="D20" s="1"/>
  <c r="G20"/>
  <c r="F72"/>
  <c r="D417" i="2"/>
  <c r="G77" i="13"/>
  <c r="G105" l="1"/>
  <c r="D105"/>
  <c r="F10"/>
  <c r="M10" s="1"/>
  <c r="D412" i="2"/>
  <c r="D413"/>
  <c r="D414"/>
  <c r="N412"/>
  <c r="N413"/>
  <c r="N414"/>
  <c r="G411"/>
  <c r="H411"/>
  <c r="I411"/>
  <c r="I317" s="1"/>
  <c r="F411"/>
  <c r="M411" s="1"/>
  <c r="M410" s="1"/>
  <c r="N417"/>
  <c r="N418"/>
  <c r="N419"/>
  <c r="G416"/>
  <c r="H416"/>
  <c r="I416"/>
  <c r="I320" s="1"/>
  <c r="F416"/>
  <c r="D421"/>
  <c r="D420" s="1"/>
  <c r="H421"/>
  <c r="I421"/>
  <c r="G421"/>
  <c r="M416" l="1"/>
  <c r="M415" s="1"/>
  <c r="M409" s="1"/>
  <c r="N416"/>
  <c r="N415" s="1"/>
  <c r="D411"/>
  <c r="N411"/>
  <c r="N410" s="1"/>
  <c r="N409" s="1"/>
  <c r="D416"/>
  <c r="F415"/>
  <c r="I420"/>
  <c r="G420"/>
  <c r="H420"/>
  <c r="H410"/>
  <c r="I410"/>
  <c r="G410"/>
  <c r="F410"/>
  <c r="G415"/>
  <c r="H415"/>
  <c r="I415"/>
  <c r="D415" l="1"/>
  <c r="H409"/>
  <c r="G409"/>
  <c r="F409"/>
  <c r="D410"/>
  <c r="I409"/>
  <c r="G32" i="10" l="1"/>
  <c r="D409" i="2"/>
  <c r="D55" i="6" l="1"/>
  <c r="D57"/>
  <c r="G55"/>
  <c r="H55"/>
  <c r="I55"/>
  <c r="J55"/>
  <c r="F55"/>
  <c r="G57"/>
  <c r="H57"/>
  <c r="I57"/>
  <c r="J57"/>
  <c r="F57"/>
  <c r="F41"/>
  <c r="G41"/>
  <c r="H41"/>
  <c r="I41"/>
  <c r="F45"/>
  <c r="G45"/>
  <c r="H45"/>
  <c r="H15" s="1"/>
  <c r="I45"/>
  <c r="I15" s="1"/>
  <c r="F50"/>
  <c r="G50"/>
  <c r="H50"/>
  <c r="H49" s="1"/>
  <c r="I50"/>
  <c r="I49" s="1"/>
  <c r="F61"/>
  <c r="N50" l="1"/>
  <c r="N49" s="1"/>
  <c r="D45"/>
  <c r="M50"/>
  <c r="M49" s="1"/>
  <c r="M45"/>
  <c r="M41"/>
  <c r="N45"/>
  <c r="G49"/>
  <c r="N41"/>
  <c r="F49"/>
  <c r="D50"/>
  <c r="D49" s="1"/>
  <c r="D41"/>
  <c r="J54"/>
  <c r="H54"/>
  <c r="F54"/>
  <c r="I54"/>
  <c r="G54"/>
  <c r="D54"/>
  <c r="I40"/>
  <c r="G40"/>
  <c r="H40"/>
  <c r="F40"/>
  <c r="N40" l="1"/>
  <c r="N39" s="1"/>
  <c r="M40"/>
  <c r="M39" s="1"/>
  <c r="F39"/>
  <c r="H39"/>
  <c r="I39"/>
  <c r="G39"/>
  <c r="D40"/>
  <c r="D39" s="1"/>
  <c r="H172" l="1"/>
  <c r="N172"/>
  <c r="N171" s="1"/>
  <c r="G176"/>
  <c r="N176" s="1"/>
  <c r="N177"/>
  <c r="G183"/>
  <c r="N199"/>
  <c r="I200"/>
  <c r="H200"/>
  <c r="I207"/>
  <c r="H207"/>
  <c r="N175" l="1"/>
  <c r="N174" s="1"/>
  <c r="F570" i="2" l="1"/>
  <c r="D570" s="1"/>
  <c r="F566"/>
  <c r="D566" l="1"/>
  <c r="M566"/>
  <c r="M564" s="1"/>
  <c r="M563" s="1"/>
  <c r="M486" s="1"/>
  <c r="M485" s="1"/>
  <c r="G498"/>
  <c r="H498"/>
  <c r="I498"/>
  <c r="J498"/>
  <c r="K498"/>
  <c r="L498"/>
  <c r="L492"/>
  <c r="K492"/>
  <c r="J492"/>
  <c r="I492"/>
  <c r="H492"/>
  <c r="G492"/>
  <c r="F492"/>
  <c r="F498"/>
  <c r="F621"/>
  <c r="F620" s="1"/>
  <c r="D621"/>
  <c r="L617"/>
  <c r="K617"/>
  <c r="J617"/>
  <c r="I617"/>
  <c r="H617"/>
  <c r="G617"/>
  <c r="M492" l="1"/>
  <c r="N492"/>
  <c r="F617"/>
  <c r="D620"/>
  <c r="H118" i="9" l="1"/>
  <c r="H122"/>
  <c r="D122"/>
  <c r="D118"/>
  <c r="H117"/>
  <c r="G117"/>
  <c r="H121"/>
  <c r="G121"/>
  <c r="F117"/>
  <c r="D117" s="1"/>
  <c r="F121"/>
  <c r="D121" s="1"/>
  <c r="J41" i="13" l="1"/>
  <c r="D32" l="1"/>
  <c r="I23"/>
  <c r="D41"/>
  <c r="J23"/>
  <c r="K104" l="1"/>
  <c r="L104"/>
  <c r="L106" s="1"/>
  <c r="K106"/>
  <c r="J633" i="2"/>
  <c r="K633"/>
  <c r="L633"/>
  <c r="G29" i="6" l="1"/>
  <c r="G34"/>
  <c r="F34"/>
  <c r="D29" l="1"/>
  <c r="N29"/>
  <c r="M85" i="9"/>
  <c r="M84" s="1"/>
  <c r="M80" s="1"/>
  <c r="F72"/>
  <c r="N85" l="1"/>
  <c r="D85"/>
  <c r="D90"/>
  <c r="D131" i="2"/>
  <c r="D89" i="9" l="1"/>
  <c r="D86" s="1"/>
  <c r="F84" i="6"/>
  <c r="F86"/>
  <c r="F89"/>
  <c r="F91"/>
  <c r="F88" l="1"/>
  <c r="F83"/>
  <c r="I84" i="13"/>
  <c r="J84"/>
  <c r="K84"/>
  <c r="L84"/>
  <c r="N99"/>
  <c r="N98" s="1"/>
  <c r="Q97" s="1"/>
  <c r="H99"/>
  <c r="H98" s="1"/>
  <c r="G99"/>
  <c r="G98" s="1"/>
  <c r="F99"/>
  <c r="F98" s="1"/>
  <c r="D99" l="1"/>
  <c r="D98" s="1"/>
  <c r="N34" i="6"/>
  <c r="N33"/>
  <c r="K31"/>
  <c r="J31"/>
  <c r="I31"/>
  <c r="H31"/>
  <c r="G31"/>
  <c r="F31"/>
  <c r="M31" l="1"/>
  <c r="M30" s="1"/>
  <c r="M27" s="1"/>
  <c r="N31"/>
  <c r="D31"/>
  <c r="D50" i="9"/>
  <c r="D49" s="1"/>
  <c r="H50"/>
  <c r="H49" s="1"/>
  <c r="G50"/>
  <c r="G49" s="1"/>
  <c r="F50"/>
  <c r="F49" s="1"/>
  <c r="G47"/>
  <c r="N47"/>
  <c r="D47"/>
  <c r="F47"/>
  <c r="N45"/>
  <c r="G45"/>
  <c r="N44" l="1"/>
  <c r="G44"/>
  <c r="D45"/>
  <c r="D44" s="1"/>
  <c r="F45"/>
  <c r="F44" l="1"/>
  <c r="H255" i="6"/>
  <c r="G255"/>
  <c r="N255" s="1"/>
  <c r="L124" i="3" l="1"/>
  <c r="K124"/>
  <c r="J124"/>
  <c r="I124"/>
  <c r="L123"/>
  <c r="K123"/>
  <c r="J123"/>
  <c r="I123"/>
  <c r="L122"/>
  <c r="K122"/>
  <c r="J122"/>
  <c r="I122"/>
  <c r="H124"/>
  <c r="G124"/>
  <c r="F124"/>
  <c r="G123"/>
  <c r="H123"/>
  <c r="D141"/>
  <c r="D140" s="1"/>
  <c r="L141"/>
  <c r="L140" s="1"/>
  <c r="K141"/>
  <c r="J141"/>
  <c r="J140" s="1"/>
  <c r="I141"/>
  <c r="I140" s="1"/>
  <c r="H141"/>
  <c r="H140" s="1"/>
  <c r="G141"/>
  <c r="G140" s="1"/>
  <c r="F141"/>
  <c r="F140" s="1"/>
  <c r="K140"/>
  <c r="L136"/>
  <c r="N136" s="1"/>
  <c r="J135"/>
  <c r="I135"/>
  <c r="H135"/>
  <c r="K135"/>
  <c r="G135"/>
  <c r="D131"/>
  <c r="D130" s="1"/>
  <c r="L131"/>
  <c r="L130" s="1"/>
  <c r="K131"/>
  <c r="J131"/>
  <c r="I131"/>
  <c r="H131"/>
  <c r="G131"/>
  <c r="F131"/>
  <c r="D119"/>
  <c r="D118" s="1"/>
  <c r="L119"/>
  <c r="L118" s="1"/>
  <c r="K119"/>
  <c r="K118" s="1"/>
  <c r="J119"/>
  <c r="J118" s="1"/>
  <c r="I119"/>
  <c r="H119"/>
  <c r="G119"/>
  <c r="F119"/>
  <c r="D117"/>
  <c r="D116"/>
  <c r="L115"/>
  <c r="K115"/>
  <c r="K114" s="1"/>
  <c r="J115"/>
  <c r="J114" s="1"/>
  <c r="I115"/>
  <c r="H115"/>
  <c r="G115"/>
  <c r="F115"/>
  <c r="M115" s="1"/>
  <c r="M114" s="1"/>
  <c r="D113"/>
  <c r="D112"/>
  <c r="L111"/>
  <c r="L110" s="1"/>
  <c r="K111"/>
  <c r="K110" s="1"/>
  <c r="J111"/>
  <c r="J110" s="1"/>
  <c r="I111"/>
  <c r="I110" s="1"/>
  <c r="H111"/>
  <c r="H110" s="1"/>
  <c r="G111"/>
  <c r="F111"/>
  <c r="M124" l="1"/>
  <c r="M123" s="1"/>
  <c r="M122" s="1"/>
  <c r="D124"/>
  <c r="M111"/>
  <c r="M110" s="1"/>
  <c r="M109" s="1"/>
  <c r="N124"/>
  <c r="G110"/>
  <c r="N111"/>
  <c r="N115"/>
  <c r="L135"/>
  <c r="L134" s="1"/>
  <c r="D136"/>
  <c r="P137" s="1"/>
  <c r="F130"/>
  <c r="J130"/>
  <c r="F123"/>
  <c r="F122" s="1"/>
  <c r="D115"/>
  <c r="D111"/>
  <c r="H130"/>
  <c r="J109"/>
  <c r="G118"/>
  <c r="I118"/>
  <c r="G130"/>
  <c r="I130"/>
  <c r="K130"/>
  <c r="G134"/>
  <c r="H134"/>
  <c r="J134"/>
  <c r="F118"/>
  <c r="H118"/>
  <c r="H122"/>
  <c r="K134"/>
  <c r="I134"/>
  <c r="G122"/>
  <c r="G114"/>
  <c r="I114"/>
  <c r="I109" s="1"/>
  <c r="N110"/>
  <c r="F135"/>
  <c r="D123"/>
  <c r="D122" s="1"/>
  <c r="H114"/>
  <c r="H109" s="1"/>
  <c r="L114"/>
  <c r="L109" s="1"/>
  <c r="K109"/>
  <c r="F114"/>
  <c r="F110"/>
  <c r="G109" l="1"/>
  <c r="F134"/>
  <c r="F109"/>
  <c r="N135"/>
  <c r="N134" s="1"/>
  <c r="D135"/>
  <c r="D134" s="1"/>
  <c r="N123"/>
  <c r="N122" s="1"/>
  <c r="N114"/>
  <c r="N109" s="1"/>
  <c r="D114"/>
  <c r="D110"/>
  <c r="D109" l="1"/>
  <c r="J490" i="2"/>
  <c r="K490"/>
  <c r="L490"/>
  <c r="N625"/>
  <c r="N624" s="1"/>
  <c r="D625"/>
  <c r="D624" s="1"/>
  <c r="I625"/>
  <c r="H625"/>
  <c r="H624" s="1"/>
  <c r="G625"/>
  <c r="F625"/>
  <c r="F624" s="1"/>
  <c r="I624"/>
  <c r="G624"/>
  <c r="L111" i="6" l="1"/>
  <c r="P105" l="1"/>
  <c r="P95"/>
  <c r="P94" l="1"/>
  <c r="J486" i="2"/>
  <c r="K486"/>
  <c r="L486"/>
  <c r="F493"/>
  <c r="G493"/>
  <c r="H493"/>
  <c r="I493"/>
  <c r="J493"/>
  <c r="K493"/>
  <c r="L493"/>
  <c r="F499"/>
  <c r="C79" i="1" s="1"/>
  <c r="G499" i="2"/>
  <c r="D79" i="1" s="1"/>
  <c r="H499" i="2"/>
  <c r="E79" i="1" s="1"/>
  <c r="I499" i="2"/>
  <c r="F79" i="1" s="1"/>
  <c r="J499" i="2"/>
  <c r="G79" i="1" s="1"/>
  <c r="K499" i="2"/>
  <c r="H79" i="1" s="1"/>
  <c r="L499" i="2"/>
  <c r="I79" i="1" s="1"/>
  <c r="H502" i="2"/>
  <c r="H501" s="1"/>
  <c r="I502"/>
  <c r="I501" s="1"/>
  <c r="D506"/>
  <c r="D505" s="1"/>
  <c r="G502"/>
  <c r="F506"/>
  <c r="F505" s="1"/>
  <c r="G506"/>
  <c r="G505" s="1"/>
  <c r="H506"/>
  <c r="H505" s="1"/>
  <c r="I506"/>
  <c r="I505" s="1"/>
  <c r="J506"/>
  <c r="J505" s="1"/>
  <c r="K506"/>
  <c r="K505" s="1"/>
  <c r="L506"/>
  <c r="L505" s="1"/>
  <c r="D493"/>
  <c r="M493" l="1"/>
  <c r="N493"/>
  <c r="D499"/>
  <c r="N502"/>
  <c r="F502"/>
  <c r="F294" l="1"/>
  <c r="F299"/>
  <c r="F292"/>
  <c r="I313"/>
  <c r="G313"/>
  <c r="F313"/>
  <c r="G310"/>
  <c r="F310"/>
  <c r="I307"/>
  <c r="G307"/>
  <c r="F307"/>
  <c r="M307" s="1"/>
  <c r="M306" s="1"/>
  <c r="I304"/>
  <c r="G304"/>
  <c r="F304"/>
  <c r="M304" l="1"/>
  <c r="M302" s="1"/>
  <c r="M301" s="1"/>
  <c r="D292"/>
  <c r="M292"/>
  <c r="M290" s="1"/>
  <c r="D294"/>
  <c r="M294"/>
  <c r="M293" s="1"/>
  <c r="D304"/>
  <c r="N307"/>
  <c r="D310"/>
  <c r="D299"/>
  <c r="D313"/>
  <c r="D307"/>
  <c r="M289" l="1"/>
  <c r="F54" i="4"/>
  <c r="F53" s="1"/>
  <c r="G54"/>
  <c r="G53" s="1"/>
  <c r="H54"/>
  <c r="H53" s="1"/>
  <c r="I54"/>
  <c r="I53" s="1"/>
  <c r="J54"/>
  <c r="J53" s="1"/>
  <c r="K54"/>
  <c r="K53" s="1"/>
  <c r="L54"/>
  <c r="L53" s="1"/>
  <c r="N54" l="1"/>
  <c r="N53" s="1"/>
  <c r="D54"/>
  <c r="D53" s="1"/>
  <c r="H94" i="9" l="1"/>
  <c r="M94" l="1"/>
  <c r="M93" s="1"/>
  <c r="N94"/>
  <c r="D94"/>
  <c r="D11" s="1"/>
  <c r="H98"/>
  <c r="F98"/>
  <c r="M98" s="1"/>
  <c r="M97" s="1"/>
  <c r="N98" l="1"/>
  <c r="M92"/>
  <c r="D98"/>
  <c r="P23" s="1"/>
  <c r="M15"/>
  <c r="I34" i="10" l="1"/>
  <c r="J34"/>
  <c r="I35"/>
  <c r="J35"/>
  <c r="J32"/>
  <c r="J33"/>
  <c r="G137" i="9" l="1"/>
  <c r="F107" i="3" l="1"/>
  <c r="D107" s="1"/>
  <c r="F102"/>
  <c r="F99"/>
  <c r="N90"/>
  <c r="F95"/>
  <c r="F90"/>
  <c r="F87"/>
  <c r="D90" l="1"/>
  <c r="M90"/>
  <c r="M89" s="1"/>
  <c r="D87"/>
  <c r="M87"/>
  <c r="M86" s="1"/>
  <c r="M85" s="1"/>
  <c r="D95"/>
  <c r="D102"/>
  <c r="M102"/>
  <c r="M101" s="1"/>
  <c r="D99"/>
  <c r="M99"/>
  <c r="M98" s="1"/>
  <c r="M97" s="1"/>
  <c r="D139" i="9"/>
  <c r="D142"/>
  <c r="D141" s="1"/>
  <c r="N128"/>
  <c r="N130"/>
  <c r="D128"/>
  <c r="G128"/>
  <c r="H128"/>
  <c r="F128"/>
  <c r="D130"/>
  <c r="G130"/>
  <c r="H130"/>
  <c r="F130"/>
  <c r="G133"/>
  <c r="H133"/>
  <c r="F133"/>
  <c r="D133"/>
  <c r="D132" s="1"/>
  <c r="N137"/>
  <c r="N139"/>
  <c r="H137"/>
  <c r="I137"/>
  <c r="F137"/>
  <c r="D137"/>
  <c r="G139"/>
  <c r="H139"/>
  <c r="I139"/>
  <c r="F139"/>
  <c r="G142"/>
  <c r="H142"/>
  <c r="I142"/>
  <c r="F142"/>
  <c r="G58" i="13"/>
  <c r="G401" i="2"/>
  <c r="G400" s="1"/>
  <c r="H401"/>
  <c r="H320" s="1"/>
  <c r="H319" s="1"/>
  <c r="J31"/>
  <c r="I31"/>
  <c r="K31"/>
  <c r="L31"/>
  <c r="L320"/>
  <c r="F18" i="3"/>
  <c r="H18"/>
  <c r="K18"/>
  <c r="G22" i="6"/>
  <c r="F22"/>
  <c r="N219"/>
  <c r="G15"/>
  <c r="F15"/>
  <c r="N215"/>
  <c r="L136"/>
  <c r="K136"/>
  <c r="J136"/>
  <c r="G128"/>
  <c r="N128" s="1"/>
  <c r="F128"/>
  <c r="L123"/>
  <c r="K123"/>
  <c r="K121" s="1"/>
  <c r="J123"/>
  <c r="I123"/>
  <c r="I121" s="1"/>
  <c r="I120" s="1"/>
  <c r="H123"/>
  <c r="G123"/>
  <c r="G121" s="1"/>
  <c r="F123"/>
  <c r="L133"/>
  <c r="L125" s="1"/>
  <c r="K133"/>
  <c r="K125" s="1"/>
  <c r="J133"/>
  <c r="J125" s="1"/>
  <c r="I133"/>
  <c r="I125" s="1"/>
  <c r="H133"/>
  <c r="H125" s="1"/>
  <c r="G133"/>
  <c r="F133"/>
  <c r="F132"/>
  <c r="F122"/>
  <c r="K117"/>
  <c r="J117"/>
  <c r="J116" s="1"/>
  <c r="J115" s="1"/>
  <c r="H116"/>
  <c r="H115" s="1"/>
  <c r="F116"/>
  <c r="F115" s="1"/>
  <c r="L114"/>
  <c r="K114"/>
  <c r="J114"/>
  <c r="I114"/>
  <c r="H114"/>
  <c r="G114"/>
  <c r="G113"/>
  <c r="N113" s="1"/>
  <c r="K111"/>
  <c r="J111"/>
  <c r="I111"/>
  <c r="H111"/>
  <c r="G111"/>
  <c r="L110"/>
  <c r="K110"/>
  <c r="J110"/>
  <c r="I110"/>
  <c r="H110"/>
  <c r="G110"/>
  <c r="L109"/>
  <c r="L106" s="1"/>
  <c r="K109"/>
  <c r="J109"/>
  <c r="H109"/>
  <c r="K108"/>
  <c r="K106" s="1"/>
  <c r="J108"/>
  <c r="J106" s="1"/>
  <c r="I106"/>
  <c r="L104"/>
  <c r="L102" s="1"/>
  <c r="K104"/>
  <c r="K102" s="1"/>
  <c r="J104"/>
  <c r="I104"/>
  <c r="I102" s="1"/>
  <c r="H104"/>
  <c r="G104"/>
  <c r="G103"/>
  <c r="J100"/>
  <c r="I100"/>
  <c r="H100"/>
  <c r="H96" s="1"/>
  <c r="G100"/>
  <c r="I98"/>
  <c r="N98" s="1"/>
  <c r="N37" i="8"/>
  <c r="D67" i="5"/>
  <c r="D70"/>
  <c r="D35"/>
  <c r="D37"/>
  <c r="D42"/>
  <c r="F32" i="3"/>
  <c r="G26"/>
  <c r="H26"/>
  <c r="I26"/>
  <c r="I25" s="1"/>
  <c r="J111" i="9"/>
  <c r="K111"/>
  <c r="L111"/>
  <c r="I108"/>
  <c r="J108"/>
  <c r="K108"/>
  <c r="L108"/>
  <c r="I106"/>
  <c r="J106"/>
  <c r="K106"/>
  <c r="L106"/>
  <c r="H106"/>
  <c r="F63"/>
  <c r="F29"/>
  <c r="F36"/>
  <c r="F84"/>
  <c r="F54"/>
  <c r="F56"/>
  <c r="F106"/>
  <c r="F108"/>
  <c r="G65"/>
  <c r="G63"/>
  <c r="G27"/>
  <c r="G29"/>
  <c r="G84"/>
  <c r="G54"/>
  <c r="G56"/>
  <c r="G106"/>
  <c r="G108"/>
  <c r="H108"/>
  <c r="H65"/>
  <c r="H63"/>
  <c r="H26"/>
  <c r="H80"/>
  <c r="I105"/>
  <c r="I65"/>
  <c r="I63"/>
  <c r="I80"/>
  <c r="J65"/>
  <c r="J62" s="1"/>
  <c r="J80"/>
  <c r="K105"/>
  <c r="K65"/>
  <c r="K62" s="1"/>
  <c r="K80"/>
  <c r="L65"/>
  <c r="L62" s="1"/>
  <c r="L80"/>
  <c r="F71"/>
  <c r="F93"/>
  <c r="F97"/>
  <c r="F115"/>
  <c r="F119"/>
  <c r="G77"/>
  <c r="G72"/>
  <c r="G93"/>
  <c r="G97"/>
  <c r="G115"/>
  <c r="G119"/>
  <c r="H71"/>
  <c r="H93"/>
  <c r="H97"/>
  <c r="H115"/>
  <c r="H119"/>
  <c r="I71"/>
  <c r="I92"/>
  <c r="I114"/>
  <c r="J71"/>
  <c r="J92"/>
  <c r="J114"/>
  <c r="K71"/>
  <c r="K92"/>
  <c r="K114"/>
  <c r="L71"/>
  <c r="L92"/>
  <c r="L114"/>
  <c r="D29"/>
  <c r="D81"/>
  <c r="D106"/>
  <c r="D72"/>
  <c r="D93"/>
  <c r="D119"/>
  <c r="D32"/>
  <c r="D31" s="1"/>
  <c r="N66" i="3"/>
  <c r="N63"/>
  <c r="D66"/>
  <c r="D111" i="7"/>
  <c r="K111"/>
  <c r="J111"/>
  <c r="I111"/>
  <c r="H111"/>
  <c r="G111"/>
  <c r="F111"/>
  <c r="D109"/>
  <c r="K109"/>
  <c r="J109"/>
  <c r="I109"/>
  <c r="H109"/>
  <c r="G109"/>
  <c r="F109"/>
  <c r="D106"/>
  <c r="N106"/>
  <c r="K106"/>
  <c r="J106"/>
  <c r="I106"/>
  <c r="H106"/>
  <c r="G106"/>
  <c r="F106"/>
  <c r="N103"/>
  <c r="N102" s="1"/>
  <c r="K103"/>
  <c r="J103"/>
  <c r="I103"/>
  <c r="H103"/>
  <c r="F103"/>
  <c r="G102"/>
  <c r="K45"/>
  <c r="L124" i="9"/>
  <c r="K124"/>
  <c r="J124"/>
  <c r="I124"/>
  <c r="H124"/>
  <c r="G124"/>
  <c r="F124"/>
  <c r="N119"/>
  <c r="N115"/>
  <c r="F111"/>
  <c r="G111"/>
  <c r="H111"/>
  <c r="I111"/>
  <c r="F102"/>
  <c r="G102"/>
  <c r="H102"/>
  <c r="I102"/>
  <c r="J102"/>
  <c r="K102"/>
  <c r="L102"/>
  <c r="N108"/>
  <c r="N106"/>
  <c r="N97"/>
  <c r="N93"/>
  <c r="F64" i="13"/>
  <c r="F58"/>
  <c r="G200" i="6"/>
  <c r="N200" s="1"/>
  <c r="I203"/>
  <c r="H203"/>
  <c r="G204"/>
  <c r="G207"/>
  <c r="I210"/>
  <c r="H210"/>
  <c r="G211"/>
  <c r="H325" i="2"/>
  <c r="H398"/>
  <c r="M404"/>
  <c r="M399"/>
  <c r="I406"/>
  <c r="I405" s="1"/>
  <c r="G325"/>
  <c r="F298"/>
  <c r="F296"/>
  <c r="F293"/>
  <c r="F290"/>
  <c r="G309"/>
  <c r="F59" i="9"/>
  <c r="G59"/>
  <c r="H59"/>
  <c r="I227"/>
  <c r="J227"/>
  <c r="K227"/>
  <c r="L227"/>
  <c r="E227"/>
  <c r="F227"/>
  <c r="G227"/>
  <c r="H227"/>
  <c r="D227"/>
  <c r="N239"/>
  <c r="N238" s="1"/>
  <c r="L239"/>
  <c r="K239"/>
  <c r="J239"/>
  <c r="I239"/>
  <c r="H239"/>
  <c r="G239"/>
  <c r="F239"/>
  <c r="D239"/>
  <c r="L238"/>
  <c r="K238"/>
  <c r="J238"/>
  <c r="I238"/>
  <c r="H238"/>
  <c r="G238"/>
  <c r="F238"/>
  <c r="D238"/>
  <c r="N54"/>
  <c r="N56"/>
  <c r="D203" i="2"/>
  <c r="D250"/>
  <c r="G250"/>
  <c r="F250"/>
  <c r="D248"/>
  <c r="G248"/>
  <c r="F248"/>
  <c r="F247" s="1"/>
  <c r="N245"/>
  <c r="D245"/>
  <c r="G245"/>
  <c r="F245"/>
  <c r="N244"/>
  <c r="N242"/>
  <c r="G242"/>
  <c r="F242"/>
  <c r="D238"/>
  <c r="G238"/>
  <c r="F238"/>
  <c r="D236"/>
  <c r="G236"/>
  <c r="F236"/>
  <c r="N233"/>
  <c r="G233"/>
  <c r="F233"/>
  <c r="D233"/>
  <c r="G230"/>
  <c r="F230"/>
  <c r="D226"/>
  <c r="G226"/>
  <c r="F226"/>
  <c r="G224"/>
  <c r="F224"/>
  <c r="N221"/>
  <c r="D221"/>
  <c r="G221"/>
  <c r="F221"/>
  <c r="N218"/>
  <c r="G218"/>
  <c r="F218"/>
  <c r="G214"/>
  <c r="G212"/>
  <c r="G206"/>
  <c r="F209"/>
  <c r="G209"/>
  <c r="D207"/>
  <c r="D214"/>
  <c r="D209"/>
  <c r="F214"/>
  <c r="D212"/>
  <c r="F212"/>
  <c r="N209"/>
  <c r="D70"/>
  <c r="D224"/>
  <c r="D218"/>
  <c r="N104" i="8"/>
  <c r="N103" s="1"/>
  <c r="N102" s="1"/>
  <c r="K77"/>
  <c r="L77"/>
  <c r="D81"/>
  <c r="E91"/>
  <c r="B79" i="1" s="1"/>
  <c r="J79" s="1"/>
  <c r="E90" i="8"/>
  <c r="F90"/>
  <c r="G90"/>
  <c r="G87" s="1"/>
  <c r="G86" s="1"/>
  <c r="H90"/>
  <c r="H87" s="1"/>
  <c r="H86" s="1"/>
  <c r="I90"/>
  <c r="I87"/>
  <c r="I86" s="1"/>
  <c r="J90"/>
  <c r="K90"/>
  <c r="K87" s="1"/>
  <c r="K86" s="1"/>
  <c r="L90"/>
  <c r="E84"/>
  <c r="F84"/>
  <c r="G84"/>
  <c r="H84"/>
  <c r="I84"/>
  <c r="F72" i="1" s="1"/>
  <c r="J84" i="8"/>
  <c r="K84"/>
  <c r="L84"/>
  <c r="F87"/>
  <c r="F86" s="1"/>
  <c r="J87"/>
  <c r="J86" s="1"/>
  <c r="L87"/>
  <c r="L86" s="1"/>
  <c r="D84"/>
  <c r="F98"/>
  <c r="F97" s="1"/>
  <c r="C103" i="1" s="1"/>
  <c r="G98" i="8"/>
  <c r="G97" s="1"/>
  <c r="D103" i="1" s="1"/>
  <c r="H98" i="8"/>
  <c r="H97" s="1"/>
  <c r="E103" i="1" s="1"/>
  <c r="I98" i="8"/>
  <c r="I97" s="1"/>
  <c r="F103" i="1" s="1"/>
  <c r="J98" i="8"/>
  <c r="J97" s="1"/>
  <c r="G103" i="1" s="1"/>
  <c r="K98" i="8"/>
  <c r="K97" s="1"/>
  <c r="H103" i="1" s="1"/>
  <c r="L98" i="8"/>
  <c r="L97" s="1"/>
  <c r="I103" i="1" s="1"/>
  <c r="F94" i="8"/>
  <c r="F93" s="1"/>
  <c r="F78" s="1"/>
  <c r="F76" s="1"/>
  <c r="G94"/>
  <c r="G93" s="1"/>
  <c r="G78" s="1"/>
  <c r="G76" s="1"/>
  <c r="H94"/>
  <c r="H93" s="1"/>
  <c r="H78" s="1"/>
  <c r="H76" s="1"/>
  <c r="I94"/>
  <c r="I93" s="1"/>
  <c r="I78" s="1"/>
  <c r="I76" s="1"/>
  <c r="J94"/>
  <c r="J93" s="1"/>
  <c r="J78" s="1"/>
  <c r="J76" s="1"/>
  <c r="K94"/>
  <c r="K93" s="1"/>
  <c r="K78" s="1"/>
  <c r="L94"/>
  <c r="L93" s="1"/>
  <c r="L78" s="1"/>
  <c r="D90"/>
  <c r="L81"/>
  <c r="L80" s="1"/>
  <c r="L79" s="1"/>
  <c r="H81"/>
  <c r="H80" s="1"/>
  <c r="H79" s="1"/>
  <c r="J81"/>
  <c r="J80" s="1"/>
  <c r="J79" s="1"/>
  <c r="F81"/>
  <c r="F80" s="1"/>
  <c r="F79" s="1"/>
  <c r="E81"/>
  <c r="K81"/>
  <c r="I81"/>
  <c r="I80" s="1"/>
  <c r="I79" s="1"/>
  <c r="G81"/>
  <c r="G80" s="1"/>
  <c r="G79" s="1"/>
  <c r="C72" i="1"/>
  <c r="H72"/>
  <c r="D72"/>
  <c r="I72"/>
  <c r="G72"/>
  <c r="E72"/>
  <c r="N44" i="4"/>
  <c r="N43" s="1"/>
  <c r="J25" i="3"/>
  <c r="J24" s="1"/>
  <c r="F40"/>
  <c r="F37" s="1"/>
  <c r="H40"/>
  <c r="J40"/>
  <c r="G70"/>
  <c r="F65"/>
  <c r="G62"/>
  <c r="G65"/>
  <c r="B152" i="1"/>
  <c r="B167"/>
  <c r="N28" i="3"/>
  <c r="N404" i="2"/>
  <c r="N399"/>
  <c r="D234" i="6"/>
  <c r="D258"/>
  <c r="D257" s="1"/>
  <c r="D229"/>
  <c r="D28"/>
  <c r="D67" i="13"/>
  <c r="P31"/>
  <c r="D44" i="4"/>
  <c r="D43" s="1"/>
  <c r="D74" i="3"/>
  <c r="D617" i="2"/>
  <c r="D318"/>
  <c r="D296"/>
  <c r="N49" i="4"/>
  <c r="N48" s="1"/>
  <c r="N28" i="13"/>
  <c r="N72" i="9"/>
  <c r="N260" i="6"/>
  <c r="N73"/>
  <c r="N28"/>
  <c r="N60" i="5"/>
  <c r="F15"/>
  <c r="N12"/>
  <c r="N89" i="3"/>
  <c r="N65"/>
  <c r="N617" i="2"/>
  <c r="N598"/>
  <c r="N594"/>
  <c r="N593" s="1"/>
  <c r="N592" s="1"/>
  <c r="N587"/>
  <c r="N586"/>
  <c r="N579"/>
  <c r="N554"/>
  <c r="N553" s="1"/>
  <c r="N552" s="1"/>
  <c r="N294"/>
  <c r="N292"/>
  <c r="N282"/>
  <c r="N206"/>
  <c r="N81"/>
  <c r="F28" i="6"/>
  <c r="G28"/>
  <c r="H28"/>
  <c r="I28"/>
  <c r="J28"/>
  <c r="K28"/>
  <c r="H140"/>
  <c r="D58" i="3"/>
  <c r="D22" s="1"/>
  <c r="N27" i="9"/>
  <c r="F538" i="2"/>
  <c r="F537" s="1"/>
  <c r="N37"/>
  <c r="N370"/>
  <c r="N368"/>
  <c r="F115"/>
  <c r="F114" s="1"/>
  <c r="N149"/>
  <c r="D609"/>
  <c r="D36" i="13"/>
  <c r="J30" i="6"/>
  <c r="K30"/>
  <c r="J36"/>
  <c r="J35" s="1"/>
  <c r="K36"/>
  <c r="K35" s="1"/>
  <c r="I31" i="10" s="1"/>
  <c r="L36" i="6"/>
  <c r="L35" s="1"/>
  <c r="J31" i="10" s="1"/>
  <c r="F177" i="6"/>
  <c r="F145" s="1"/>
  <c r="F184"/>
  <c r="H243"/>
  <c r="I81" i="1"/>
  <c r="G81"/>
  <c r="H81"/>
  <c r="F250" i="6"/>
  <c r="F249" s="1"/>
  <c r="F82" i="3"/>
  <c r="F77"/>
  <c r="F74"/>
  <c r="H70"/>
  <c r="I70"/>
  <c r="I67" s="1"/>
  <c r="H65"/>
  <c r="I65"/>
  <c r="H62"/>
  <c r="I62"/>
  <c r="I61" s="1"/>
  <c r="J51" i="7"/>
  <c r="K51"/>
  <c r="J49"/>
  <c r="K49"/>
  <c r="J46"/>
  <c r="K46"/>
  <c r="K43"/>
  <c r="K42" s="1"/>
  <c r="J43"/>
  <c r="J42" s="1"/>
  <c r="G30"/>
  <c r="G29" s="1"/>
  <c r="G234" i="6"/>
  <c r="F234"/>
  <c r="F232"/>
  <c r="G232"/>
  <c r="N229"/>
  <c r="G229"/>
  <c r="F229"/>
  <c r="G227"/>
  <c r="N227" s="1"/>
  <c r="F227"/>
  <c r="F55" i="8"/>
  <c r="F52"/>
  <c r="F49"/>
  <c r="F47"/>
  <c r="L106" i="3"/>
  <c r="K106"/>
  <c r="J106"/>
  <c r="I106"/>
  <c r="H106"/>
  <c r="G106"/>
  <c r="F106"/>
  <c r="L104"/>
  <c r="L103" s="1"/>
  <c r="K104"/>
  <c r="J104"/>
  <c r="J103" s="1"/>
  <c r="I104"/>
  <c r="H104"/>
  <c r="H103" s="1"/>
  <c r="G104"/>
  <c r="F104"/>
  <c r="F103" s="1"/>
  <c r="N101"/>
  <c r="L101"/>
  <c r="K101"/>
  <c r="J101"/>
  <c r="I101"/>
  <c r="H101"/>
  <c r="G101"/>
  <c r="F101"/>
  <c r="L98"/>
  <c r="K98"/>
  <c r="J98"/>
  <c r="I98"/>
  <c r="H98"/>
  <c r="G98"/>
  <c r="F98"/>
  <c r="L97"/>
  <c r="F55" i="2"/>
  <c r="F54" s="1"/>
  <c r="F69"/>
  <c r="F68" s="1"/>
  <c r="F81"/>
  <c r="F80" s="1"/>
  <c r="F93"/>
  <c r="F92" s="1"/>
  <c r="F105"/>
  <c r="F104" s="1"/>
  <c r="N173"/>
  <c r="N185"/>
  <c r="N182"/>
  <c r="G74" i="9"/>
  <c r="L89"/>
  <c r="L86" s="1"/>
  <c r="K89"/>
  <c r="K86" s="1"/>
  <c r="J89"/>
  <c r="J86" s="1"/>
  <c r="I89"/>
  <c r="I86" s="1"/>
  <c r="H89"/>
  <c r="H86" s="1"/>
  <c r="G89"/>
  <c r="F89"/>
  <c r="N84"/>
  <c r="L77"/>
  <c r="L76" s="1"/>
  <c r="K77"/>
  <c r="K76" s="1"/>
  <c r="J77"/>
  <c r="J76" s="1"/>
  <c r="I77"/>
  <c r="H77"/>
  <c r="F77"/>
  <c r="N74"/>
  <c r="N71" s="1"/>
  <c r="N501" i="2"/>
  <c r="F514"/>
  <c r="F513" s="1"/>
  <c r="H312"/>
  <c r="H309"/>
  <c r="I309"/>
  <c r="I312"/>
  <c r="H302"/>
  <c r="H306"/>
  <c r="I306"/>
  <c r="I302"/>
  <c r="N304"/>
  <c r="I616"/>
  <c r="H616"/>
  <c r="G616"/>
  <c r="F616"/>
  <c r="G608"/>
  <c r="H608"/>
  <c r="I608"/>
  <c r="N616"/>
  <c r="D616"/>
  <c r="N608"/>
  <c r="D608"/>
  <c r="F608"/>
  <c r="I522"/>
  <c r="I521" s="1"/>
  <c r="N522"/>
  <c r="N521" s="1"/>
  <c r="N578"/>
  <c r="N577" s="1"/>
  <c r="N576" s="1"/>
  <c r="I59" i="13"/>
  <c r="H59"/>
  <c r="G59"/>
  <c r="I65"/>
  <c r="H65"/>
  <c r="G65"/>
  <c r="I64"/>
  <c r="I62" s="1"/>
  <c r="I17" s="1"/>
  <c r="H64"/>
  <c r="G64"/>
  <c r="G62" s="1"/>
  <c r="I58"/>
  <c r="I56" s="1"/>
  <c r="I14" s="1"/>
  <c r="H58"/>
  <c r="F66" i="5"/>
  <c r="F65" s="1"/>
  <c r="F69"/>
  <c r="F36"/>
  <c r="F34"/>
  <c r="C71" i="1"/>
  <c r="K23" i="13"/>
  <c r="L23"/>
  <c r="L21" s="1"/>
  <c r="J17"/>
  <c r="K17"/>
  <c r="L17"/>
  <c r="L15" s="1"/>
  <c r="F13"/>
  <c r="G13"/>
  <c r="H13"/>
  <c r="I13"/>
  <c r="J13"/>
  <c r="K13"/>
  <c r="L13"/>
  <c r="J14"/>
  <c r="K14"/>
  <c r="K12" s="1"/>
  <c r="L14"/>
  <c r="F40"/>
  <c r="G40"/>
  <c r="H40"/>
  <c r="I40"/>
  <c r="J40"/>
  <c r="F35"/>
  <c r="G35"/>
  <c r="H35"/>
  <c r="I35"/>
  <c r="F37"/>
  <c r="G37"/>
  <c r="H37"/>
  <c r="I37"/>
  <c r="G31"/>
  <c r="H31"/>
  <c r="I31"/>
  <c r="F31"/>
  <c r="F28"/>
  <c r="G28"/>
  <c r="H28"/>
  <c r="F26"/>
  <c r="G26"/>
  <c r="H26"/>
  <c r="H41" i="9"/>
  <c r="G41"/>
  <c r="H27"/>
  <c r="I34" i="13"/>
  <c r="H30"/>
  <c r="F30"/>
  <c r="H34"/>
  <c r="J39"/>
  <c r="H39"/>
  <c r="F39"/>
  <c r="I39"/>
  <c r="G39"/>
  <c r="N65" i="9"/>
  <c r="F130" i="2"/>
  <c r="D53" i="3"/>
  <c r="D52"/>
  <c r="D47"/>
  <c r="F16"/>
  <c r="G51"/>
  <c r="G16" s="1"/>
  <c r="H51"/>
  <c r="H16" s="1"/>
  <c r="I16"/>
  <c r="J16"/>
  <c r="K16"/>
  <c r="L16"/>
  <c r="D48"/>
  <c r="F46"/>
  <c r="F12" s="1"/>
  <c r="G46"/>
  <c r="G12" s="1"/>
  <c r="H46"/>
  <c r="H12" s="1"/>
  <c r="I12"/>
  <c r="J12"/>
  <c r="K12"/>
  <c r="L12"/>
  <c r="G57"/>
  <c r="H57"/>
  <c r="F55"/>
  <c r="G55"/>
  <c r="H55"/>
  <c r="G36" i="8"/>
  <c r="H36"/>
  <c r="G34"/>
  <c r="H34"/>
  <c r="H41"/>
  <c r="H39"/>
  <c r="H38" s="1"/>
  <c r="G42"/>
  <c r="D40"/>
  <c r="D25" s="1"/>
  <c r="H33"/>
  <c r="G33"/>
  <c r="F235" i="9"/>
  <c r="F234" s="1"/>
  <c r="F223" s="1"/>
  <c r="G235"/>
  <c r="G234" s="1"/>
  <c r="G223" s="1"/>
  <c r="H235"/>
  <c r="H234" s="1"/>
  <c r="H223" s="1"/>
  <c r="H222" s="1"/>
  <c r="F396" i="2"/>
  <c r="H25" i="3"/>
  <c r="J496" i="2"/>
  <c r="K496"/>
  <c r="L496"/>
  <c r="I568"/>
  <c r="I567" s="1"/>
  <c r="I640" s="1"/>
  <c r="I490"/>
  <c r="I489" s="1"/>
  <c r="I488" s="1"/>
  <c r="H560"/>
  <c r="H559" s="1"/>
  <c r="H522"/>
  <c r="H521" s="1"/>
  <c r="D606"/>
  <c r="F605"/>
  <c r="F604" s="1"/>
  <c r="N597"/>
  <c r="N596" s="1"/>
  <c r="L323"/>
  <c r="F318"/>
  <c r="G318"/>
  <c r="H318"/>
  <c r="I318"/>
  <c r="J318"/>
  <c r="K318"/>
  <c r="L318"/>
  <c r="K317"/>
  <c r="L317"/>
  <c r="L316" s="1"/>
  <c r="G202"/>
  <c r="F202"/>
  <c r="D201"/>
  <c r="D200" s="1"/>
  <c r="N197"/>
  <c r="G197"/>
  <c r="F197"/>
  <c r="D196"/>
  <c r="N194"/>
  <c r="G194"/>
  <c r="F194"/>
  <c r="G190"/>
  <c r="F190"/>
  <c r="D189"/>
  <c r="D188" s="1"/>
  <c r="D185"/>
  <c r="G185"/>
  <c r="F185"/>
  <c r="D184"/>
  <c r="G182"/>
  <c r="F182"/>
  <c r="G178"/>
  <c r="F178"/>
  <c r="D177"/>
  <c r="G173"/>
  <c r="F173"/>
  <c r="D172"/>
  <c r="G170"/>
  <c r="F170"/>
  <c r="G166"/>
  <c r="G161"/>
  <c r="G158"/>
  <c r="F166"/>
  <c r="D165"/>
  <c r="D164" s="1"/>
  <c r="N161"/>
  <c r="F161"/>
  <c r="D160"/>
  <c r="N158"/>
  <c r="F158"/>
  <c r="I391"/>
  <c r="H391"/>
  <c r="G391"/>
  <c r="F391"/>
  <c r="I390"/>
  <c r="N388"/>
  <c r="H388"/>
  <c r="G388"/>
  <c r="F388"/>
  <c r="N386"/>
  <c r="N385" s="1"/>
  <c r="H386"/>
  <c r="G386"/>
  <c r="F386"/>
  <c r="I382"/>
  <c r="G382"/>
  <c r="H382"/>
  <c r="G379"/>
  <c r="H379"/>
  <c r="G377"/>
  <c r="G376" s="1"/>
  <c r="H377"/>
  <c r="H376" s="1"/>
  <c r="F382"/>
  <c r="N379"/>
  <c r="F379"/>
  <c r="N377"/>
  <c r="F377"/>
  <c r="G373"/>
  <c r="F373"/>
  <c r="D370"/>
  <c r="F370"/>
  <c r="F368"/>
  <c r="G364"/>
  <c r="G363" s="1"/>
  <c r="F364"/>
  <c r="F363" s="1"/>
  <c r="N361"/>
  <c r="F361"/>
  <c r="N359"/>
  <c r="F359"/>
  <c r="N605"/>
  <c r="N604" s="1"/>
  <c r="F175"/>
  <c r="F163"/>
  <c r="G163"/>
  <c r="G187"/>
  <c r="G193"/>
  <c r="G199"/>
  <c r="H390"/>
  <c r="F381"/>
  <c r="G381"/>
  <c r="G605"/>
  <c r="G604" s="1"/>
  <c r="D605"/>
  <c r="D604" s="1"/>
  <c r="N169"/>
  <c r="G157"/>
  <c r="N376"/>
  <c r="D194"/>
  <c r="G347"/>
  <c r="G346" s="1"/>
  <c r="G355"/>
  <c r="G352" s="1"/>
  <c r="N350"/>
  <c r="N347"/>
  <c r="N346" s="1"/>
  <c r="G343"/>
  <c r="G342" s="1"/>
  <c r="F340"/>
  <c r="F338"/>
  <c r="D353"/>
  <c r="D323"/>
  <c r="D322" s="1"/>
  <c r="I54" i="8"/>
  <c r="J54"/>
  <c r="K54"/>
  <c r="L54"/>
  <c r="I51"/>
  <c r="I50" s="1"/>
  <c r="J51"/>
  <c r="J50" s="1"/>
  <c r="K51"/>
  <c r="L51"/>
  <c r="L50" s="1"/>
  <c r="I48"/>
  <c r="J48"/>
  <c r="K48"/>
  <c r="L48"/>
  <c r="I45"/>
  <c r="I44" s="1"/>
  <c r="I9" s="1"/>
  <c r="J45"/>
  <c r="K45"/>
  <c r="K44" s="1"/>
  <c r="K9" s="1"/>
  <c r="L45"/>
  <c r="J44"/>
  <c r="J9" s="1"/>
  <c r="K50"/>
  <c r="K115" s="1"/>
  <c r="K117" s="1"/>
  <c r="D207" i="6"/>
  <c r="D206" s="1"/>
  <c r="F17" i="5"/>
  <c r="F16" s="1"/>
  <c r="G17"/>
  <c r="H17"/>
  <c r="I17"/>
  <c r="J17"/>
  <c r="J16" s="1"/>
  <c r="K17"/>
  <c r="K16" s="1"/>
  <c r="L17"/>
  <c r="L16" s="1"/>
  <c r="F20"/>
  <c r="F19" s="1"/>
  <c r="F18" s="1"/>
  <c r="G20"/>
  <c r="G19" s="1"/>
  <c r="G18" s="1"/>
  <c r="H20"/>
  <c r="H19" s="1"/>
  <c r="H18" s="1"/>
  <c r="I20"/>
  <c r="I19" s="1"/>
  <c r="I18" s="1"/>
  <c r="J20"/>
  <c r="K20"/>
  <c r="K19" s="1"/>
  <c r="K18" s="1"/>
  <c r="L20"/>
  <c r="G23" i="1"/>
  <c r="L12" i="13"/>
  <c r="J12"/>
  <c r="L20"/>
  <c r="L19" s="1"/>
  <c r="H19"/>
  <c r="J19"/>
  <c r="K19"/>
  <c r="J9"/>
  <c r="K9"/>
  <c r="L9"/>
  <c r="J67"/>
  <c r="J69"/>
  <c r="F67"/>
  <c r="G67"/>
  <c r="H67"/>
  <c r="I67"/>
  <c r="F69"/>
  <c r="G69"/>
  <c r="H69"/>
  <c r="I69"/>
  <c r="I19"/>
  <c r="G19"/>
  <c r="F66"/>
  <c r="I66"/>
  <c r="J66"/>
  <c r="F140" i="6"/>
  <c r="F297"/>
  <c r="I191"/>
  <c r="H191"/>
  <c r="H144" s="1"/>
  <c r="H299" s="1"/>
  <c r="G191"/>
  <c r="I195"/>
  <c r="I297" s="1"/>
  <c r="H195"/>
  <c r="G195"/>
  <c r="D66" i="5"/>
  <c r="D65" s="1"/>
  <c r="F68"/>
  <c r="D69"/>
  <c r="D68" s="1"/>
  <c r="N66"/>
  <c r="N65" s="1"/>
  <c r="H396" i="2"/>
  <c r="H317" s="1"/>
  <c r="G396"/>
  <c r="G214" i="6"/>
  <c r="N306" i="2"/>
  <c r="N302"/>
  <c r="N293"/>
  <c r="N290"/>
  <c r="E298" i="6"/>
  <c r="E301" s="1"/>
  <c r="K297"/>
  <c r="K296"/>
  <c r="J297"/>
  <c r="J296"/>
  <c r="H297"/>
  <c r="H296"/>
  <c r="G296"/>
  <c r="F296"/>
  <c r="G223"/>
  <c r="F221"/>
  <c r="G218"/>
  <c r="G212" s="1"/>
  <c r="F218"/>
  <c r="F212" s="1"/>
  <c r="G406" i="2"/>
  <c r="G405" s="1"/>
  <c r="H406"/>
  <c r="F406"/>
  <c r="F405" s="1"/>
  <c r="H405"/>
  <c r="F312"/>
  <c r="G312"/>
  <c r="F306"/>
  <c r="G306"/>
  <c r="F309"/>
  <c r="F308" s="1"/>
  <c r="F302"/>
  <c r="G302"/>
  <c r="D291"/>
  <c r="G308"/>
  <c r="G269"/>
  <c r="G266"/>
  <c r="D180" i="6"/>
  <c r="G198"/>
  <c r="H198"/>
  <c r="F198"/>
  <c r="I198"/>
  <c r="J198"/>
  <c r="K198"/>
  <c r="L198"/>
  <c r="D200"/>
  <c r="F206"/>
  <c r="G206"/>
  <c r="H206"/>
  <c r="I206"/>
  <c r="J206"/>
  <c r="K206"/>
  <c r="L206"/>
  <c r="G140"/>
  <c r="I140"/>
  <c r="J140"/>
  <c r="K140"/>
  <c r="K14" s="1"/>
  <c r="L140"/>
  <c r="L14" s="1"/>
  <c r="F141"/>
  <c r="G141"/>
  <c r="H141"/>
  <c r="H16" s="1"/>
  <c r="I141"/>
  <c r="I16" s="1"/>
  <c r="J141"/>
  <c r="J16" s="1"/>
  <c r="K141"/>
  <c r="K16" s="1"/>
  <c r="L141"/>
  <c r="L16" s="1"/>
  <c r="F144"/>
  <c r="J144"/>
  <c r="J299" s="1"/>
  <c r="K144"/>
  <c r="K299" s="1"/>
  <c r="L144"/>
  <c r="G145"/>
  <c r="H145"/>
  <c r="I145"/>
  <c r="J145"/>
  <c r="K145"/>
  <c r="L145"/>
  <c r="F146"/>
  <c r="H146"/>
  <c r="I146"/>
  <c r="J146"/>
  <c r="K146"/>
  <c r="L146"/>
  <c r="F149"/>
  <c r="G149"/>
  <c r="G23" s="1"/>
  <c r="H149"/>
  <c r="H148" s="1"/>
  <c r="I149"/>
  <c r="I23" s="1"/>
  <c r="J149"/>
  <c r="K149"/>
  <c r="K23" s="1"/>
  <c r="L149"/>
  <c r="L148" s="1"/>
  <c r="F152"/>
  <c r="H152"/>
  <c r="J152"/>
  <c r="K152"/>
  <c r="L152"/>
  <c r="F153"/>
  <c r="G153"/>
  <c r="H153"/>
  <c r="I153"/>
  <c r="J153"/>
  <c r="K153"/>
  <c r="L153"/>
  <c r="F154"/>
  <c r="H154"/>
  <c r="I154"/>
  <c r="J154"/>
  <c r="K154"/>
  <c r="L154"/>
  <c r="F171"/>
  <c r="G171"/>
  <c r="H171"/>
  <c r="I171"/>
  <c r="J171"/>
  <c r="K171"/>
  <c r="L171"/>
  <c r="G175"/>
  <c r="G174" s="1"/>
  <c r="H175"/>
  <c r="I175"/>
  <c r="I174" s="1"/>
  <c r="J175"/>
  <c r="J174" s="1"/>
  <c r="K175"/>
  <c r="K174" s="1"/>
  <c r="L175"/>
  <c r="L174" s="1"/>
  <c r="D177"/>
  <c r="D145" s="1"/>
  <c r="D173"/>
  <c r="D172"/>
  <c r="F179"/>
  <c r="G179"/>
  <c r="H179"/>
  <c r="I179"/>
  <c r="J179"/>
  <c r="K179"/>
  <c r="L179"/>
  <c r="F182"/>
  <c r="F181" s="1"/>
  <c r="G182"/>
  <c r="G181" s="1"/>
  <c r="H182"/>
  <c r="H181" s="1"/>
  <c r="I182"/>
  <c r="J182"/>
  <c r="J181" s="1"/>
  <c r="K182"/>
  <c r="L182"/>
  <c r="L181" s="1"/>
  <c r="D184"/>
  <c r="D153" s="1"/>
  <c r="F187"/>
  <c r="G187"/>
  <c r="H187"/>
  <c r="I187"/>
  <c r="J187"/>
  <c r="K187"/>
  <c r="L187"/>
  <c r="D188"/>
  <c r="M188" s="1"/>
  <c r="N188"/>
  <c r="F190"/>
  <c r="G190"/>
  <c r="G189" s="1"/>
  <c r="I190"/>
  <c r="I189" s="1"/>
  <c r="J190"/>
  <c r="J189" s="1"/>
  <c r="K190"/>
  <c r="K189" s="1"/>
  <c r="L190"/>
  <c r="L189" s="1"/>
  <c r="F194"/>
  <c r="F193" s="1"/>
  <c r="F192" s="1"/>
  <c r="H194"/>
  <c r="H193" s="1"/>
  <c r="H192" s="1"/>
  <c r="J194"/>
  <c r="J193" s="1"/>
  <c r="J192" s="1"/>
  <c r="K194"/>
  <c r="K193" s="1"/>
  <c r="K192" s="1"/>
  <c r="L194"/>
  <c r="L193" s="1"/>
  <c r="L192" s="1"/>
  <c r="D195"/>
  <c r="D199"/>
  <c r="F202"/>
  <c r="H202"/>
  <c r="H201" s="1"/>
  <c r="J202"/>
  <c r="J201" s="1"/>
  <c r="K202"/>
  <c r="K201" s="1"/>
  <c r="L202"/>
  <c r="L201" s="1"/>
  <c r="L197" s="1"/>
  <c r="F209"/>
  <c r="F208" s="1"/>
  <c r="H209"/>
  <c r="H208" s="1"/>
  <c r="H205" s="1"/>
  <c r="J209"/>
  <c r="J208" s="1"/>
  <c r="J205" s="1"/>
  <c r="K209"/>
  <c r="K208" s="1"/>
  <c r="L209"/>
  <c r="L208" s="1"/>
  <c r="L205" s="1"/>
  <c r="F189"/>
  <c r="N280" i="2"/>
  <c r="N279"/>
  <c r="N281"/>
  <c r="J68" i="9"/>
  <c r="N59" i="5"/>
  <c r="N58" s="1"/>
  <c r="L83" i="13"/>
  <c r="K83"/>
  <c r="J83"/>
  <c r="H95"/>
  <c r="H94" s="1"/>
  <c r="H84" s="1"/>
  <c r="H83" s="1"/>
  <c r="G95"/>
  <c r="G94" s="1"/>
  <c r="G84" s="1"/>
  <c r="F95"/>
  <c r="F94" s="1"/>
  <c r="F84" s="1"/>
  <c r="N95"/>
  <c r="N94" s="1"/>
  <c r="I92"/>
  <c r="H92"/>
  <c r="H91" s="1"/>
  <c r="H90" s="1"/>
  <c r="G92"/>
  <c r="F92"/>
  <c r="F91" s="1"/>
  <c r="F90" s="1"/>
  <c r="D92"/>
  <c r="D91" s="1"/>
  <c r="D90" s="1"/>
  <c r="I91"/>
  <c r="I90" s="1"/>
  <c r="G91"/>
  <c r="G90" s="1"/>
  <c r="I89"/>
  <c r="H89"/>
  <c r="G89"/>
  <c r="F89"/>
  <c r="D89"/>
  <c r="I83"/>
  <c r="D95"/>
  <c r="D94" s="1"/>
  <c r="D84" s="1"/>
  <c r="D83" s="1"/>
  <c r="G34" i="5"/>
  <c r="H34"/>
  <c r="G36"/>
  <c r="H36"/>
  <c r="F39"/>
  <c r="G39"/>
  <c r="G33"/>
  <c r="H33"/>
  <c r="L482" i="2"/>
  <c r="L481" s="1"/>
  <c r="K482"/>
  <c r="J482"/>
  <c r="J481" s="1"/>
  <c r="K481"/>
  <c r="L479"/>
  <c r="K479"/>
  <c r="J479"/>
  <c r="L477"/>
  <c r="K477"/>
  <c r="J477"/>
  <c r="J489"/>
  <c r="J488" s="1"/>
  <c r="L489"/>
  <c r="L488" s="1"/>
  <c r="K489"/>
  <c r="K488" s="1"/>
  <c r="L254" i="6"/>
  <c r="L253" s="1"/>
  <c r="K254"/>
  <c r="K253" s="1"/>
  <c r="J254"/>
  <c r="J253" s="1"/>
  <c r="L262"/>
  <c r="L261" s="1"/>
  <c r="L232" i="9"/>
  <c r="K262" i="6"/>
  <c r="K261" s="1"/>
  <c r="J262"/>
  <c r="J261" s="1"/>
  <c r="J232" i="9"/>
  <c r="L258" i="6"/>
  <c r="L257" s="1"/>
  <c r="K258"/>
  <c r="J258"/>
  <c r="J257" s="1"/>
  <c r="K257"/>
  <c r="J49" i="4"/>
  <c r="J48" s="1"/>
  <c r="K49"/>
  <c r="K48" s="1"/>
  <c r="L49"/>
  <c r="L48" s="1"/>
  <c r="I49"/>
  <c r="I48" s="1"/>
  <c r="H49"/>
  <c r="H48" s="1"/>
  <c r="G49"/>
  <c r="G48" s="1"/>
  <c r="F49"/>
  <c r="F48" s="1"/>
  <c r="L39"/>
  <c r="L38" s="1"/>
  <c r="K39"/>
  <c r="K38" s="1"/>
  <c r="J39"/>
  <c r="J38" s="1"/>
  <c r="L31"/>
  <c r="L30" s="1"/>
  <c r="K31"/>
  <c r="K30" s="1"/>
  <c r="J31"/>
  <c r="J30" s="1"/>
  <c r="P529" i="2"/>
  <c r="J485"/>
  <c r="K485"/>
  <c r="D534"/>
  <c r="D533" s="1"/>
  <c r="L485"/>
  <c r="J34" i="5"/>
  <c r="K34"/>
  <c r="L34"/>
  <c r="L33" s="1"/>
  <c r="J36"/>
  <c r="K36"/>
  <c r="L36"/>
  <c r="J41"/>
  <c r="J38" s="1"/>
  <c r="K41"/>
  <c r="K38" s="1"/>
  <c r="L41"/>
  <c r="L38" s="1"/>
  <c r="J45"/>
  <c r="K45"/>
  <c r="L45"/>
  <c r="J48"/>
  <c r="J47" s="1"/>
  <c r="H41" i="10" s="1"/>
  <c r="K48" i="5"/>
  <c r="K47" s="1"/>
  <c r="I41" i="10" s="1"/>
  <c r="L48" i="5"/>
  <c r="L47" s="1"/>
  <c r="J41" i="10" s="1"/>
  <c r="J52" i="5"/>
  <c r="J51" s="1"/>
  <c r="K52"/>
  <c r="K51" s="1"/>
  <c r="L52"/>
  <c r="L51" s="1"/>
  <c r="L11" s="1"/>
  <c r="L10" s="1"/>
  <c r="J55"/>
  <c r="K55"/>
  <c r="L55"/>
  <c r="J75"/>
  <c r="J73" s="1"/>
  <c r="K75"/>
  <c r="K73" s="1"/>
  <c r="L75"/>
  <c r="L73" s="1"/>
  <c r="J81"/>
  <c r="K81"/>
  <c r="L81"/>
  <c r="J77"/>
  <c r="J76" s="1"/>
  <c r="K77"/>
  <c r="L77"/>
  <c r="L76" s="1"/>
  <c r="J87"/>
  <c r="J83" s="1"/>
  <c r="K87"/>
  <c r="K83" s="1"/>
  <c r="L87"/>
  <c r="L83" s="1"/>
  <c r="J99"/>
  <c r="K99"/>
  <c r="L99"/>
  <c r="J105"/>
  <c r="K105"/>
  <c r="L105"/>
  <c r="J112"/>
  <c r="J111" s="1"/>
  <c r="K112"/>
  <c r="K111" s="1"/>
  <c r="L112"/>
  <c r="L111" s="1"/>
  <c r="J59"/>
  <c r="K59"/>
  <c r="L59"/>
  <c r="J62"/>
  <c r="J61" s="1"/>
  <c r="J58" s="1"/>
  <c r="K62"/>
  <c r="K61" s="1"/>
  <c r="K58" s="1"/>
  <c r="L62"/>
  <c r="L61" s="1"/>
  <c r="L58" s="1"/>
  <c r="I62"/>
  <c r="H62"/>
  <c r="G62"/>
  <c r="F62"/>
  <c r="I61"/>
  <c r="H61"/>
  <c r="G61"/>
  <c r="I59"/>
  <c r="H59"/>
  <c r="G59"/>
  <c r="G58" s="1"/>
  <c r="F59"/>
  <c r="I58"/>
  <c r="F58"/>
  <c r="F75"/>
  <c r="F73" s="1"/>
  <c r="G75"/>
  <c r="G73" s="1"/>
  <c r="H75"/>
  <c r="H73" s="1"/>
  <c r="I75"/>
  <c r="I73" s="1"/>
  <c r="J33"/>
  <c r="K33"/>
  <c r="K76"/>
  <c r="N63" i="9"/>
  <c r="I232"/>
  <c r="I231" s="1"/>
  <c r="I230" s="1"/>
  <c r="K232"/>
  <c r="H232"/>
  <c r="H231" s="1"/>
  <c r="H230" s="1"/>
  <c r="J234"/>
  <c r="J223" s="1"/>
  <c r="K234"/>
  <c r="K223" s="1"/>
  <c r="L234"/>
  <c r="L223" s="1"/>
  <c r="K68"/>
  <c r="L68"/>
  <c r="J67"/>
  <c r="L67"/>
  <c r="K231"/>
  <c r="K230" s="1"/>
  <c r="J20" i="3"/>
  <c r="K20"/>
  <c r="L20"/>
  <c r="I18"/>
  <c r="G18"/>
  <c r="G68"/>
  <c r="G67" s="1"/>
  <c r="E24" i="10" s="1"/>
  <c r="F68" i="3"/>
  <c r="D68"/>
  <c r="D80"/>
  <c r="D77"/>
  <c r="N77"/>
  <c r="N74"/>
  <c r="L319" i="2"/>
  <c r="K324"/>
  <c r="K321" s="1"/>
  <c r="I29" i="10" s="1"/>
  <c r="H23"/>
  <c r="I23"/>
  <c r="J23"/>
  <c r="H24"/>
  <c r="I24"/>
  <c r="J24"/>
  <c r="G180" i="1"/>
  <c r="H180"/>
  <c r="I180"/>
  <c r="G164"/>
  <c r="H164"/>
  <c r="I164"/>
  <c r="G167"/>
  <c r="H167"/>
  <c r="I167"/>
  <c r="G152"/>
  <c r="H152"/>
  <c r="I152"/>
  <c r="D71"/>
  <c r="E71"/>
  <c r="F71"/>
  <c r="G71"/>
  <c r="H71"/>
  <c r="I71"/>
  <c r="C81"/>
  <c r="D81"/>
  <c r="E81"/>
  <c r="F81"/>
  <c r="C152"/>
  <c r="D152"/>
  <c r="E152"/>
  <c r="F152"/>
  <c r="B164"/>
  <c r="B165" s="1"/>
  <c r="C164"/>
  <c r="D164"/>
  <c r="E164"/>
  <c r="E165" s="1"/>
  <c r="F164"/>
  <c r="J164"/>
  <c r="C167"/>
  <c r="D167"/>
  <c r="E167"/>
  <c r="F167"/>
  <c r="B180"/>
  <c r="C180"/>
  <c r="D180"/>
  <c r="E180"/>
  <c r="F180"/>
  <c r="J180"/>
  <c r="D165"/>
  <c r="C165"/>
  <c r="J152"/>
  <c r="J167"/>
  <c r="L135" i="6"/>
  <c r="L134" s="1"/>
  <c r="K135"/>
  <c r="K134" s="1"/>
  <c r="J135"/>
  <c r="J134" s="1"/>
  <c r="K120"/>
  <c r="L116"/>
  <c r="L115" s="1"/>
  <c r="K116"/>
  <c r="K115" s="1"/>
  <c r="K268" s="1"/>
  <c r="J8" i="13"/>
  <c r="J15"/>
  <c r="K15"/>
  <c r="J21"/>
  <c r="J18" s="1"/>
  <c r="K21"/>
  <c r="K18" s="1"/>
  <c r="K107" s="1"/>
  <c r="K88" s="1"/>
  <c r="K87" s="1"/>
  <c r="K86" s="1"/>
  <c r="K8"/>
  <c r="L8"/>
  <c r="J11"/>
  <c r="K224" i="9"/>
  <c r="J228"/>
  <c r="G66" i="1" s="1"/>
  <c r="K228" i="9"/>
  <c r="H66" i="1" s="1"/>
  <c r="L228" i="9"/>
  <c r="I66" i="1" s="1"/>
  <c r="J229" i="9"/>
  <c r="J226" s="1"/>
  <c r="J225" s="1"/>
  <c r="K229"/>
  <c r="K226" s="1"/>
  <c r="K225" s="1"/>
  <c r="L229"/>
  <c r="L226" s="1"/>
  <c r="L225" s="1"/>
  <c r="J15" i="7"/>
  <c r="K15"/>
  <c r="L15"/>
  <c r="J21"/>
  <c r="K21"/>
  <c r="L21"/>
  <c r="L10" i="4"/>
  <c r="G123" i="1"/>
  <c r="G185" s="1"/>
  <c r="I123"/>
  <c r="I185" s="1"/>
  <c r="G70"/>
  <c r="H70"/>
  <c r="I70"/>
  <c r="G69"/>
  <c r="H69"/>
  <c r="I69"/>
  <c r="G74"/>
  <c r="G73" s="1"/>
  <c r="I74"/>
  <c r="I73" s="1"/>
  <c r="G77"/>
  <c r="H77"/>
  <c r="I77"/>
  <c r="G78"/>
  <c r="H78"/>
  <c r="I78"/>
  <c r="G83"/>
  <c r="G82" s="1"/>
  <c r="H83"/>
  <c r="H82" s="1"/>
  <c r="I83"/>
  <c r="I82" s="1"/>
  <c r="J44" i="4"/>
  <c r="J43" s="1"/>
  <c r="K44"/>
  <c r="K43" s="1"/>
  <c r="L44"/>
  <c r="L43" s="1"/>
  <c r="J15" i="5"/>
  <c r="K15"/>
  <c r="K14" s="1"/>
  <c r="L15"/>
  <c r="K17" i="7"/>
  <c r="H74" i="1"/>
  <c r="H73" s="1"/>
  <c r="L14" i="5"/>
  <c r="J14"/>
  <c r="J19"/>
  <c r="J18" s="1"/>
  <c r="L19"/>
  <c r="L18" s="1"/>
  <c r="J10" i="4"/>
  <c r="K10"/>
  <c r="L10" i="7"/>
  <c r="J10"/>
  <c r="L17"/>
  <c r="J17"/>
  <c r="J18" i="3"/>
  <c r="L18"/>
  <c r="J94"/>
  <c r="K94"/>
  <c r="L94"/>
  <c r="J92"/>
  <c r="K92"/>
  <c r="L92"/>
  <c r="J89"/>
  <c r="K89"/>
  <c r="L89"/>
  <c r="J86"/>
  <c r="K86"/>
  <c r="L86"/>
  <c r="I27" i="1"/>
  <c r="I30"/>
  <c r="I130" s="1"/>
  <c r="I192" s="1"/>
  <c r="I36"/>
  <c r="I35"/>
  <c r="I136" s="1"/>
  <c r="I198" s="1"/>
  <c r="I44"/>
  <c r="I142" s="1"/>
  <c r="I204" s="1"/>
  <c r="H125"/>
  <c r="H191" s="1"/>
  <c r="G27"/>
  <c r="H27"/>
  <c r="G30"/>
  <c r="G130" s="1"/>
  <c r="G192" s="1"/>
  <c r="H30"/>
  <c r="H130" s="1"/>
  <c r="H192" s="1"/>
  <c r="G36"/>
  <c r="H36"/>
  <c r="G136"/>
  <c r="G198" s="1"/>
  <c r="H35"/>
  <c r="G44"/>
  <c r="G142" s="1"/>
  <c r="G204" s="1"/>
  <c r="H44"/>
  <c r="H142" s="1"/>
  <c r="H204" s="1"/>
  <c r="B36"/>
  <c r="B27"/>
  <c r="K316" i="2"/>
  <c r="J319"/>
  <c r="K319"/>
  <c r="J324"/>
  <c r="L324"/>
  <c r="J426"/>
  <c r="K426"/>
  <c r="L426"/>
  <c r="J427"/>
  <c r="J14" s="1"/>
  <c r="K427"/>
  <c r="K14" s="1"/>
  <c r="L427"/>
  <c r="J428"/>
  <c r="K428"/>
  <c r="K16" s="1"/>
  <c r="L428"/>
  <c r="J430"/>
  <c r="J20" s="1"/>
  <c r="K430"/>
  <c r="L430"/>
  <c r="L429" s="1"/>
  <c r="J431"/>
  <c r="J21" s="1"/>
  <c r="G28" i="1" s="1"/>
  <c r="G131" s="1"/>
  <c r="G193" s="1"/>
  <c r="K431" i="2"/>
  <c r="K21" s="1"/>
  <c r="H28" i="1" s="1"/>
  <c r="H131" s="1"/>
  <c r="H193" s="1"/>
  <c r="L431" i="2"/>
  <c r="L21" s="1"/>
  <c r="J434"/>
  <c r="J24" s="1"/>
  <c r="G34" i="1" s="1"/>
  <c r="K434" i="2"/>
  <c r="K24" s="1"/>
  <c r="H34" i="1" s="1"/>
  <c r="L434" i="2"/>
  <c r="J435"/>
  <c r="K435"/>
  <c r="L435"/>
  <c r="L26" s="1"/>
  <c r="J437"/>
  <c r="K437"/>
  <c r="L437"/>
  <c r="J438"/>
  <c r="J33" s="1"/>
  <c r="G43" i="1" s="1"/>
  <c r="G146" s="1"/>
  <c r="G208" s="1"/>
  <c r="K438" i="2"/>
  <c r="K33" s="1"/>
  <c r="H43" i="1" s="1"/>
  <c r="H146" s="1"/>
  <c r="H208" s="1"/>
  <c r="L438" i="2"/>
  <c r="L33" s="1"/>
  <c r="I43" i="1" s="1"/>
  <c r="I146" s="1"/>
  <c r="I208" s="1"/>
  <c r="J469" i="2"/>
  <c r="J468" s="1"/>
  <c r="K469"/>
  <c r="K468" s="1"/>
  <c r="L469"/>
  <c r="J471"/>
  <c r="K471"/>
  <c r="L471"/>
  <c r="J474"/>
  <c r="J473" s="1"/>
  <c r="J472" s="1"/>
  <c r="K474"/>
  <c r="K473" s="1"/>
  <c r="K472" s="1"/>
  <c r="L474"/>
  <c r="L473" s="1"/>
  <c r="L472" s="1"/>
  <c r="L17"/>
  <c r="I24" i="1" s="1"/>
  <c r="I129" s="1"/>
  <c r="I190" s="1"/>
  <c r="L27" i="2"/>
  <c r="I39" i="1" s="1"/>
  <c r="I143" s="1"/>
  <c r="I205" s="1"/>
  <c r="L30" i="2"/>
  <c r="J17"/>
  <c r="G24" i="1" s="1"/>
  <c r="G129" s="1"/>
  <c r="G190" s="1"/>
  <c r="K17" i="2"/>
  <c r="H24" i="1" s="1"/>
  <c r="H129" s="1"/>
  <c r="H190" s="1"/>
  <c r="J25" i="2"/>
  <c r="G37" i="1" s="1"/>
  <c r="K25" i="2"/>
  <c r="H37" i="1" s="1"/>
  <c r="J27" i="2"/>
  <c r="G39" i="1" s="1"/>
  <c r="G143" s="1"/>
  <c r="G205" s="1"/>
  <c r="J28" i="2"/>
  <c r="G40" i="1" s="1"/>
  <c r="G144" s="1"/>
  <c r="G206" s="1"/>
  <c r="K28" i="2"/>
  <c r="H40" i="1" s="1"/>
  <c r="H144" s="1"/>
  <c r="H206" s="1"/>
  <c r="J30" i="2"/>
  <c r="K32"/>
  <c r="L28"/>
  <c r="I40" i="1" s="1"/>
  <c r="I144" s="1"/>
  <c r="I206" s="1"/>
  <c r="D471" i="2"/>
  <c r="D470" s="1"/>
  <c r="D427"/>
  <c r="L25"/>
  <c r="I37" i="1" s="1"/>
  <c r="L321" i="2"/>
  <c r="J29" i="10" s="1"/>
  <c r="J321" i="2"/>
  <c r="H29" i="10" s="1"/>
  <c r="K15" i="2"/>
  <c r="H21" i="1" s="1"/>
  <c r="L15" i="2"/>
  <c r="I21" i="1" s="1"/>
  <c r="L20" i="2"/>
  <c r="L91" i="3"/>
  <c r="K315" i="2"/>
  <c r="I28" i="10" s="1"/>
  <c r="L85" i="3"/>
  <c r="J85"/>
  <c r="G92"/>
  <c r="H92"/>
  <c r="I92"/>
  <c r="G94"/>
  <c r="G91" s="1"/>
  <c r="H94"/>
  <c r="I94"/>
  <c r="I91" s="1"/>
  <c r="G89"/>
  <c r="H89"/>
  <c r="I89"/>
  <c r="G86"/>
  <c r="G85" s="1"/>
  <c r="H86"/>
  <c r="I86"/>
  <c r="I85" s="1"/>
  <c r="H91"/>
  <c r="N120" i="6"/>
  <c r="G120"/>
  <c r="N102"/>
  <c r="I135"/>
  <c r="I134" s="1"/>
  <c r="H135"/>
  <c r="H134" s="1"/>
  <c r="G135"/>
  <c r="G134" s="1"/>
  <c r="F135"/>
  <c r="F134" s="1"/>
  <c r="I116"/>
  <c r="I115" s="1"/>
  <c r="G116"/>
  <c r="G115" s="1"/>
  <c r="G10" i="4"/>
  <c r="N44" i="13"/>
  <c r="N47"/>
  <c r="N46" s="1"/>
  <c r="N26"/>
  <c r="N96" i="8"/>
  <c r="N94" s="1"/>
  <c r="N93" s="1"/>
  <c r="N85"/>
  <c r="N46" i="7"/>
  <c r="N58"/>
  <c r="N70"/>
  <c r="N82"/>
  <c r="N94"/>
  <c r="N93"/>
  <c r="N91" s="1"/>
  <c r="N90" s="1"/>
  <c r="N81"/>
  <c r="N79" s="1"/>
  <c r="N78" s="1"/>
  <c r="N68"/>
  <c r="N67" s="1"/>
  <c r="N66" s="1"/>
  <c r="N56"/>
  <c r="N15"/>
  <c r="N86" i="6"/>
  <c r="N84"/>
  <c r="N64"/>
  <c r="N447" i="2"/>
  <c r="N601"/>
  <c r="N600" s="1"/>
  <c r="N547"/>
  <c r="N546"/>
  <c r="N545" s="1"/>
  <c r="N544" s="1"/>
  <c r="N538"/>
  <c r="N537" s="1"/>
  <c r="N532"/>
  <c r="N531"/>
  <c r="N526"/>
  <c r="N525" s="1"/>
  <c r="N514"/>
  <c r="N513" s="1"/>
  <c r="N480"/>
  <c r="N479" s="1"/>
  <c r="N478"/>
  <c r="N477" s="1"/>
  <c r="N462"/>
  <c r="N461" s="1"/>
  <c r="N460"/>
  <c r="N459" s="1"/>
  <c r="N446"/>
  <c r="N442"/>
  <c r="N444"/>
  <c r="N443"/>
  <c r="N340"/>
  <c r="N331"/>
  <c r="N330" s="1"/>
  <c r="N329"/>
  <c r="N328" s="1"/>
  <c r="N269"/>
  <c r="N266"/>
  <c r="N134"/>
  <c r="N130"/>
  <c r="N119"/>
  <c r="N115"/>
  <c r="N107"/>
  <c r="N105"/>
  <c r="N96"/>
  <c r="N84"/>
  <c r="N72"/>
  <c r="N58"/>
  <c r="L136" i="1"/>
  <c r="L137"/>
  <c r="L138"/>
  <c r="L139"/>
  <c r="L140"/>
  <c r="L141"/>
  <c r="L142"/>
  <c r="L143"/>
  <c r="L144"/>
  <c r="L145"/>
  <c r="L146"/>
  <c r="L147"/>
  <c r="N75" i="6"/>
  <c r="N72" s="1"/>
  <c r="L164" i="1"/>
  <c r="N69" i="2"/>
  <c r="N68" s="1"/>
  <c r="N93"/>
  <c r="N445"/>
  <c r="N30" i="6"/>
  <c r="N258"/>
  <c r="N257" s="1"/>
  <c r="N55" i="2"/>
  <c r="L152" i="1"/>
  <c r="L165"/>
  <c r="N243" i="9"/>
  <c r="N242" s="1"/>
  <c r="N29"/>
  <c r="N26" s="1"/>
  <c r="N112" i="5"/>
  <c r="N111" s="1"/>
  <c r="N52"/>
  <c r="N51" s="1"/>
  <c r="N46"/>
  <c r="N45" s="1"/>
  <c r="N44" s="1"/>
  <c r="N36"/>
  <c r="N102"/>
  <c r="N99"/>
  <c r="N98" s="1"/>
  <c r="N92"/>
  <c r="N91" s="1"/>
  <c r="N90" s="1"/>
  <c r="N74"/>
  <c r="N34"/>
  <c r="N36" i="3"/>
  <c r="N30"/>
  <c r="C70" i="1"/>
  <c r="N235" i="9"/>
  <c r="N234" s="1"/>
  <c r="N25" i="7"/>
  <c r="N24" s="1"/>
  <c r="G39" i="8"/>
  <c r="G38" s="1"/>
  <c r="F10" i="4"/>
  <c r="I68" i="9"/>
  <c r="H68"/>
  <c r="G68"/>
  <c r="F68"/>
  <c r="I67"/>
  <c r="F67"/>
  <c r="F343" i="2"/>
  <c r="D428"/>
  <c r="F36" i="1"/>
  <c r="F44"/>
  <c r="F142" s="1"/>
  <c r="F204" s="1"/>
  <c r="E44"/>
  <c r="E142" s="1"/>
  <c r="E204" s="1"/>
  <c r="D44"/>
  <c r="D142" s="1"/>
  <c r="D204" s="1"/>
  <c r="C44"/>
  <c r="C142" s="1"/>
  <c r="C204" s="1"/>
  <c r="E36"/>
  <c r="D36"/>
  <c r="C36"/>
  <c r="F30"/>
  <c r="F130" s="1"/>
  <c r="F192" s="1"/>
  <c r="E30"/>
  <c r="E130" s="1"/>
  <c r="E192" s="1"/>
  <c r="D30"/>
  <c r="C30"/>
  <c r="F269" i="2"/>
  <c r="F274"/>
  <c r="F266"/>
  <c r="H45" i="8"/>
  <c r="H48"/>
  <c r="H51"/>
  <c r="H54"/>
  <c r="N46"/>
  <c r="F46"/>
  <c r="N48"/>
  <c r="F154" i="2"/>
  <c r="F149"/>
  <c r="F146"/>
  <c r="D153"/>
  <c r="D45" s="1"/>
  <c r="D148"/>
  <c r="F134"/>
  <c r="F138"/>
  <c r="F141"/>
  <c r="D142"/>
  <c r="D50" s="1"/>
  <c r="D139"/>
  <c r="D46" s="1"/>
  <c r="F122"/>
  <c r="F125"/>
  <c r="D118"/>
  <c r="D38" s="1"/>
  <c r="D117"/>
  <c r="D39" s="1"/>
  <c r="D55" i="5"/>
  <c r="D54" s="1"/>
  <c r="I55"/>
  <c r="I54"/>
  <c r="H55"/>
  <c r="H54"/>
  <c r="G55"/>
  <c r="G54"/>
  <c r="F55"/>
  <c r="F54" s="1"/>
  <c r="D52"/>
  <c r="D51" s="1"/>
  <c r="I52"/>
  <c r="H52"/>
  <c r="G52"/>
  <c r="F52"/>
  <c r="F51" s="1"/>
  <c r="E228" i="9"/>
  <c r="F228"/>
  <c r="G228"/>
  <c r="H228"/>
  <c r="E66" i="1" s="1"/>
  <c r="I228" i="9"/>
  <c r="F66" i="1" s="1"/>
  <c r="I234" i="9"/>
  <c r="I223" s="1"/>
  <c r="I243"/>
  <c r="I242" s="1"/>
  <c r="H243"/>
  <c r="H242" s="1"/>
  <c r="G243"/>
  <c r="G242" s="1"/>
  <c r="I246"/>
  <c r="I245" s="1"/>
  <c r="H246"/>
  <c r="H245" s="1"/>
  <c r="G246"/>
  <c r="D38" i="3"/>
  <c r="D434" i="2"/>
  <c r="F568"/>
  <c r="G568"/>
  <c r="G567" s="1"/>
  <c r="G640" s="1"/>
  <c r="I63" i="7"/>
  <c r="I61"/>
  <c r="I60" s="1"/>
  <c r="I58"/>
  <c r="I55"/>
  <c r="I54" s="1"/>
  <c r="H63"/>
  <c r="H61"/>
  <c r="H58"/>
  <c r="H55"/>
  <c r="H54" s="1"/>
  <c r="I75"/>
  <c r="I73"/>
  <c r="I70"/>
  <c r="I67"/>
  <c r="H75"/>
  <c r="H73"/>
  <c r="H72" s="1"/>
  <c r="H70"/>
  <c r="H67"/>
  <c r="H66" s="1"/>
  <c r="I99"/>
  <c r="I97"/>
  <c r="I96" s="1"/>
  <c r="I94"/>
  <c r="I91"/>
  <c r="H99"/>
  <c r="H97"/>
  <c r="H94"/>
  <c r="H91"/>
  <c r="I87"/>
  <c r="I85"/>
  <c r="I82"/>
  <c r="I79"/>
  <c r="H87"/>
  <c r="H85"/>
  <c r="H82"/>
  <c r="H79"/>
  <c r="I46"/>
  <c r="I43"/>
  <c r="H46"/>
  <c r="H43"/>
  <c r="H42" s="1"/>
  <c r="I51"/>
  <c r="I49"/>
  <c r="H51"/>
  <c r="H49"/>
  <c r="H25"/>
  <c r="H24"/>
  <c r="I25"/>
  <c r="I24"/>
  <c r="C67" i="1"/>
  <c r="F15" i="7"/>
  <c r="G15"/>
  <c r="H15"/>
  <c r="I15"/>
  <c r="D80" i="1"/>
  <c r="D140" s="1"/>
  <c r="D202" s="1"/>
  <c r="F21" i="7"/>
  <c r="G21"/>
  <c r="H21"/>
  <c r="I21"/>
  <c r="E27" i="1"/>
  <c r="F27"/>
  <c r="E198"/>
  <c r="F136"/>
  <c r="F198" s="1"/>
  <c r="H48" i="7"/>
  <c r="H84"/>
  <c r="I78"/>
  <c r="I84"/>
  <c r="H90"/>
  <c r="F74" i="1"/>
  <c r="F73" s="1"/>
  <c r="C74"/>
  <c r="I42" i="7"/>
  <c r="I48"/>
  <c r="G10"/>
  <c r="I90"/>
  <c r="I66"/>
  <c r="G17"/>
  <c r="I10"/>
  <c r="H17"/>
  <c r="I17"/>
  <c r="G21" i="13"/>
  <c r="G18" s="1"/>
  <c r="I21"/>
  <c r="I18" s="1"/>
  <c r="F21"/>
  <c r="H21"/>
  <c r="H18" s="1"/>
  <c r="E80" i="5"/>
  <c r="D15"/>
  <c r="D14" s="1"/>
  <c r="E23"/>
  <c r="N24"/>
  <c r="N23" s="1"/>
  <c r="N26"/>
  <c r="N25" s="1"/>
  <c r="H51"/>
  <c r="I51"/>
  <c r="H15"/>
  <c r="H14" s="1"/>
  <c r="I15"/>
  <c r="H16"/>
  <c r="I16"/>
  <c r="I30"/>
  <c r="H30"/>
  <c r="I28"/>
  <c r="H28"/>
  <c r="I27"/>
  <c r="H27"/>
  <c r="I25"/>
  <c r="H25"/>
  <c r="I23"/>
  <c r="H23"/>
  <c r="I22"/>
  <c r="H22"/>
  <c r="I34"/>
  <c r="I36"/>
  <c r="H41"/>
  <c r="H38" s="1"/>
  <c r="I41"/>
  <c r="I38" s="1"/>
  <c r="H45"/>
  <c r="I45"/>
  <c r="H48"/>
  <c r="H47" s="1"/>
  <c r="H44" s="1"/>
  <c r="I48"/>
  <c r="I47" s="1"/>
  <c r="I44" s="1"/>
  <c r="H79"/>
  <c r="H77" s="1"/>
  <c r="I79"/>
  <c r="I77" s="1"/>
  <c r="H81"/>
  <c r="I81"/>
  <c r="H87"/>
  <c r="I87"/>
  <c r="H84"/>
  <c r="I84"/>
  <c r="H83"/>
  <c r="I83"/>
  <c r="I105"/>
  <c r="H105"/>
  <c r="I99"/>
  <c r="H99"/>
  <c r="I112"/>
  <c r="H112"/>
  <c r="I111"/>
  <c r="H111"/>
  <c r="I229" i="9"/>
  <c r="I226" s="1"/>
  <c r="I225" s="1"/>
  <c r="H229"/>
  <c r="H226" s="1"/>
  <c r="H225" s="1"/>
  <c r="G229"/>
  <c r="H32"/>
  <c r="G32"/>
  <c r="F32"/>
  <c r="F31" s="1"/>
  <c r="I33" i="5"/>
  <c r="E30"/>
  <c r="E27" s="1"/>
  <c r="C41" i="10" s="1"/>
  <c r="I14" i="5"/>
  <c r="I13"/>
  <c r="E25"/>
  <c r="E22"/>
  <c r="C40" i="10" s="1"/>
  <c r="F39" i="4"/>
  <c r="G39"/>
  <c r="H39"/>
  <c r="I39"/>
  <c r="F38"/>
  <c r="G38"/>
  <c r="H38"/>
  <c r="I38"/>
  <c r="F31"/>
  <c r="G31"/>
  <c r="H31"/>
  <c r="I31"/>
  <c r="F30"/>
  <c r="G30"/>
  <c r="H30"/>
  <c r="I30"/>
  <c r="H44"/>
  <c r="H43" s="1"/>
  <c r="I44"/>
  <c r="I43" s="1"/>
  <c r="E83" i="1"/>
  <c r="E82" s="1"/>
  <c r="F83"/>
  <c r="F82" s="1"/>
  <c r="C78"/>
  <c r="C77"/>
  <c r="D77"/>
  <c r="E77"/>
  <c r="F77"/>
  <c r="C69"/>
  <c r="D69"/>
  <c r="E69"/>
  <c r="D70"/>
  <c r="E70"/>
  <c r="F70"/>
  <c r="F123"/>
  <c r="F185" s="1"/>
  <c r="I10" i="4"/>
  <c r="N49" i="3"/>
  <c r="G24" i="10"/>
  <c r="H601" i="2"/>
  <c r="H600" s="1"/>
  <c r="I601"/>
  <c r="I600" s="1"/>
  <c r="I316"/>
  <c r="I324"/>
  <c r="I321" s="1"/>
  <c r="I564"/>
  <c r="I563" s="1"/>
  <c r="H564"/>
  <c r="H563" s="1"/>
  <c r="I526"/>
  <c r="I525" s="1"/>
  <c r="H526"/>
  <c r="H525" s="1"/>
  <c r="F69" i="1"/>
  <c r="I479" i="2"/>
  <c r="I477"/>
  <c r="H479"/>
  <c r="H477"/>
  <c r="I482"/>
  <c r="I481" s="1"/>
  <c r="H482"/>
  <c r="H481" s="1"/>
  <c r="I474"/>
  <c r="I473" s="1"/>
  <c r="I472" s="1"/>
  <c r="G43" i="10" s="1"/>
  <c r="I471" i="2"/>
  <c r="I470" s="1"/>
  <c r="I469"/>
  <c r="I468" s="1"/>
  <c r="H474"/>
  <c r="H473" s="1"/>
  <c r="H472" s="1"/>
  <c r="F43" i="10" s="1"/>
  <c r="H471" i="2"/>
  <c r="H469"/>
  <c r="H468" s="1"/>
  <c r="G474"/>
  <c r="G473" s="1"/>
  <c r="G472" s="1"/>
  <c r="E43" i="10" s="1"/>
  <c r="G471" i="2"/>
  <c r="G470" s="1"/>
  <c r="G469"/>
  <c r="G468" s="1"/>
  <c r="I453"/>
  <c r="I449"/>
  <c r="I445"/>
  <c r="I441"/>
  <c r="H453"/>
  <c r="H449"/>
  <c r="H445"/>
  <c r="H441"/>
  <c r="G453"/>
  <c r="G449"/>
  <c r="G445"/>
  <c r="G441"/>
  <c r="F453"/>
  <c r="F449"/>
  <c r="F445"/>
  <c r="F441"/>
  <c r="I431"/>
  <c r="I21" s="1"/>
  <c r="F28" i="1" s="1"/>
  <c r="F131" s="1"/>
  <c r="F193" s="1"/>
  <c r="I430" i="2"/>
  <c r="I428"/>
  <c r="I16" s="1"/>
  <c r="I427"/>
  <c r="I14" s="1"/>
  <c r="I426"/>
  <c r="H431"/>
  <c r="H21" s="1"/>
  <c r="E28" i="1" s="1"/>
  <c r="E131" s="1"/>
  <c r="E193" s="1"/>
  <c r="H430" i="2"/>
  <c r="H20" s="1"/>
  <c r="H428"/>
  <c r="H427"/>
  <c r="H14" s="1"/>
  <c r="H426"/>
  <c r="I438"/>
  <c r="I437"/>
  <c r="I32" s="1"/>
  <c r="I435"/>
  <c r="I26" s="1"/>
  <c r="I434"/>
  <c r="I24" s="1"/>
  <c r="F34" i="1" s="1"/>
  <c r="H438" i="2"/>
  <c r="H437"/>
  <c r="H435"/>
  <c r="H434"/>
  <c r="H24" s="1"/>
  <c r="E34" i="1" s="1"/>
  <c r="I319" i="2"/>
  <c r="H17"/>
  <c r="E24" i="1" s="1"/>
  <c r="E129" s="1"/>
  <c r="E190" s="1"/>
  <c r="I17" i="2"/>
  <c r="F24" i="1" s="1"/>
  <c r="F129" s="1"/>
  <c r="F190" s="1"/>
  <c r="H25" i="2"/>
  <c r="E37" i="1" s="1"/>
  <c r="I25" i="2"/>
  <c r="F37" i="1" s="1"/>
  <c r="H27" i="2"/>
  <c r="E39" i="1" s="1"/>
  <c r="E143" s="1"/>
  <c r="E205" s="1"/>
  <c r="I27" i="2"/>
  <c r="F39" i="1" s="1"/>
  <c r="F143" s="1"/>
  <c r="F205" s="1"/>
  <c r="H28" i="2"/>
  <c r="E40" i="1" s="1"/>
  <c r="E144" s="1"/>
  <c r="E206" s="1"/>
  <c r="I28" i="2"/>
  <c r="F40" i="1" s="1"/>
  <c r="F144" s="1"/>
  <c r="F206" s="1"/>
  <c r="H30" i="2"/>
  <c r="I30"/>
  <c r="D449"/>
  <c r="E434"/>
  <c r="E24" s="1"/>
  <c r="I15"/>
  <c r="F21" i="1" s="1"/>
  <c r="E78"/>
  <c r="H15" i="2"/>
  <c r="E21" i="1" s="1"/>
  <c r="F78"/>
  <c r="H470" i="2"/>
  <c r="E427"/>
  <c r="E471"/>
  <c r="E479"/>
  <c r="F247" i="6"/>
  <c r="F246" s="1"/>
  <c r="F245" s="1"/>
  <c r="G247"/>
  <c r="G246" s="1"/>
  <c r="G245" s="1"/>
  <c r="H247"/>
  <c r="H246" s="1"/>
  <c r="H245" s="1"/>
  <c r="I247"/>
  <c r="I246" s="1"/>
  <c r="I245" s="1"/>
  <c r="I262"/>
  <c r="I261" s="1"/>
  <c r="H262"/>
  <c r="H261" s="1"/>
  <c r="G262"/>
  <c r="G261" s="1"/>
  <c r="F262"/>
  <c r="F261" s="1"/>
  <c r="I258"/>
  <c r="I257" s="1"/>
  <c r="H258"/>
  <c r="H257" s="1"/>
  <c r="G258"/>
  <c r="G257" s="1"/>
  <c r="F258"/>
  <c r="F257" s="1"/>
  <c r="F244"/>
  <c r="G244"/>
  <c r="H244"/>
  <c r="I244"/>
  <c r="I243"/>
  <c r="I242" s="1"/>
  <c r="I241" s="1"/>
  <c r="H242"/>
  <c r="H241" s="1"/>
  <c r="H240"/>
  <c r="I240"/>
  <c r="H91"/>
  <c r="I91"/>
  <c r="H89"/>
  <c r="I89"/>
  <c r="H88"/>
  <c r="I88"/>
  <c r="H86"/>
  <c r="I86"/>
  <c r="H84"/>
  <c r="H83" s="1"/>
  <c r="I84"/>
  <c r="I83" s="1"/>
  <c r="I80"/>
  <c r="H80"/>
  <c r="I78"/>
  <c r="I77" s="1"/>
  <c r="G20" i="10" s="1"/>
  <c r="H78" i="6"/>
  <c r="H77" s="1"/>
  <c r="I75"/>
  <c r="H75"/>
  <c r="I73"/>
  <c r="H73"/>
  <c r="I72"/>
  <c r="G19" i="10" s="1"/>
  <c r="H72" i="6"/>
  <c r="I61"/>
  <c r="I69"/>
  <c r="H69"/>
  <c r="G69"/>
  <c r="F69"/>
  <c r="I67"/>
  <c r="H67"/>
  <c r="G67"/>
  <c r="F67"/>
  <c r="I66"/>
  <c r="H66"/>
  <c r="G66"/>
  <c r="F66"/>
  <c r="I64"/>
  <c r="H64"/>
  <c r="G64"/>
  <c r="F64"/>
  <c r="H61"/>
  <c r="G61"/>
  <c r="I36"/>
  <c r="I35" s="1"/>
  <c r="G31" i="10" s="1"/>
  <c r="H36" i="6"/>
  <c r="H35" s="1"/>
  <c r="G36"/>
  <c r="G35" s="1"/>
  <c r="F36"/>
  <c r="F35" s="1"/>
  <c r="I30"/>
  <c r="H30"/>
  <c r="G30"/>
  <c r="F30"/>
  <c r="I27"/>
  <c r="I254"/>
  <c r="I253" s="1"/>
  <c r="I239" s="1"/>
  <c r="H254"/>
  <c r="H253" s="1"/>
  <c r="H239" s="1"/>
  <c r="G243"/>
  <c r="F255"/>
  <c r="N585" i="2"/>
  <c r="N584" s="1"/>
  <c r="F41" i="9"/>
  <c r="G91" i="6"/>
  <c r="G86"/>
  <c r="G89"/>
  <c r="G84"/>
  <c r="D80"/>
  <c r="F80"/>
  <c r="G80"/>
  <c r="F78"/>
  <c r="G78"/>
  <c r="G77" s="1"/>
  <c r="D75"/>
  <c r="F75"/>
  <c r="G75"/>
  <c r="F73"/>
  <c r="F72" s="1"/>
  <c r="G73"/>
  <c r="D17" i="5"/>
  <c r="G67" i="7"/>
  <c r="F67"/>
  <c r="F44" i="4"/>
  <c r="G44"/>
  <c r="G43" s="1"/>
  <c r="D10" i="13"/>
  <c r="D40"/>
  <c r="D39" s="1"/>
  <c r="D35"/>
  <c r="D28"/>
  <c r="D31"/>
  <c r="D30" s="1"/>
  <c r="F229" i="9"/>
  <c r="D98" i="8"/>
  <c r="D97" s="1"/>
  <c r="E85"/>
  <c r="M85" s="1"/>
  <c r="F54"/>
  <c r="F51"/>
  <c r="F48"/>
  <c r="F45"/>
  <c r="F41"/>
  <c r="F39"/>
  <c r="F38" s="1"/>
  <c r="F34"/>
  <c r="B30" i="1"/>
  <c r="D136"/>
  <c r="D198" s="1"/>
  <c r="C136"/>
  <c r="C198" s="1"/>
  <c r="D27"/>
  <c r="C27"/>
  <c r="G99" i="7"/>
  <c r="F99"/>
  <c r="G97"/>
  <c r="F97"/>
  <c r="G96"/>
  <c r="G94"/>
  <c r="F94"/>
  <c r="G91"/>
  <c r="F91"/>
  <c r="G87"/>
  <c r="F87"/>
  <c r="G85"/>
  <c r="F85"/>
  <c r="G82"/>
  <c r="F82"/>
  <c r="G79"/>
  <c r="F79"/>
  <c r="G75"/>
  <c r="F75"/>
  <c r="G73"/>
  <c r="F73"/>
  <c r="G72"/>
  <c r="G70"/>
  <c r="F70"/>
  <c r="G66"/>
  <c r="F66"/>
  <c r="G63"/>
  <c r="F63"/>
  <c r="G61"/>
  <c r="F61"/>
  <c r="G58"/>
  <c r="F58"/>
  <c r="G55"/>
  <c r="G54" s="1"/>
  <c r="F55"/>
  <c r="G51"/>
  <c r="F51"/>
  <c r="G49"/>
  <c r="F49"/>
  <c r="G46"/>
  <c r="F46"/>
  <c r="G43"/>
  <c r="F43"/>
  <c r="G25"/>
  <c r="G24" s="1"/>
  <c r="F25"/>
  <c r="F24" s="1"/>
  <c r="G254" i="6"/>
  <c r="G253" s="1"/>
  <c r="G239" s="1"/>
  <c r="F254"/>
  <c r="F253" s="1"/>
  <c r="N250"/>
  <c r="N249" s="1"/>
  <c r="G240"/>
  <c r="N240" s="1"/>
  <c r="F240"/>
  <c r="G112" i="5"/>
  <c r="G111" s="1"/>
  <c r="F112"/>
  <c r="F111"/>
  <c r="D85"/>
  <c r="G105"/>
  <c r="F105"/>
  <c r="G99"/>
  <c r="F99"/>
  <c r="G91"/>
  <c r="F91"/>
  <c r="F90" s="1"/>
  <c r="G90"/>
  <c r="F88"/>
  <c r="C83" i="1" s="1"/>
  <c r="C82" s="1"/>
  <c r="G87" i="5"/>
  <c r="F87"/>
  <c r="F86"/>
  <c r="F61" s="1"/>
  <c r="F85"/>
  <c r="G84"/>
  <c r="G83" s="1"/>
  <c r="G81"/>
  <c r="F81"/>
  <c r="F80"/>
  <c r="G79"/>
  <c r="G77" s="1"/>
  <c r="G76" s="1"/>
  <c r="F79"/>
  <c r="F78"/>
  <c r="G51"/>
  <c r="N75"/>
  <c r="N73" s="1"/>
  <c r="G48"/>
  <c r="F48"/>
  <c r="F47" s="1"/>
  <c r="G47"/>
  <c r="G45"/>
  <c r="F45"/>
  <c r="F44" s="1"/>
  <c r="G41"/>
  <c r="G38" s="1"/>
  <c r="F41"/>
  <c r="F38" s="1"/>
  <c r="G30"/>
  <c r="F30"/>
  <c r="G28"/>
  <c r="F28"/>
  <c r="G27"/>
  <c r="E41" i="10" s="1"/>
  <c r="G25" i="5"/>
  <c r="F25"/>
  <c r="G23"/>
  <c r="F23"/>
  <c r="F22" s="1"/>
  <c r="D40" i="10" s="1"/>
  <c r="G16" i="5"/>
  <c r="G15"/>
  <c r="F43" i="4"/>
  <c r="D36"/>
  <c r="F94" i="3"/>
  <c r="F92"/>
  <c r="F91" s="1"/>
  <c r="F89"/>
  <c r="F86"/>
  <c r="F85" s="1"/>
  <c r="G601" i="2"/>
  <c r="G600" s="1"/>
  <c r="F601"/>
  <c r="F600" s="1"/>
  <c r="F567"/>
  <c r="F640" s="1"/>
  <c r="D564"/>
  <c r="D563" s="1"/>
  <c r="G564"/>
  <c r="G563" s="1"/>
  <c r="F564"/>
  <c r="F563" s="1"/>
  <c r="G560"/>
  <c r="G559" s="1"/>
  <c r="F560"/>
  <c r="F559" s="1"/>
  <c r="D549"/>
  <c r="D548" s="1"/>
  <c r="G526"/>
  <c r="G525" s="1"/>
  <c r="F526"/>
  <c r="F525" s="1"/>
  <c r="G522"/>
  <c r="G521" s="1"/>
  <c r="F522"/>
  <c r="F521" s="1"/>
  <c r="G501"/>
  <c r="F501"/>
  <c r="D78" i="1"/>
  <c r="G482" i="2"/>
  <c r="F482"/>
  <c r="F481" s="1"/>
  <c r="G481"/>
  <c r="G479"/>
  <c r="F479"/>
  <c r="G477"/>
  <c r="G476" s="1"/>
  <c r="F477"/>
  <c r="F476" s="1"/>
  <c r="F474"/>
  <c r="F473" s="1"/>
  <c r="F472" s="1"/>
  <c r="F471"/>
  <c r="F470" s="1"/>
  <c r="F469"/>
  <c r="F468" s="1"/>
  <c r="G438"/>
  <c r="G33" s="1"/>
  <c r="D43" i="1" s="1"/>
  <c r="F438" i="2"/>
  <c r="F33" s="1"/>
  <c r="C43" i="1" s="1"/>
  <c r="C146" s="1"/>
  <c r="C208" s="1"/>
  <c r="G437" i="2"/>
  <c r="F437"/>
  <c r="G435"/>
  <c r="G26" s="1"/>
  <c r="F435"/>
  <c r="G434"/>
  <c r="G24" s="1"/>
  <c r="F434"/>
  <c r="F24" s="1"/>
  <c r="G431"/>
  <c r="G21" s="1"/>
  <c r="D28" i="1" s="1"/>
  <c r="D131" s="1"/>
  <c r="D193" s="1"/>
  <c r="F431" i="2"/>
  <c r="F21" s="1"/>
  <c r="G430"/>
  <c r="F430"/>
  <c r="G428"/>
  <c r="G16" s="1"/>
  <c r="F428"/>
  <c r="G427"/>
  <c r="G14" s="1"/>
  <c r="F427"/>
  <c r="F14" s="1"/>
  <c r="G426"/>
  <c r="F426"/>
  <c r="F425" s="1"/>
  <c r="D272"/>
  <c r="D269"/>
  <c r="D58"/>
  <c r="G30"/>
  <c r="F30"/>
  <c r="G28"/>
  <c r="D40" i="1" s="1"/>
  <c r="D144" s="1"/>
  <c r="D206" s="1"/>
  <c r="F28" i="2"/>
  <c r="C40" i="1" s="1"/>
  <c r="C144" s="1"/>
  <c r="C206" s="1"/>
  <c r="G27" i="2"/>
  <c r="D39" i="1" s="1"/>
  <c r="D143" s="1"/>
  <c r="D205" s="1"/>
  <c r="F27" i="2"/>
  <c r="C39" i="1" s="1"/>
  <c r="C143" s="1"/>
  <c r="C205" s="1"/>
  <c r="G25" i="2"/>
  <c r="D37" i="1" s="1"/>
  <c r="F25" i="2"/>
  <c r="C37" i="1" s="1"/>
  <c r="F15" i="2"/>
  <c r="D306"/>
  <c r="D526"/>
  <c r="D525" s="1"/>
  <c r="D77"/>
  <c r="D274"/>
  <c r="D89"/>
  <c r="F84" i="7"/>
  <c r="G90"/>
  <c r="N80" i="2"/>
  <c r="G15"/>
  <c r="D21" i="1" s="1"/>
  <c r="D435" i="2"/>
  <c r="G42" i="7"/>
  <c r="F72"/>
  <c r="B81" i="1"/>
  <c r="E75" i="5"/>
  <c r="E73" s="1"/>
  <c r="F77"/>
  <c r="F76" s="1"/>
  <c r="C80" i="1"/>
  <c r="C140" s="1"/>
  <c r="C202" s="1"/>
  <c r="E82" i="5"/>
  <c r="D82"/>
  <c r="D81" s="1"/>
  <c r="E112"/>
  <c r="N79"/>
  <c r="F14"/>
  <c r="G60" i="7"/>
  <c r="N80" i="5"/>
  <c r="F50" i="8"/>
  <c r="F115" s="1"/>
  <c r="G14" i="5"/>
  <c r="G13" s="1"/>
  <c r="G44"/>
  <c r="F84"/>
  <c r="F83" s="1"/>
  <c r="E102"/>
  <c r="E86"/>
  <c r="E79"/>
  <c r="E108"/>
  <c r="E88"/>
  <c r="F32" i="2"/>
  <c r="D141"/>
  <c r="F429"/>
  <c r="G436"/>
  <c r="F436"/>
  <c r="F433"/>
  <c r="F432" s="1"/>
  <c r="G48" i="7"/>
  <c r="F96"/>
  <c r="E116" i="8"/>
  <c r="D39"/>
  <c r="E110"/>
  <c r="D91"/>
  <c r="D87" s="1"/>
  <c r="D86" s="1"/>
  <c r="G22" i="5"/>
  <c r="E123" i="1"/>
  <c r="E185" s="1"/>
  <c r="D27" i="4"/>
  <c r="D26"/>
  <c r="E244" i="6"/>
  <c r="E262"/>
  <c r="E261" s="1"/>
  <c r="E247"/>
  <c r="E246" s="1"/>
  <c r="E245" s="1"/>
  <c r="D49" i="3"/>
  <c r="D13" s="1"/>
  <c r="D56"/>
  <c r="D19" s="1"/>
  <c r="D574" i="2"/>
  <c r="E77"/>
  <c r="D24"/>
  <c r="P544"/>
  <c r="D14"/>
  <c r="D138"/>
  <c r="P458"/>
  <c r="D244" i="6"/>
  <c r="F27" i="5"/>
  <c r="D41" i="10" s="1"/>
  <c r="F54" i="7"/>
  <c r="F42"/>
  <c r="G78"/>
  <c r="F48"/>
  <c r="F60"/>
  <c r="G84"/>
  <c r="D152" i="2"/>
  <c r="D479"/>
  <c r="D79" i="5"/>
  <c r="F90" i="7"/>
  <c r="D94" i="8"/>
  <c r="D93" s="1"/>
  <c r="D78" s="1"/>
  <c r="D76" s="1"/>
  <c r="D85"/>
  <c r="D130" i="2"/>
  <c r="P440"/>
  <c r="B198" i="1"/>
  <c r="D311" i="2"/>
  <c r="E449"/>
  <c r="E448" s="1"/>
  <c r="E435"/>
  <c r="D278"/>
  <c r="E461"/>
  <c r="P483"/>
  <c r="E474"/>
  <c r="E482"/>
  <c r="E481" s="1"/>
  <c r="D328"/>
  <c r="D20" i="5"/>
  <c r="D19" s="1"/>
  <c r="D18" s="1"/>
  <c r="D75"/>
  <c r="D73" s="1"/>
  <c r="D49" i="7"/>
  <c r="B67" i="1"/>
  <c r="D92" i="3"/>
  <c r="B44" i="1"/>
  <c r="E85" i="5"/>
  <c r="E84" s="1"/>
  <c r="E111"/>
  <c r="E87"/>
  <c r="E105"/>
  <c r="E104" s="1"/>
  <c r="E81"/>
  <c r="E99"/>
  <c r="E98" s="1"/>
  <c r="E78"/>
  <c r="D59" i="3"/>
  <c r="E463" i="2"/>
  <c r="D464"/>
  <c r="D463" s="1"/>
  <c r="E87"/>
  <c r="D305"/>
  <c r="D110"/>
  <c r="D109" s="1"/>
  <c r="E96"/>
  <c r="E89"/>
  <c r="D433"/>
  <c r="D312"/>
  <c r="D286"/>
  <c r="E437"/>
  <c r="E445"/>
  <c r="E430"/>
  <c r="E428"/>
  <c r="E459"/>
  <c r="D247" i="6"/>
  <c r="D246" s="1"/>
  <c r="D245" s="1"/>
  <c r="D262"/>
  <c r="D261" s="1"/>
  <c r="D110" i="8"/>
  <c r="D88" i="5"/>
  <c r="D87" s="1"/>
  <c r="D34"/>
  <c r="D80"/>
  <c r="D333" i="2"/>
  <c r="D332" s="1"/>
  <c r="D459"/>
  <c r="D474"/>
  <c r="D473" s="1"/>
  <c r="D472" s="1"/>
  <c r="D41" i="5"/>
  <c r="D38" s="1"/>
  <c r="D116" s="1"/>
  <c r="E77"/>
  <c r="E76" s="1"/>
  <c r="D21" i="4"/>
  <c r="H10"/>
  <c r="D36" i="5"/>
  <c r="D33" s="1"/>
  <c r="D28" i="2"/>
  <c r="D87"/>
  <c r="D330"/>
  <c r="D518"/>
  <c r="D517" s="1"/>
  <c r="D641" s="1"/>
  <c r="O15" i="1"/>
  <c r="P497" i="2"/>
  <c r="D30" i="6"/>
  <c r="D27" s="1"/>
  <c r="K205"/>
  <c r="D84"/>
  <c r="D89"/>
  <c r="I139" l="1"/>
  <c r="G148"/>
  <c r="F205"/>
  <c r="G83"/>
  <c r="J197"/>
  <c r="K71" i="1"/>
  <c r="M240" i="6"/>
  <c r="H31" i="9"/>
  <c r="G72" i="6"/>
  <c r="D198"/>
  <c r="F60"/>
  <c r="F19" i="10"/>
  <c r="F20"/>
  <c r="L23" i="6"/>
  <c r="L21" s="1"/>
  <c r="K143"/>
  <c r="K19" s="1"/>
  <c r="K197"/>
  <c r="H197"/>
  <c r="M227"/>
  <c r="M226" s="1"/>
  <c r="N265" i="2"/>
  <c r="H13" i="5"/>
  <c r="K11"/>
  <c r="K10" s="1"/>
  <c r="J11"/>
  <c r="J10" s="1"/>
  <c r="N469" i="2"/>
  <c r="N468" s="1"/>
  <c r="N426"/>
  <c r="N430"/>
  <c r="I433"/>
  <c r="H429"/>
  <c r="C21" i="1"/>
  <c r="C126" s="1"/>
  <c r="C187" s="1"/>
  <c r="D37" i="2"/>
  <c r="I11" i="5"/>
  <c r="I10" s="1"/>
  <c r="H11"/>
  <c r="H10" s="1"/>
  <c r="G11"/>
  <c r="G10" s="1"/>
  <c r="H50" i="3"/>
  <c r="N12"/>
  <c r="N16"/>
  <c r="J91"/>
  <c r="I103"/>
  <c r="K85"/>
  <c r="G429" i="2"/>
  <c r="M15" i="6"/>
  <c r="P15" s="1"/>
  <c r="D51" i="3"/>
  <c r="D16" s="1"/>
  <c r="G45"/>
  <c r="N89" i="13"/>
  <c r="M89"/>
  <c r="M51" i="3"/>
  <c r="M50" s="1"/>
  <c r="M198" i="6"/>
  <c r="M140"/>
  <c r="M139" s="1"/>
  <c r="C102" i="1"/>
  <c r="F642" i="2"/>
  <c r="D102" i="1"/>
  <c r="G642" i="2"/>
  <c r="F102" i="1"/>
  <c r="I642" i="2"/>
  <c r="G169" i="7"/>
  <c r="H50" i="8"/>
  <c r="H115" s="1"/>
  <c r="H117" s="1"/>
  <c r="G14" i="10"/>
  <c r="I115" i="8"/>
  <c r="I117" s="1"/>
  <c r="H116"/>
  <c r="F18" i="10"/>
  <c r="F14" i="8"/>
  <c r="D52"/>
  <c r="F23"/>
  <c r="F22" s="1"/>
  <c r="J103" i="1"/>
  <c r="F12" i="8"/>
  <c r="J14" i="10"/>
  <c r="L115" i="8"/>
  <c r="L117" s="1"/>
  <c r="H14" i="10"/>
  <c r="J115" i="8"/>
  <c r="J117" s="1"/>
  <c r="D42"/>
  <c r="G31"/>
  <c r="G28" s="1"/>
  <c r="G21" s="1"/>
  <c r="F18"/>
  <c r="F16" s="1"/>
  <c r="D55"/>
  <c r="D29" s="1"/>
  <c r="F29"/>
  <c r="F28" s="1"/>
  <c r="M396" i="2"/>
  <c r="L268" i="6"/>
  <c r="H448" i="2"/>
  <c r="J436"/>
  <c r="G116" i="8"/>
  <c r="G117" s="1"/>
  <c r="E18" i="10"/>
  <c r="F116" i="8"/>
  <c r="D18" i="10"/>
  <c r="H10" i="8"/>
  <c r="F17" i="10"/>
  <c r="G10" i="8"/>
  <c r="G8" s="1"/>
  <c r="E17" i="10"/>
  <c r="O17" s="1"/>
  <c r="D45" i="7"/>
  <c r="D43" s="1"/>
  <c r="K7"/>
  <c r="N45"/>
  <c r="N43" s="1"/>
  <c r="N42" s="1"/>
  <c r="D7"/>
  <c r="D172" s="1"/>
  <c r="D11"/>
  <c r="H400" i="2"/>
  <c r="N396"/>
  <c r="N395" s="1"/>
  <c r="E433"/>
  <c r="G425"/>
  <c r="G424" s="1"/>
  <c r="N431"/>
  <c r="N429" s="1"/>
  <c r="F448"/>
  <c r="K429"/>
  <c r="K436"/>
  <c r="J433"/>
  <c r="G34" i="13"/>
  <c r="I30"/>
  <c r="L7" i="9"/>
  <c r="J7"/>
  <c r="K7"/>
  <c r="D176" i="2"/>
  <c r="K70" i="1"/>
  <c r="G83" i="13"/>
  <c r="N84"/>
  <c r="M84"/>
  <c r="M83" s="1"/>
  <c r="E125" i="1"/>
  <c r="E191" s="1"/>
  <c r="G141"/>
  <c r="G203" s="1"/>
  <c r="K30"/>
  <c r="K130" s="1"/>
  <c r="I141"/>
  <c r="I203" s="1"/>
  <c r="K20"/>
  <c r="K72"/>
  <c r="D14" i="10"/>
  <c r="F14"/>
  <c r="I14"/>
  <c r="H13"/>
  <c r="J8" i="8"/>
  <c r="I13" i="10"/>
  <c r="K8" i="8"/>
  <c r="G13" i="10"/>
  <c r="I8" i="8"/>
  <c r="D54"/>
  <c r="F41" i="10"/>
  <c r="G41"/>
  <c r="K69" i="1"/>
  <c r="M244" i="6"/>
  <c r="N239"/>
  <c r="N238" s="1"/>
  <c r="F13" i="5"/>
  <c r="E40" i="10"/>
  <c r="O40" s="1"/>
  <c r="G40"/>
  <c r="L116" i="5"/>
  <c r="L118" s="1"/>
  <c r="J116"/>
  <c r="J118" s="1"/>
  <c r="F40" i="10"/>
  <c r="K116" i="5"/>
  <c r="K118" s="1"/>
  <c r="J13"/>
  <c r="M15"/>
  <c r="M14" s="1"/>
  <c r="N22"/>
  <c r="N17"/>
  <c r="N16" s="1"/>
  <c r="N15"/>
  <c r="M17"/>
  <c r="M16" s="1"/>
  <c r="M13" i="13"/>
  <c r="L18"/>
  <c r="L107" s="1"/>
  <c r="L88" s="1"/>
  <c r="F25"/>
  <c r="G226" i="9"/>
  <c r="G225" s="1"/>
  <c r="N229"/>
  <c r="C66" i="1"/>
  <c r="M228" i="9"/>
  <c r="G222"/>
  <c r="N223"/>
  <c r="N227"/>
  <c r="F226"/>
  <c r="F225" s="1"/>
  <c r="M229"/>
  <c r="D66" i="1"/>
  <c r="L66" s="1"/>
  <c r="N228" i="9"/>
  <c r="N226" s="1"/>
  <c r="M223"/>
  <c r="M227"/>
  <c r="M226" s="1"/>
  <c r="M225" s="1"/>
  <c r="K27" i="1"/>
  <c r="F44" i="8"/>
  <c r="F9" s="1"/>
  <c r="M78"/>
  <c r="D37"/>
  <c r="D20" s="1"/>
  <c r="M37"/>
  <c r="D49"/>
  <c r="D18" s="1"/>
  <c r="M80"/>
  <c r="M79" s="1"/>
  <c r="B72" i="1"/>
  <c r="N72" s="1"/>
  <c r="E87" i="8"/>
  <c r="E86" s="1"/>
  <c r="J81" i="1"/>
  <c r="F36" i="8"/>
  <c r="F22" i="1"/>
  <c r="F127" s="1"/>
  <c r="F188" s="1"/>
  <c r="M46" i="8"/>
  <c r="C141" i="1"/>
  <c r="C203" s="1"/>
  <c r="E141"/>
  <c r="E203" s="1"/>
  <c r="F125"/>
  <c r="F191" s="1"/>
  <c r="G41" i="8"/>
  <c r="G125" i="1"/>
  <c r="G191" s="1"/>
  <c r="M34" i="8"/>
  <c r="D47"/>
  <c r="D14" s="1"/>
  <c r="K80"/>
  <c r="K79" s="1"/>
  <c r="N80"/>
  <c r="N79" s="1"/>
  <c r="M77"/>
  <c r="M76" s="1"/>
  <c r="F16" i="6"/>
  <c r="M141"/>
  <c r="M145"/>
  <c r="F201"/>
  <c r="F14"/>
  <c r="L69" i="1"/>
  <c r="D83"/>
  <c r="D82" s="1"/>
  <c r="E74"/>
  <c r="E73" s="1"/>
  <c r="F15" i="3"/>
  <c r="M46"/>
  <c r="M45" s="1"/>
  <c r="M16"/>
  <c r="N114" i="2"/>
  <c r="D137"/>
  <c r="I476"/>
  <c r="I9" s="1"/>
  <c r="E14"/>
  <c r="M14" s="1"/>
  <c r="M427"/>
  <c r="M40"/>
  <c r="M395"/>
  <c r="N398"/>
  <c r="M398"/>
  <c r="M430"/>
  <c r="M428"/>
  <c r="G433"/>
  <c r="G432" s="1"/>
  <c r="N471"/>
  <c r="N470" s="1"/>
  <c r="N467" s="1"/>
  <c r="M471"/>
  <c r="M470" s="1"/>
  <c r="I315"/>
  <c r="G28" i="10" s="1"/>
  <c r="M318" i="2"/>
  <c r="N403"/>
  <c r="M403"/>
  <c r="F17"/>
  <c r="M39"/>
  <c r="M38"/>
  <c r="L23" i="1"/>
  <c r="K23"/>
  <c r="L71"/>
  <c r="L72"/>
  <c r="F33" i="5"/>
  <c r="D55" i="3"/>
  <c r="D18"/>
  <c r="G301" i="2"/>
  <c r="H476"/>
  <c r="N38"/>
  <c r="G32"/>
  <c r="D126" i="1"/>
  <c r="D187" s="1"/>
  <c r="G17" i="2"/>
  <c r="N17" s="1"/>
  <c r="N39"/>
  <c r="L70" i="1"/>
  <c r="G169" i="2"/>
  <c r="N318"/>
  <c r="J15"/>
  <c r="M15" s="1"/>
  <c r="N42"/>
  <c r="L32"/>
  <c r="H32"/>
  <c r="D407"/>
  <c r="D325" s="1"/>
  <c r="G320"/>
  <c r="G19" s="1"/>
  <c r="N401"/>
  <c r="F11" i="5"/>
  <c r="D171" i="6"/>
  <c r="J139"/>
  <c r="G139"/>
  <c r="K148"/>
  <c r="G231"/>
  <c r="N110"/>
  <c r="N111"/>
  <c r="N114"/>
  <c r="N133"/>
  <c r="D123"/>
  <c r="D215"/>
  <c r="K186"/>
  <c r="G242"/>
  <c r="G241" s="1"/>
  <c r="N243"/>
  <c r="D204"/>
  <c r="N204"/>
  <c r="G96"/>
  <c r="N100"/>
  <c r="N203"/>
  <c r="D203"/>
  <c r="D104"/>
  <c r="N108"/>
  <c r="D109"/>
  <c r="N109"/>
  <c r="N145"/>
  <c r="N141"/>
  <c r="G16"/>
  <c r="N16" s="1"/>
  <c r="H14"/>
  <c r="N25" i="13"/>
  <c r="I17" i="6"/>
  <c r="K17"/>
  <c r="H25" i="1" s="1"/>
  <c r="N17" i="6"/>
  <c r="N140"/>
  <c r="N139" s="1"/>
  <c r="G102"/>
  <c r="G17" s="1"/>
  <c r="D103"/>
  <c r="H102"/>
  <c r="H95" s="1"/>
  <c r="J102"/>
  <c r="D110"/>
  <c r="G106"/>
  <c r="D111"/>
  <c r="D113"/>
  <c r="F121"/>
  <c r="F17" s="1"/>
  <c r="D122"/>
  <c r="D132"/>
  <c r="H121"/>
  <c r="J121"/>
  <c r="L121"/>
  <c r="G125"/>
  <c r="N125" s="1"/>
  <c r="F231"/>
  <c r="D98"/>
  <c r="I96"/>
  <c r="I95" s="1"/>
  <c r="J96"/>
  <c r="J14" s="1"/>
  <c r="H106"/>
  <c r="D108"/>
  <c r="D114"/>
  <c r="D133"/>
  <c r="D128"/>
  <c r="F125"/>
  <c r="N15"/>
  <c r="N216"/>
  <c r="N33" i="5"/>
  <c r="I11" i="3"/>
  <c r="E7"/>
  <c r="N46"/>
  <c r="N51"/>
  <c r="N50" s="1"/>
  <c r="G25"/>
  <c r="N26"/>
  <c r="H54"/>
  <c r="D125" i="1"/>
  <c r="D191" s="1"/>
  <c r="L20"/>
  <c r="D123"/>
  <c r="D185" s="1"/>
  <c r="D130"/>
  <c r="D192" s="1"/>
  <c r="L30"/>
  <c r="L130" s="1"/>
  <c r="K11" i="13"/>
  <c r="D31" i="10"/>
  <c r="F34" i="13"/>
  <c r="G25"/>
  <c r="G30"/>
  <c r="H25"/>
  <c r="P18" i="10"/>
  <c r="F129" i="2"/>
  <c r="D405"/>
  <c r="D633" s="1"/>
  <c r="D141" i="6"/>
  <c r="K102" i="7"/>
  <c r="D38" i="13"/>
  <c r="D59"/>
  <c r="D58"/>
  <c r="H66"/>
  <c r="H31" i="10"/>
  <c r="F31"/>
  <c r="L11" i="13"/>
  <c r="G17"/>
  <c r="I36" i="10"/>
  <c r="G36"/>
  <c r="E117" i="8"/>
  <c r="L44"/>
  <c r="L9" s="1"/>
  <c r="D80"/>
  <c r="D79" s="1"/>
  <c r="J36" i="1"/>
  <c r="N34" i="8"/>
  <c r="J30" i="1"/>
  <c r="J130" s="1"/>
  <c r="J192" s="1"/>
  <c r="K118" i="8"/>
  <c r="J44" i="1"/>
  <c r="J142" s="1"/>
  <c r="J204" s="1"/>
  <c r="H44" i="8"/>
  <c r="H9" s="1"/>
  <c r="D46"/>
  <c r="D13" s="1"/>
  <c r="D35"/>
  <c r="D15" s="1"/>
  <c r="F117"/>
  <c r="L27" i="1"/>
  <c r="B66"/>
  <c r="E80" i="8"/>
  <c r="E79" s="1"/>
  <c r="K76"/>
  <c r="J27" i="1"/>
  <c r="L76" i="8"/>
  <c r="N76"/>
  <c r="J118"/>
  <c r="H60" i="1"/>
  <c r="I101"/>
  <c r="I61"/>
  <c r="G61"/>
  <c r="E118" i="8"/>
  <c r="I102" i="7"/>
  <c r="F108"/>
  <c r="H108"/>
  <c r="J108"/>
  <c r="H96"/>
  <c r="I72"/>
  <c r="N254" i="6"/>
  <c r="N253" s="1"/>
  <c r="D255"/>
  <c r="F226"/>
  <c r="D217"/>
  <c r="G226"/>
  <c r="E19" i="10" s="1"/>
  <c r="O19" s="1"/>
  <c r="F175" i="6"/>
  <c r="F174" s="1"/>
  <c r="D100"/>
  <c r="D216"/>
  <c r="N218"/>
  <c r="N213" s="1"/>
  <c r="D219"/>
  <c r="D218" s="1"/>
  <c r="C34" i="1"/>
  <c r="D222" i="6"/>
  <c r="D22" s="1"/>
  <c r="F223"/>
  <c r="D224"/>
  <c r="D223" s="1"/>
  <c r="N77" i="5"/>
  <c r="N76" s="1"/>
  <c r="I76"/>
  <c r="N14"/>
  <c r="N13" s="1"/>
  <c r="K13"/>
  <c r="H76"/>
  <c r="L119"/>
  <c r="K119"/>
  <c r="J119"/>
  <c r="K44"/>
  <c r="I40" i="10" s="1"/>
  <c r="L44" i="5"/>
  <c r="J40" i="10" s="1"/>
  <c r="J44" i="5"/>
  <c r="H40" i="10" s="1"/>
  <c r="G116" i="5"/>
  <c r="G118" s="1"/>
  <c r="G119" s="1"/>
  <c r="H116"/>
  <c r="H118" s="1"/>
  <c r="H119" s="1"/>
  <c r="I116"/>
  <c r="I118" s="1"/>
  <c r="I119" s="1"/>
  <c r="I43" i="10"/>
  <c r="L13" i="5"/>
  <c r="H58"/>
  <c r="E11"/>
  <c r="E10" s="1"/>
  <c r="J43" i="10"/>
  <c r="H43"/>
  <c r="F116" i="5"/>
  <c r="F118" s="1"/>
  <c r="F119" s="1"/>
  <c r="J72" i="1"/>
  <c r="D74"/>
  <c r="D73" s="1"/>
  <c r="N31" i="4"/>
  <c r="N30" s="1"/>
  <c r="C73" i="1"/>
  <c r="N71"/>
  <c r="J71"/>
  <c r="D63" i="3"/>
  <c r="F70"/>
  <c r="D71"/>
  <c r="D41"/>
  <c r="D40" s="1"/>
  <c r="D37" s="1"/>
  <c r="D46"/>
  <c r="D12" s="1"/>
  <c r="H85"/>
  <c r="K91"/>
  <c r="G54"/>
  <c r="N54" i="2"/>
  <c r="F467"/>
  <c r="D42" i="10" s="1"/>
  <c r="F390" i="2"/>
  <c r="N441"/>
  <c r="N440" s="1"/>
  <c r="G211"/>
  <c r="N157"/>
  <c r="E458"/>
  <c r="E86"/>
  <c r="G175"/>
  <c r="D482"/>
  <c r="D481" s="1"/>
  <c r="F424"/>
  <c r="E16"/>
  <c r="B50" i="1" s="1"/>
  <c r="E32" i="2"/>
  <c r="E470"/>
  <c r="E19"/>
  <c r="D396"/>
  <c r="D395" s="1"/>
  <c r="F325"/>
  <c r="F324" s="1"/>
  <c r="F321" s="1"/>
  <c r="D29" i="10" s="1"/>
  <c r="E473" i="2"/>
  <c r="E472" s="1"/>
  <c r="C43" i="10" s="1"/>
  <c r="E31" i="2"/>
  <c r="E26"/>
  <c r="E17"/>
  <c r="C123" i="1"/>
  <c r="C185" s="1"/>
  <c r="D561" i="2"/>
  <c r="N20" i="1"/>
  <c r="C130"/>
  <c r="C192" s="1"/>
  <c r="N30"/>
  <c r="J23"/>
  <c r="N23"/>
  <c r="J20"/>
  <c r="N27"/>
  <c r="H136"/>
  <c r="H198" s="1"/>
  <c r="J35"/>
  <c r="J136" s="1"/>
  <c r="J198" s="1"/>
  <c r="F143" i="6"/>
  <c r="F299"/>
  <c r="D140"/>
  <c r="E83" i="5"/>
  <c r="D78"/>
  <c r="D77" s="1"/>
  <c r="D76" s="1"/>
  <c r="D86"/>
  <c r="D84" s="1"/>
  <c r="D83" s="1"/>
  <c r="D43" i="10"/>
  <c r="P20" i="5"/>
  <c r="D16"/>
  <c r="D13" s="1"/>
  <c r="E116"/>
  <c r="E118" s="1"/>
  <c r="E119" s="1"/>
  <c r="D118"/>
  <c r="D119" s="1"/>
  <c r="D11"/>
  <c r="D10" s="1"/>
  <c r="F101" i="1"/>
  <c r="J67"/>
  <c r="H101"/>
  <c r="N98" i="3"/>
  <c r="N97" s="1"/>
  <c r="N86"/>
  <c r="I105" i="6"/>
  <c r="F17" i="7"/>
  <c r="F10"/>
  <c r="H102"/>
  <c r="J102"/>
  <c r="F78"/>
  <c r="H78"/>
  <c r="H60"/>
  <c r="G108"/>
  <c r="I108"/>
  <c r="K108"/>
  <c r="D108"/>
  <c r="D46"/>
  <c r="D42" s="1"/>
  <c r="D27"/>
  <c r="N55"/>
  <c r="N54" s="1"/>
  <c r="D101" i="1"/>
  <c r="K48" i="7"/>
  <c r="F102"/>
  <c r="D103"/>
  <c r="D102" s="1"/>
  <c r="H10"/>
  <c r="H61" i="1"/>
  <c r="J48" i="7"/>
  <c r="H433" i="2"/>
  <c r="F352"/>
  <c r="N427"/>
  <c r="F145"/>
  <c r="N92"/>
  <c r="J429"/>
  <c r="L315"/>
  <c r="J28" i="10" s="1"/>
  <c r="F38" i="1"/>
  <c r="F139" s="1"/>
  <c r="F201" s="1"/>
  <c r="D38"/>
  <c r="I268" i="6"/>
  <c r="F148"/>
  <c r="F23"/>
  <c r="D116"/>
  <c r="D115" s="1"/>
  <c r="D275" s="1"/>
  <c r="H268"/>
  <c r="J268"/>
  <c r="G221"/>
  <c r="G220" s="1"/>
  <c r="G268" s="1"/>
  <c r="D34" i="1"/>
  <c r="D573" i="2"/>
  <c r="D572" s="1"/>
  <c r="D65" i="9"/>
  <c r="I224"/>
  <c r="G86"/>
  <c r="F86"/>
  <c r="H141" i="1"/>
  <c r="H203" s="1"/>
  <c r="D16" i="6"/>
  <c r="E229" i="9"/>
  <c r="E226" s="1"/>
  <c r="E225" s="1"/>
  <c r="N62"/>
  <c r="D41"/>
  <c r="D40" s="1"/>
  <c r="I60" i="1"/>
  <c r="G60"/>
  <c r="F222" i="9"/>
  <c r="K222"/>
  <c r="D59"/>
  <c r="D58" s="1"/>
  <c r="D97"/>
  <c r="D92" s="1"/>
  <c r="D74"/>
  <c r="F65"/>
  <c r="L105"/>
  <c r="J36" i="10" s="1"/>
  <c r="J105" i="9"/>
  <c r="H36" i="10" s="1"/>
  <c r="L224" i="9"/>
  <c r="L222" s="1"/>
  <c r="J224"/>
  <c r="J231"/>
  <c r="J230" s="1"/>
  <c r="L231"/>
  <c r="L230" s="1"/>
  <c r="N36"/>
  <c r="F123"/>
  <c r="D36"/>
  <c r="F38"/>
  <c r="F35" s="1"/>
  <c r="N38"/>
  <c r="D108"/>
  <c r="D105" s="1"/>
  <c r="D56"/>
  <c r="D38"/>
  <c r="D136"/>
  <c r="G26"/>
  <c r="F53"/>
  <c r="G58"/>
  <c r="D235"/>
  <c r="D234" s="1"/>
  <c r="D223" s="1"/>
  <c r="D222" s="1"/>
  <c r="E223"/>
  <c r="E222" s="1"/>
  <c r="N225"/>
  <c r="N105"/>
  <c r="H92"/>
  <c r="F114"/>
  <c r="H62"/>
  <c r="G53"/>
  <c r="G38"/>
  <c r="G36"/>
  <c r="N127"/>
  <c r="D71"/>
  <c r="H132"/>
  <c r="N53"/>
  <c r="I62"/>
  <c r="G62"/>
  <c r="J123"/>
  <c r="I76"/>
  <c r="G40"/>
  <c r="H123"/>
  <c r="L123"/>
  <c r="H76"/>
  <c r="F40"/>
  <c r="G67"/>
  <c r="H40"/>
  <c r="F76"/>
  <c r="F58"/>
  <c r="H58"/>
  <c r="G123"/>
  <c r="I123"/>
  <c r="K123"/>
  <c r="D229"/>
  <c r="D226" s="1"/>
  <c r="D225" s="1"/>
  <c r="D127"/>
  <c r="G80"/>
  <c r="F105"/>
  <c r="F80"/>
  <c r="F27"/>
  <c r="F141"/>
  <c r="H141"/>
  <c r="I136"/>
  <c r="G136"/>
  <c r="F127"/>
  <c r="G127"/>
  <c r="I141"/>
  <c r="G141"/>
  <c r="F136"/>
  <c r="H136"/>
  <c r="N136"/>
  <c r="F132"/>
  <c r="G132"/>
  <c r="H127"/>
  <c r="G487" i="2"/>
  <c r="D61" i="1" s="1"/>
  <c r="F440" i="2"/>
  <c r="G440"/>
  <c r="G265"/>
  <c r="F229"/>
  <c r="D202"/>
  <c r="N530"/>
  <c r="N529" s="1"/>
  <c r="L476"/>
  <c r="L9" s="1"/>
  <c r="L8" s="1"/>
  <c r="G448"/>
  <c r="N487"/>
  <c r="N338"/>
  <c r="F317"/>
  <c r="N428"/>
  <c r="N301"/>
  <c r="G317"/>
  <c r="N317" s="1"/>
  <c r="H487"/>
  <c r="E61" i="1" s="1"/>
  <c r="I487" i="2"/>
  <c r="F487"/>
  <c r="C61" i="1" s="1"/>
  <c r="G324" i="2"/>
  <c r="G321" s="1"/>
  <c r="E29" i="10" s="1"/>
  <c r="H324" i="2"/>
  <c r="H321" s="1"/>
  <c r="F29" i="10" s="1"/>
  <c r="I425" i="2"/>
  <c r="H633"/>
  <c r="F33" i="10"/>
  <c r="I633" i="2"/>
  <c r="G29" i="10"/>
  <c r="G33"/>
  <c r="H19" i="1"/>
  <c r="H124" s="1"/>
  <c r="H186" s="1"/>
  <c r="F19"/>
  <c r="F124" s="1"/>
  <c r="F186" s="1"/>
  <c r="F633" i="2"/>
  <c r="D33" i="10"/>
  <c r="G633" i="2"/>
  <c r="E33" i="10"/>
  <c r="G19" i="1"/>
  <c r="B74"/>
  <c r="B70"/>
  <c r="N70" s="1"/>
  <c r="D69" i="13"/>
  <c r="D23"/>
  <c r="D21" s="1"/>
  <c r="D13"/>
  <c r="D26"/>
  <c r="D25" s="1"/>
  <c r="D66"/>
  <c r="G66"/>
  <c r="E31" i="10" s="1"/>
  <c r="H62" i="13"/>
  <c r="H17" s="1"/>
  <c r="H15" s="1"/>
  <c r="G56"/>
  <c r="N43"/>
  <c r="L87"/>
  <c r="L86" s="1"/>
  <c r="I65" i="1"/>
  <c r="I55" i="13"/>
  <c r="I12"/>
  <c r="F55"/>
  <c r="H65" i="1"/>
  <c r="F83" i="13"/>
  <c r="N83"/>
  <c r="G15"/>
  <c r="G61"/>
  <c r="I15"/>
  <c r="I61"/>
  <c r="F61"/>
  <c r="G55"/>
  <c r="F104"/>
  <c r="F106" s="1"/>
  <c r="H104"/>
  <c r="H106" s="1"/>
  <c r="H107" s="1"/>
  <c r="H88" s="1"/>
  <c r="H87" s="1"/>
  <c r="H86" s="1"/>
  <c r="J104"/>
  <c r="J106" s="1"/>
  <c r="N37"/>
  <c r="D37"/>
  <c r="D34" s="1"/>
  <c r="H56"/>
  <c r="H14" s="1"/>
  <c r="E19" i="1" s="1"/>
  <c r="N35" i="13"/>
  <c r="P41"/>
  <c r="I104"/>
  <c r="I106" s="1"/>
  <c r="I107" s="1"/>
  <c r="I88" s="1"/>
  <c r="F65" i="1" s="1"/>
  <c r="F64" s="1"/>
  <c r="F63" s="1"/>
  <c r="F85" s="1"/>
  <c r="G213" i="6"/>
  <c r="D227"/>
  <c r="D226" s="1"/>
  <c r="J178"/>
  <c r="J148"/>
  <c r="J23"/>
  <c r="G209"/>
  <c r="G154"/>
  <c r="D211"/>
  <c r="D154" s="1"/>
  <c r="I296"/>
  <c r="I298" s="1"/>
  <c r="I209"/>
  <c r="I208" s="1"/>
  <c r="I205" s="1"/>
  <c r="G146"/>
  <c r="N146" s="1"/>
  <c r="G202"/>
  <c r="I144"/>
  <c r="I299" s="1"/>
  <c r="I202"/>
  <c r="I201" s="1"/>
  <c r="D183"/>
  <c r="E240"/>
  <c r="E288"/>
  <c r="N244"/>
  <c r="F21"/>
  <c r="H23"/>
  <c r="D210"/>
  <c r="D152" s="1"/>
  <c r="D176"/>
  <c r="D144" s="1"/>
  <c r="D297"/>
  <c r="G297"/>
  <c r="G298" s="1"/>
  <c r="G152"/>
  <c r="G194"/>
  <c r="G193" s="1"/>
  <c r="G192" s="1"/>
  <c r="I152"/>
  <c r="I194"/>
  <c r="I193" s="1"/>
  <c r="I192" s="1"/>
  <c r="D191"/>
  <c r="M191" s="1"/>
  <c r="N191"/>
  <c r="H190"/>
  <c r="H189" s="1"/>
  <c r="H186" s="1"/>
  <c r="G144"/>
  <c r="F139"/>
  <c r="F214"/>
  <c r="F213" s="1"/>
  <c r="F239"/>
  <c r="H60"/>
  <c r="G60"/>
  <c r="I60"/>
  <c r="N27"/>
  <c r="F186"/>
  <c r="G186"/>
  <c r="F178"/>
  <c r="D179"/>
  <c r="D135"/>
  <c r="D134" s="1"/>
  <c r="D276" s="1"/>
  <c r="N214"/>
  <c r="N198"/>
  <c r="F298"/>
  <c r="N226"/>
  <c r="D232"/>
  <c r="D231" s="1"/>
  <c r="D498" i="2"/>
  <c r="H440"/>
  <c r="H10" s="1"/>
  <c r="I486"/>
  <c r="F495"/>
  <c r="F494" s="1"/>
  <c r="F643" s="1"/>
  <c r="I495"/>
  <c r="I494" s="1"/>
  <c r="I643" s="1"/>
  <c r="H80" i="1"/>
  <c r="H140" s="1"/>
  <c r="H202" s="1"/>
  <c r="K495" i="2"/>
  <c r="K494" s="1"/>
  <c r="K643" s="1"/>
  <c r="H490"/>
  <c r="B78" i="1"/>
  <c r="J78" s="1"/>
  <c r="H486" i="2"/>
  <c r="N104"/>
  <c r="G495"/>
  <c r="G494" s="1"/>
  <c r="H495"/>
  <c r="H494" s="1"/>
  <c r="I80" i="1"/>
  <c r="I140" s="1"/>
  <c r="I202" s="1"/>
  <c r="L495" i="2"/>
  <c r="L494" s="1"/>
  <c r="L643" s="1"/>
  <c r="G80" i="1"/>
  <c r="G140" s="1"/>
  <c r="G202" s="1"/>
  <c r="J495" i="2"/>
  <c r="J494" s="1"/>
  <c r="J643" s="1"/>
  <c r="G490"/>
  <c r="E633"/>
  <c r="F206"/>
  <c r="F205" s="1"/>
  <c r="F490"/>
  <c r="B142" i="1"/>
  <c r="B204" s="1"/>
  <c r="G372" i="2"/>
  <c r="I440"/>
  <c r="I10" s="1"/>
  <c r="I448"/>
  <c r="H174" i="6"/>
  <c r="H170" s="1"/>
  <c r="I148"/>
  <c r="H139"/>
  <c r="I186"/>
  <c r="D182"/>
  <c r="G178"/>
  <c r="K170"/>
  <c r="I170"/>
  <c r="G170"/>
  <c r="K142"/>
  <c r="J298"/>
  <c r="N61"/>
  <c r="N60" s="1"/>
  <c r="D60"/>
  <c r="D66"/>
  <c r="L143"/>
  <c r="L19" s="1"/>
  <c r="K298"/>
  <c r="L186"/>
  <c r="J186"/>
  <c r="L178"/>
  <c r="J143"/>
  <c r="J19" s="1"/>
  <c r="L139"/>
  <c r="H298"/>
  <c r="H143"/>
  <c r="H19" s="1"/>
  <c r="H178"/>
  <c r="D149"/>
  <c r="E299"/>
  <c r="K139"/>
  <c r="H151"/>
  <c r="H25" s="1"/>
  <c r="H24" s="1"/>
  <c r="N187"/>
  <c r="D187"/>
  <c r="M187" s="1"/>
  <c r="K181"/>
  <c r="K178" s="1"/>
  <c r="K151"/>
  <c r="K25" s="1"/>
  <c r="I181"/>
  <c r="I178" s="1"/>
  <c r="D175"/>
  <c r="N170"/>
  <c r="L151"/>
  <c r="L25" s="1"/>
  <c r="F151"/>
  <c r="F25" s="1"/>
  <c r="I197"/>
  <c r="L170"/>
  <c r="J170"/>
  <c r="F170"/>
  <c r="H287"/>
  <c r="H114" i="9"/>
  <c r="N114"/>
  <c r="D115"/>
  <c r="D114" s="1"/>
  <c r="G114"/>
  <c r="J17" i="3"/>
  <c r="D104" i="13"/>
  <c r="D106" s="1"/>
  <c r="J107"/>
  <c r="J88" s="1"/>
  <c r="D221" i="6"/>
  <c r="F95"/>
  <c r="D89" i="3"/>
  <c r="P89" s="1"/>
  <c r="F45"/>
  <c r="G103"/>
  <c r="H61"/>
  <c r="H67"/>
  <c r="F24" i="10" s="1"/>
  <c r="H37" i="3"/>
  <c r="N62"/>
  <c r="N61" s="1"/>
  <c r="F62"/>
  <c r="G40"/>
  <c r="I40"/>
  <c r="K14"/>
  <c r="G50"/>
  <c r="F79"/>
  <c r="F20"/>
  <c r="F17" s="1"/>
  <c r="F57"/>
  <c r="D73"/>
  <c r="D82"/>
  <c r="D79" s="1"/>
  <c r="J37"/>
  <c r="D35" i="10"/>
  <c r="F26" i="3"/>
  <c r="M26" s="1"/>
  <c r="N29"/>
  <c r="F67"/>
  <c r="D62"/>
  <c r="D70"/>
  <c r="D67" s="1"/>
  <c r="F73"/>
  <c r="G27" i="6"/>
  <c r="K27"/>
  <c r="I30" i="10" s="1"/>
  <c r="J151" i="6"/>
  <c r="J25" s="1"/>
  <c r="L14" i="3"/>
  <c r="J14"/>
  <c r="N73"/>
  <c r="N80" i="9"/>
  <c r="D84"/>
  <c r="N129" i="2"/>
  <c r="N83" i="6"/>
  <c r="F77"/>
  <c r="J27"/>
  <c r="H30" i="10" s="1"/>
  <c r="D250" i="6"/>
  <c r="D249" s="1"/>
  <c r="D240" s="1"/>
  <c r="F243"/>
  <c r="F27"/>
  <c r="H27"/>
  <c r="G288"/>
  <c r="G124"/>
  <c r="I288"/>
  <c r="I124"/>
  <c r="K124"/>
  <c r="K288"/>
  <c r="F124"/>
  <c r="H288"/>
  <c r="H124"/>
  <c r="J124"/>
  <c r="J288"/>
  <c r="L124"/>
  <c r="L288"/>
  <c r="K18"/>
  <c r="F61" i="1"/>
  <c r="I238" i="6"/>
  <c r="F60" i="1"/>
  <c r="E60"/>
  <c r="H238" i="6"/>
  <c r="G238"/>
  <c r="L17" i="3"/>
  <c r="H97"/>
  <c r="J97"/>
  <c r="J11"/>
  <c r="H45"/>
  <c r="H11"/>
  <c r="K11"/>
  <c r="K97"/>
  <c r="G61"/>
  <c r="H34" i="10"/>
  <c r="D104" i="3"/>
  <c r="G32"/>
  <c r="G15" s="1"/>
  <c r="I32"/>
  <c r="I15" s="1"/>
  <c r="K103"/>
  <c r="G20"/>
  <c r="G17" s="1"/>
  <c r="I20"/>
  <c r="I17" s="1"/>
  <c r="H32"/>
  <c r="H15" s="1"/>
  <c r="H20"/>
  <c r="H17" s="1"/>
  <c r="N35"/>
  <c r="D86"/>
  <c r="D85" s="1"/>
  <c r="G31"/>
  <c r="D101"/>
  <c r="F23" i="10"/>
  <c r="F31" i="3"/>
  <c r="H31"/>
  <c r="D98"/>
  <c r="D106"/>
  <c r="G23" i="10"/>
  <c r="N34" i="3"/>
  <c r="G97"/>
  <c r="I97"/>
  <c r="N45"/>
  <c r="K17"/>
  <c r="F165" i="1"/>
  <c r="I125"/>
  <c r="I191" s="1"/>
  <c r="L287" i="6"/>
  <c r="L105"/>
  <c r="L95"/>
  <c r="F105"/>
  <c r="F94" s="1"/>
  <c r="F93" s="1"/>
  <c r="H105"/>
  <c r="K105"/>
  <c r="I45" i="1"/>
  <c r="I145" s="1"/>
  <c r="I207" s="1"/>
  <c r="H45"/>
  <c r="H145" s="1"/>
  <c r="H207" s="1"/>
  <c r="F45"/>
  <c r="F145" s="1"/>
  <c r="F207" s="1"/>
  <c r="B141"/>
  <c r="B203" s="1"/>
  <c r="B130"/>
  <c r="B192" s="1"/>
  <c r="E138"/>
  <c r="E200" s="1"/>
  <c r="C125"/>
  <c r="C191" s="1"/>
  <c r="D141"/>
  <c r="D203" s="1"/>
  <c r="F141"/>
  <c r="F203" s="1"/>
  <c r="J165"/>
  <c r="D64" i="2"/>
  <c r="E64"/>
  <c r="E62"/>
  <c r="N327"/>
  <c r="N337"/>
  <c r="J432"/>
  <c r="L436"/>
  <c r="K476"/>
  <c r="K9" s="1"/>
  <c r="K8" s="1"/>
  <c r="N278"/>
  <c r="N277" s="1"/>
  <c r="D355"/>
  <c r="D352" s="1"/>
  <c r="N358"/>
  <c r="N193"/>
  <c r="D327"/>
  <c r="D298"/>
  <c r="D295" s="1"/>
  <c r="D438"/>
  <c r="D33" s="1"/>
  <c r="E438"/>
  <c r="E33" s="1"/>
  <c r="H33"/>
  <c r="E43" i="1" s="1"/>
  <c r="E146" s="1"/>
  <c r="E208" s="1"/>
  <c r="H436" i="2"/>
  <c r="H432" s="1"/>
  <c r="I33"/>
  <c r="F43" i="1" s="1"/>
  <c r="F146" s="1"/>
  <c r="F208" s="1"/>
  <c r="I436" i="2"/>
  <c r="I432" s="1"/>
  <c r="N476"/>
  <c r="L19"/>
  <c r="I29" i="1" s="1"/>
  <c r="I128" s="1"/>
  <c r="I189" s="1"/>
  <c r="L470" i="2"/>
  <c r="J19"/>
  <c r="J470"/>
  <c r="J467" s="1"/>
  <c r="H42" i="10" s="1"/>
  <c r="D530" i="2"/>
  <c r="D529" s="1"/>
  <c r="H381"/>
  <c r="F181"/>
  <c r="G181"/>
  <c r="D453"/>
  <c r="D448" s="1"/>
  <c r="H425"/>
  <c r="H424" s="1"/>
  <c r="I429"/>
  <c r="F342"/>
  <c r="L148" i="1"/>
  <c r="K30" i="2"/>
  <c r="K29" s="1"/>
  <c r="K27"/>
  <c r="H39" i="1" s="1"/>
  <c r="H143" s="1"/>
  <c r="H205" s="1"/>
  <c r="K19" i="2"/>
  <c r="H29" i="1" s="1"/>
  <c r="H128" s="1"/>
  <c r="H189" s="1"/>
  <c r="K470" i="2"/>
  <c r="K467" s="1"/>
  <c r="I42" i="10" s="1"/>
  <c r="L468" i="2"/>
  <c r="L13"/>
  <c r="I18" i="1" s="1"/>
  <c r="K26" i="2"/>
  <c r="K433"/>
  <c r="K432" s="1"/>
  <c r="L24"/>
  <c r="I34" i="1" s="1"/>
  <c r="L433" i="2"/>
  <c r="L14"/>
  <c r="I19" i="1" s="1"/>
  <c r="L425" i="2"/>
  <c r="L424" s="1"/>
  <c r="D284"/>
  <c r="D283" s="1"/>
  <c r="D377"/>
  <c r="I381"/>
  <c r="G385"/>
  <c r="F385"/>
  <c r="H385"/>
  <c r="G390"/>
  <c r="F169"/>
  <c r="D170"/>
  <c r="D72"/>
  <c r="J425"/>
  <c r="F301"/>
  <c r="F193"/>
  <c r="N560"/>
  <c r="N559" s="1"/>
  <c r="J476"/>
  <c r="N458"/>
  <c r="F337"/>
  <c r="F346"/>
  <c r="G235"/>
  <c r="D161"/>
  <c r="F157"/>
  <c r="F199"/>
  <c r="N181"/>
  <c r="N367"/>
  <c r="D211"/>
  <c r="F211"/>
  <c r="F217"/>
  <c r="F223"/>
  <c r="G241"/>
  <c r="F235"/>
  <c r="D154"/>
  <c r="D151" s="1"/>
  <c r="E477"/>
  <c r="E476" s="1"/>
  <c r="E469"/>
  <c r="D166"/>
  <c r="D163" s="1"/>
  <c r="D178"/>
  <c r="D175" s="1"/>
  <c r="F121"/>
  <c r="D364"/>
  <c r="D363" s="1"/>
  <c r="N564"/>
  <c r="N563" s="1"/>
  <c r="H308"/>
  <c r="D182"/>
  <c r="D181" s="1"/>
  <c r="D235"/>
  <c r="E58"/>
  <c r="D199"/>
  <c r="D69"/>
  <c r="E69"/>
  <c r="D99"/>
  <c r="E99"/>
  <c r="D122"/>
  <c r="D149"/>
  <c r="D146"/>
  <c r="F151"/>
  <c r="F137"/>
  <c r="F271"/>
  <c r="D545"/>
  <c r="D544" s="1"/>
  <c r="G467"/>
  <c r="E42" i="10" s="1"/>
  <c r="O42" s="1"/>
  <c r="N146" i="2"/>
  <c r="N145" s="1"/>
  <c r="F358"/>
  <c r="F367"/>
  <c r="F372"/>
  <c r="F376"/>
  <c r="F187"/>
  <c r="G223"/>
  <c r="G229"/>
  <c r="P476"/>
  <c r="D125"/>
  <c r="D437"/>
  <c r="D436" s="1"/>
  <c r="D432" s="1"/>
  <c r="D107"/>
  <c r="D86"/>
  <c r="D30"/>
  <c r="I28" i="1"/>
  <c r="I131" s="1"/>
  <c r="I193" s="1"/>
  <c r="F486" i="2"/>
  <c r="H467"/>
  <c r="F42" i="10" s="1"/>
  <c r="D373" i="2"/>
  <c r="D372" s="1"/>
  <c r="D190"/>
  <c r="D187" s="1"/>
  <c r="D197"/>
  <c r="D193" s="1"/>
  <c r="D271"/>
  <c r="G486"/>
  <c r="D60" i="1" s="1"/>
  <c r="F265" i="2"/>
  <c r="D115"/>
  <c r="M41"/>
  <c r="N217"/>
  <c r="D223"/>
  <c r="D230"/>
  <c r="D229" s="1"/>
  <c r="N241"/>
  <c r="D406"/>
  <c r="N205"/>
  <c r="G205"/>
  <c r="G217"/>
  <c r="D242"/>
  <c r="D241" s="1"/>
  <c r="F295"/>
  <c r="F126" i="1"/>
  <c r="F187" s="1"/>
  <c r="B40"/>
  <c r="D461" i="2"/>
  <c r="D458" s="1"/>
  <c r="D430"/>
  <c r="G23"/>
  <c r="D146" i="1"/>
  <c r="D208" s="1"/>
  <c r="D96" i="2"/>
  <c r="C28" i="1"/>
  <c r="N21" i="2"/>
  <c r="D266"/>
  <c r="D265" s="1"/>
  <c r="D340"/>
  <c r="D343"/>
  <c r="D342" s="1"/>
  <c r="D601"/>
  <c r="D600" s="1"/>
  <c r="I467"/>
  <c r="G42" i="10" s="1"/>
  <c r="H485" i="2"/>
  <c r="E431"/>
  <c r="M431" s="1"/>
  <c r="D105"/>
  <c r="I424"/>
  <c r="D502"/>
  <c r="D501" s="1"/>
  <c r="E46" i="1"/>
  <c r="D391" i="2"/>
  <c r="D390" s="1"/>
  <c r="L29"/>
  <c r="J424"/>
  <c r="H26"/>
  <c r="H23" s="1"/>
  <c r="D361"/>
  <c r="D379"/>
  <c r="D158"/>
  <c r="D157" s="1"/>
  <c r="F80" i="1"/>
  <c r="F140" s="1"/>
  <c r="F202" s="1"/>
  <c r="D247" i="2"/>
  <c r="E80" i="1"/>
  <c r="E140" s="1"/>
  <c r="E202" s="1"/>
  <c r="D206" i="2"/>
  <c r="D205" s="1"/>
  <c r="H568"/>
  <c r="H567" s="1"/>
  <c r="H640" s="1"/>
  <c r="H301"/>
  <c r="D290"/>
  <c r="N229"/>
  <c r="F241"/>
  <c r="I20"/>
  <c r="G20"/>
  <c r="I19"/>
  <c r="I18" s="1"/>
  <c r="D217"/>
  <c r="G247"/>
  <c r="K13"/>
  <c r="I13"/>
  <c r="I12" s="1"/>
  <c r="H19"/>
  <c r="H18" s="1"/>
  <c r="G45" i="1"/>
  <c r="G145" s="1"/>
  <c r="G207" s="1"/>
  <c r="F138"/>
  <c r="F200" s="1"/>
  <c r="C138"/>
  <c r="C200" s="1"/>
  <c r="E126"/>
  <c r="E187" s="1"/>
  <c r="I23" i="2"/>
  <c r="K425"/>
  <c r="K424" s="1"/>
  <c r="D138" i="1"/>
  <c r="D200" s="1"/>
  <c r="H16" i="2"/>
  <c r="C60" i="1"/>
  <c r="D293" i="2"/>
  <c r="K20"/>
  <c r="J32"/>
  <c r="F289"/>
  <c r="L16"/>
  <c r="J16"/>
  <c r="J26"/>
  <c r="F26"/>
  <c r="N289"/>
  <c r="I308"/>
  <c r="D40"/>
  <c r="D16" s="1"/>
  <c r="D302"/>
  <c r="D301" s="1"/>
  <c r="F16"/>
  <c r="C22" i="1" s="1"/>
  <c r="N40" i="2"/>
  <c r="D309"/>
  <c r="D308" s="1"/>
  <c r="I301"/>
  <c r="H138" i="1"/>
  <c r="H200" s="1"/>
  <c r="I126"/>
  <c r="I187" s="1"/>
  <c r="I138"/>
  <c r="I200" s="1"/>
  <c r="G138"/>
  <c r="G200" s="1"/>
  <c r="H126"/>
  <c r="H187" s="1"/>
  <c r="G76"/>
  <c r="G75" s="1"/>
  <c r="G86" s="1"/>
  <c r="D49" i="4"/>
  <c r="D48" s="1"/>
  <c r="N14"/>
  <c r="N13" s="1"/>
  <c r="N11" i="9"/>
  <c r="F50" i="3"/>
  <c r="N92" i="9"/>
  <c r="G92"/>
  <c r="F92"/>
  <c r="H105"/>
  <c r="G105"/>
  <c r="L101"/>
  <c r="K101"/>
  <c r="J101"/>
  <c r="I101"/>
  <c r="H101"/>
  <c r="G101"/>
  <c r="F101"/>
  <c r="I110"/>
  <c r="H110"/>
  <c r="G110"/>
  <c r="F110"/>
  <c r="L110"/>
  <c r="K110"/>
  <c r="J110"/>
  <c r="K67"/>
  <c r="G31"/>
  <c r="G76"/>
  <c r="H67"/>
  <c r="F25" i="1"/>
  <c r="J105" i="6"/>
  <c r="K95"/>
  <c r="L290"/>
  <c r="L301" s="1"/>
  <c r="I290"/>
  <c r="H290"/>
  <c r="H301" s="1"/>
  <c r="F290"/>
  <c r="F287"/>
  <c r="K287"/>
  <c r="J290"/>
  <c r="J301" s="1"/>
  <c r="G290"/>
  <c r="K290"/>
  <c r="K301" s="1"/>
  <c r="D189"/>
  <c r="K21"/>
  <c r="I21"/>
  <c r="G21"/>
  <c r="G119"/>
  <c r="G118" s="1"/>
  <c r="I119"/>
  <c r="I118" s="1"/>
  <c r="D91"/>
  <c r="D88" s="1"/>
  <c r="G88"/>
  <c r="E51" i="1"/>
  <c r="G124"/>
  <c r="G186" s="1"/>
  <c r="F137"/>
  <c r="B34"/>
  <c r="G395" i="2"/>
  <c r="H395"/>
  <c r="J316"/>
  <c r="J315" s="1"/>
  <c r="H28" i="10" s="1"/>
  <c r="J13" i="2"/>
  <c r="F395"/>
  <c r="L11" i="3"/>
  <c r="E137" i="1"/>
  <c r="F97" i="3"/>
  <c r="D97"/>
  <c r="N85"/>
  <c r="D106" i="6" l="1"/>
  <c r="I301"/>
  <c r="K13"/>
  <c r="I287"/>
  <c r="G287"/>
  <c r="M144"/>
  <c r="I38" i="1"/>
  <c r="I139" s="1"/>
  <c r="I201" s="1"/>
  <c r="K18" i="10"/>
  <c r="M125" i="6"/>
  <c r="I25" i="10"/>
  <c r="H44" i="3"/>
  <c r="I94" i="6"/>
  <c r="D102"/>
  <c r="D202"/>
  <c r="E20" i="10"/>
  <c r="I11" i="6"/>
  <c r="N189"/>
  <c r="N186" s="1"/>
  <c r="F301"/>
  <c r="D277"/>
  <c r="K119"/>
  <c r="F288"/>
  <c r="J95"/>
  <c r="J94" s="1"/>
  <c r="I151"/>
  <c r="I25" s="1"/>
  <c r="D190"/>
  <c r="M190" s="1"/>
  <c r="D22" i="1"/>
  <c r="D127" s="1"/>
  <c r="D188" s="1"/>
  <c r="J287" i="6"/>
  <c r="M106"/>
  <c r="K94"/>
  <c r="M202"/>
  <c r="G14"/>
  <c r="G13" s="1"/>
  <c r="M96"/>
  <c r="M95" s="1"/>
  <c r="G10" i="2"/>
  <c r="F10"/>
  <c r="D24" i="1"/>
  <c r="L24" s="1"/>
  <c r="L129" s="1"/>
  <c r="G21"/>
  <c r="L21" s="1"/>
  <c r="M490" i="2"/>
  <c r="G643"/>
  <c r="K41" i="10"/>
  <c r="H176" i="3"/>
  <c r="M44"/>
  <c r="K8"/>
  <c r="L8"/>
  <c r="N44"/>
  <c r="D45"/>
  <c r="J176"/>
  <c r="L176"/>
  <c r="K60" i="1"/>
  <c r="M243" i="6"/>
  <c r="M242" s="1"/>
  <c r="M241" s="1"/>
  <c r="K176" i="3"/>
  <c r="M15"/>
  <c r="M14" s="1"/>
  <c r="M32"/>
  <c r="N17" i="13"/>
  <c r="N62"/>
  <c r="N61" s="1"/>
  <c r="N56"/>
  <c r="G44" i="3"/>
  <c r="M19" i="10"/>
  <c r="M17"/>
  <c r="L40"/>
  <c r="F197" i="6"/>
  <c r="F142"/>
  <c r="M124"/>
  <c r="M119" s="1"/>
  <c r="M118" s="1"/>
  <c r="I98" i="1"/>
  <c r="I92" s="1"/>
  <c r="J25" i="10"/>
  <c r="I254" i="9"/>
  <c r="I255" s="1"/>
  <c r="G95" i="6"/>
  <c r="D96"/>
  <c r="D14" s="1"/>
  <c r="I122" i="1"/>
  <c r="I184" s="1"/>
  <c r="E102"/>
  <c r="H642" i="2"/>
  <c r="H643" s="1"/>
  <c r="D139" i="6"/>
  <c r="F11" i="8"/>
  <c r="D23"/>
  <c r="D51"/>
  <c r="D50" s="1"/>
  <c r="D115" s="1"/>
  <c r="D31"/>
  <c r="P31" s="1"/>
  <c r="D41"/>
  <c r="D38"/>
  <c r="D116" s="1"/>
  <c r="F21"/>
  <c r="F31" i="2"/>
  <c r="C45" i="1" s="1"/>
  <c r="C145" s="1"/>
  <c r="C207" s="1"/>
  <c r="M401" i="2"/>
  <c r="M400" s="1"/>
  <c r="M394" s="1"/>
  <c r="H25" i="10"/>
  <c r="M105" i="6"/>
  <c r="K14" i="10"/>
  <c r="K10" i="6"/>
  <c r="K11" i="7"/>
  <c r="H64" i="1"/>
  <c r="H63" s="1"/>
  <c r="H85" s="1"/>
  <c r="N13" i="7"/>
  <c r="M11"/>
  <c r="M10" s="1"/>
  <c r="M43"/>
  <c r="M42" s="1"/>
  <c r="N9"/>
  <c r="N7" s="1"/>
  <c r="K12" i="6"/>
  <c r="B19" i="1"/>
  <c r="B124" s="1"/>
  <c r="B186" s="1"/>
  <c r="N14" i="2"/>
  <c r="I59" i="1"/>
  <c r="I76"/>
  <c r="I75" s="1"/>
  <c r="I86" s="1"/>
  <c r="I100" s="1"/>
  <c r="I64"/>
  <c r="I63" s="1"/>
  <c r="I85" s="1"/>
  <c r="D33"/>
  <c r="K33" i="10"/>
  <c r="K29"/>
  <c r="K31"/>
  <c r="F489" i="2"/>
  <c r="F488" s="1"/>
  <c r="D15" i="6"/>
  <c r="I7" i="9"/>
  <c r="H7"/>
  <c r="H76" i="1"/>
  <c r="H75" s="1"/>
  <c r="H86" s="1"/>
  <c r="H100" s="1"/>
  <c r="B125"/>
  <c r="B191" s="1"/>
  <c r="J141"/>
  <c r="J203" s="1"/>
  <c r="K66"/>
  <c r="K125"/>
  <c r="L125"/>
  <c r="K61"/>
  <c r="M81"/>
  <c r="K21"/>
  <c r="K126" s="1"/>
  <c r="D45" i="8"/>
  <c r="J13" i="10"/>
  <c r="L8" i="8"/>
  <c r="D13" i="10"/>
  <c r="F13"/>
  <c r="H8" i="8"/>
  <c r="D48"/>
  <c r="D44" s="1"/>
  <c r="D9" s="1"/>
  <c r="K40" i="10"/>
  <c r="M489" i="2"/>
  <c r="M488" s="1"/>
  <c r="F238" i="6"/>
  <c r="M239"/>
  <c r="M238" s="1"/>
  <c r="F10" i="5"/>
  <c r="M13"/>
  <c r="F14" i="13"/>
  <c r="M56"/>
  <c r="M55" s="1"/>
  <c r="F17"/>
  <c r="M17" s="1"/>
  <c r="M15" s="1"/>
  <c r="M62"/>
  <c r="M61" s="1"/>
  <c r="I222" i="9"/>
  <c r="M224"/>
  <c r="M222" s="1"/>
  <c r="M10"/>
  <c r="M45" i="8"/>
  <c r="F33"/>
  <c r="M48"/>
  <c r="D36"/>
  <c r="M44" i="1"/>
  <c r="G59"/>
  <c r="I118" i="8"/>
  <c r="M36"/>
  <c r="M33" s="1"/>
  <c r="M16" i="6"/>
  <c r="P16" s="1"/>
  <c r="D186"/>
  <c r="M189"/>
  <c r="M186" s="1"/>
  <c r="M297"/>
  <c r="F19"/>
  <c r="M146"/>
  <c r="M31" i="3"/>
  <c r="M25"/>
  <c r="L467" i="2"/>
  <c r="J42" i="10" s="1"/>
  <c r="L42" s="1"/>
  <c r="M317" i="2"/>
  <c r="M316" s="1"/>
  <c r="N10"/>
  <c r="E468"/>
  <c r="E467" s="1"/>
  <c r="C42" i="10" s="1"/>
  <c r="M469" i="2"/>
  <c r="M468" s="1"/>
  <c r="M467" s="1"/>
  <c r="M16"/>
  <c r="M429"/>
  <c r="M36"/>
  <c r="M35" s="1"/>
  <c r="C24" i="1"/>
  <c r="C129" s="1"/>
  <c r="C190" s="1"/>
  <c r="M17" i="2"/>
  <c r="N20"/>
  <c r="N15"/>
  <c r="G18"/>
  <c r="N19"/>
  <c r="K18"/>
  <c r="L23"/>
  <c r="L22" s="1"/>
  <c r="L634" s="1"/>
  <c r="L635" s="1"/>
  <c r="L636" s="1"/>
  <c r="D289"/>
  <c r="L60" i="1"/>
  <c r="L432" i="2"/>
  <c r="N320"/>
  <c r="G319"/>
  <c r="L68" i="1"/>
  <c r="L123" s="1"/>
  <c r="L126"/>
  <c r="G489" i="2"/>
  <c r="G488" s="1"/>
  <c r="N490"/>
  <c r="N489" s="1"/>
  <c r="N488" s="1"/>
  <c r="G201" i="6"/>
  <c r="G197" s="1"/>
  <c r="G11" s="1"/>
  <c r="N202"/>
  <c r="N106"/>
  <c r="N105" s="1"/>
  <c r="N96"/>
  <c r="N95" s="1"/>
  <c r="G299"/>
  <c r="N144"/>
  <c r="D25" i="1"/>
  <c r="F10" i="6"/>
  <c r="I14"/>
  <c r="N14" s="1"/>
  <c r="J120"/>
  <c r="J17"/>
  <c r="G25" i="1" s="1"/>
  <c r="L120" i="6"/>
  <c r="L119" s="1"/>
  <c r="L17"/>
  <c r="H120"/>
  <c r="H119" s="1"/>
  <c r="H17"/>
  <c r="E25" i="1" s="1"/>
  <c r="G105" i="6"/>
  <c r="N10" i="4"/>
  <c r="D50" i="3"/>
  <c r="N15"/>
  <c r="N32"/>
  <c r="F14"/>
  <c r="G11"/>
  <c r="N11"/>
  <c r="D21"/>
  <c r="N14"/>
  <c r="N486" i="2"/>
  <c r="N485" s="1"/>
  <c r="L61" i="1"/>
  <c r="K43" i="10"/>
  <c r="H18" i="1"/>
  <c r="H122" s="1"/>
  <c r="K10" i="3"/>
  <c r="H59" i="1"/>
  <c r="P17" i="10"/>
  <c r="N124" i="6"/>
  <c r="N119" s="1"/>
  <c r="N118" s="1"/>
  <c r="O27" i="1"/>
  <c r="L118" i="8"/>
  <c r="O30" i="1"/>
  <c r="E52"/>
  <c r="G118" i="8"/>
  <c r="F118"/>
  <c r="F15" i="13"/>
  <c r="N15"/>
  <c r="G14"/>
  <c r="N14" s="1"/>
  <c r="D56"/>
  <c r="D14" s="1"/>
  <c r="D62"/>
  <c r="D17" s="1"/>
  <c r="D37" i="10"/>
  <c r="D26" s="1"/>
  <c r="F37"/>
  <c r="H37"/>
  <c r="J37"/>
  <c r="J26" s="1"/>
  <c r="E36"/>
  <c r="F36"/>
  <c r="E37"/>
  <c r="G37"/>
  <c r="I37"/>
  <c r="I26" s="1"/>
  <c r="D36"/>
  <c r="P30" i="8"/>
  <c r="P24"/>
  <c r="D34"/>
  <c r="D33" s="1"/>
  <c r="D10" s="1"/>
  <c r="N45"/>
  <c r="N44" s="1"/>
  <c r="D22"/>
  <c r="N36"/>
  <c r="N33" s="1"/>
  <c r="H118"/>
  <c r="J66" i="1"/>
  <c r="N66"/>
  <c r="D12" i="8"/>
  <c r="F120" i="6"/>
  <c r="F119" s="1"/>
  <c r="D121"/>
  <c r="J125" i="1"/>
  <c r="M125" s="1"/>
  <c r="F220" i="6"/>
  <c r="F268" s="1"/>
  <c r="D19" i="10"/>
  <c r="J34" i="1"/>
  <c r="F59"/>
  <c r="F106" s="1"/>
  <c r="D125" i="6"/>
  <c r="O71" i="1"/>
  <c r="G101"/>
  <c r="G100" s="1"/>
  <c r="J74"/>
  <c r="N74"/>
  <c r="I31" i="3"/>
  <c r="E23" i="10"/>
  <c r="O23" s="1"/>
  <c r="D32" i="3"/>
  <c r="D15" s="1"/>
  <c r="D24" i="10"/>
  <c r="K24" s="1"/>
  <c r="H14" i="3"/>
  <c r="H10" s="1"/>
  <c r="E29" i="1"/>
  <c r="E128" s="1"/>
  <c r="F25" i="3"/>
  <c r="D26"/>
  <c r="F61"/>
  <c r="F320" i="2"/>
  <c r="M320" s="1"/>
  <c r="M319" s="1"/>
  <c r="D401"/>
  <c r="E21"/>
  <c r="B144" i="1"/>
  <c r="B206" s="1"/>
  <c r="J40"/>
  <c r="J144" s="1"/>
  <c r="J206" s="1"/>
  <c r="E30" i="2"/>
  <c r="E29" s="1"/>
  <c r="E20"/>
  <c r="E18" s="1"/>
  <c r="N67" i="1"/>
  <c r="O67" s="1"/>
  <c r="E27" i="2"/>
  <c r="B39" i="1" s="1"/>
  <c r="J39" s="1"/>
  <c r="J70"/>
  <c r="D174" i="6"/>
  <c r="D103" i="3"/>
  <c r="D145" i="2"/>
  <c r="B83" i="1"/>
  <c r="J83" s="1"/>
  <c r="D30" i="7"/>
  <c r="D29" s="1"/>
  <c r="D15"/>
  <c r="K10"/>
  <c r="N11"/>
  <c r="N10" s="1"/>
  <c r="D21"/>
  <c r="D51"/>
  <c r="D48" s="1"/>
  <c r="D25"/>
  <c r="D24" s="1"/>
  <c r="R10" s="1"/>
  <c r="N36" i="2"/>
  <c r="K12"/>
  <c r="I33" i="1"/>
  <c r="I8" i="2"/>
  <c r="D48"/>
  <c r="D376"/>
  <c r="D25"/>
  <c r="I29"/>
  <c r="I22" s="1"/>
  <c r="I634" s="1"/>
  <c r="L18"/>
  <c r="E72"/>
  <c r="E68" s="1"/>
  <c r="D119"/>
  <c r="D114" s="1"/>
  <c r="E61"/>
  <c r="D62"/>
  <c r="N425"/>
  <c r="N424" s="1"/>
  <c r="H38" i="1"/>
  <c r="H139" s="1"/>
  <c r="H201" s="1"/>
  <c r="B22"/>
  <c r="C38"/>
  <c r="C33" s="1"/>
  <c r="P37" i="6"/>
  <c r="D36"/>
  <c r="D35" s="1"/>
  <c r="O72" i="1"/>
  <c r="H150" i="6"/>
  <c r="H147" s="1"/>
  <c r="F8" i="10" s="1"/>
  <c r="D193" i="6"/>
  <c r="D192" s="1"/>
  <c r="D220"/>
  <c r="D214"/>
  <c r="D213" s="1"/>
  <c r="G143"/>
  <c r="G19" s="1"/>
  <c r="H21"/>
  <c r="H20" s="1"/>
  <c r="E38" i="1"/>
  <c r="J21" i="6"/>
  <c r="G38" i="1"/>
  <c r="G139" s="1"/>
  <c r="G201" s="1"/>
  <c r="H22"/>
  <c r="H127" s="1"/>
  <c r="H188" s="1"/>
  <c r="G485" i="2"/>
  <c r="D522"/>
  <c r="D521" s="1"/>
  <c r="G22" i="1"/>
  <c r="G127" s="1"/>
  <c r="G188" s="1"/>
  <c r="I22"/>
  <c r="I127" s="1"/>
  <c r="I188" s="1"/>
  <c r="E22"/>
  <c r="E127" s="1"/>
  <c r="E188" s="1"/>
  <c r="D15" i="9"/>
  <c r="D63"/>
  <c r="D62" s="1"/>
  <c r="H31" i="1"/>
  <c r="H132" s="1"/>
  <c r="H194" s="1"/>
  <c r="D35" i="9"/>
  <c r="D209" i="6"/>
  <c r="L94"/>
  <c r="N222" i="9"/>
  <c r="D54"/>
  <c r="D53" s="1"/>
  <c r="J222"/>
  <c r="G35"/>
  <c r="N35"/>
  <c r="F62"/>
  <c r="E254"/>
  <c r="E255" s="1"/>
  <c r="E232" s="1"/>
  <c r="D22"/>
  <c r="D18" s="1"/>
  <c r="D255" s="1"/>
  <c r="G71"/>
  <c r="F26"/>
  <c r="N15"/>
  <c r="N10" s="1"/>
  <c r="K254"/>
  <c r="K255" s="1"/>
  <c r="J254"/>
  <c r="J255" s="1"/>
  <c r="E75" i="2"/>
  <c r="E74" s="1"/>
  <c r="E9"/>
  <c r="M36" i="1"/>
  <c r="H31" i="2"/>
  <c r="G31"/>
  <c r="J9"/>
  <c r="J8" s="1"/>
  <c r="C59" i="1"/>
  <c r="O20"/>
  <c r="E76"/>
  <c r="E75" s="1"/>
  <c r="E86" s="1"/>
  <c r="K23" i="2"/>
  <c r="K22" s="1"/>
  <c r="F76" i="1"/>
  <c r="F75" s="1"/>
  <c r="F86" s="1"/>
  <c r="F100" s="1"/>
  <c r="I485" i="2"/>
  <c r="H61" i="13"/>
  <c r="N190" i="6"/>
  <c r="G301"/>
  <c r="I143"/>
  <c r="I19" s="1"/>
  <c r="D299"/>
  <c r="B73" i="1"/>
  <c r="N73" s="1"/>
  <c r="G104" i="13"/>
  <c r="G106" s="1"/>
  <c r="G107" s="1"/>
  <c r="G88" s="1"/>
  <c r="N34"/>
  <c r="H55"/>
  <c r="G54"/>
  <c r="E30" i="10" s="1"/>
  <c r="N55" i="13"/>
  <c r="F54"/>
  <c r="D30" i="10" s="1"/>
  <c r="I11" i="13"/>
  <c r="D61"/>
  <c r="F12"/>
  <c r="N12"/>
  <c r="I54"/>
  <c r="G30" i="10" s="1"/>
  <c r="I137" i="1"/>
  <c r="I199" s="1"/>
  <c r="D124" i="6"/>
  <c r="D280" s="1"/>
  <c r="D86"/>
  <c r="D83" s="1"/>
  <c r="D73"/>
  <c r="D72" s="1"/>
  <c r="E239"/>
  <c r="E238" s="1"/>
  <c r="N297"/>
  <c r="D194"/>
  <c r="D296"/>
  <c r="M296" s="1"/>
  <c r="G208"/>
  <c r="G151"/>
  <c r="C101" i="1"/>
  <c r="D382" i="2"/>
  <c r="D381" s="1"/>
  <c r="D492"/>
  <c r="H489"/>
  <c r="H488" s="1"/>
  <c r="E65" i="1"/>
  <c r="E64" s="1"/>
  <c r="E63" s="1"/>
  <c r="E85" s="1"/>
  <c r="B43"/>
  <c r="D29"/>
  <c r="D170" i="6"/>
  <c r="L150"/>
  <c r="H142"/>
  <c r="H138" s="1"/>
  <c r="J142"/>
  <c r="J18"/>
  <c r="L142"/>
  <c r="E268"/>
  <c r="I150"/>
  <c r="K150"/>
  <c r="F150"/>
  <c r="D181"/>
  <c r="D178" s="1"/>
  <c r="D146" s="1"/>
  <c r="K138"/>
  <c r="F24" i="3"/>
  <c r="G14"/>
  <c r="D31"/>
  <c r="H24"/>
  <c r="H8" s="1"/>
  <c r="N25"/>
  <c r="J87" i="13"/>
  <c r="J86" s="1"/>
  <c r="G65" i="1"/>
  <c r="G64" s="1"/>
  <c r="G63" s="1"/>
  <c r="G85" s="1"/>
  <c r="I87" i="13"/>
  <c r="I86" s="1"/>
  <c r="I14" i="3"/>
  <c r="I10" s="1"/>
  <c r="F29" i="1"/>
  <c r="F128" s="1"/>
  <c r="L178" i="3"/>
  <c r="L179" s="1"/>
  <c r="H35" i="10"/>
  <c r="F54" i="3"/>
  <c r="F35" i="10"/>
  <c r="F26" s="1"/>
  <c r="F11" i="3"/>
  <c r="N31"/>
  <c r="D65"/>
  <c r="D61" s="1"/>
  <c r="I37"/>
  <c r="I176" s="1"/>
  <c r="G37"/>
  <c r="G176" s="1"/>
  <c r="J24" i="6"/>
  <c r="J150"/>
  <c r="I51" i="1"/>
  <c r="I46"/>
  <c r="L24" i="6"/>
  <c r="L20" s="1"/>
  <c r="E59" i="1"/>
  <c r="L7" i="3"/>
  <c r="D14"/>
  <c r="L10"/>
  <c r="J10"/>
  <c r="D134" i="2"/>
  <c r="D129" s="1"/>
  <c r="P136"/>
  <c r="D80" i="9"/>
  <c r="J119" i="6"/>
  <c r="N242"/>
  <c r="N241" s="1"/>
  <c r="F242"/>
  <c r="F241" s="1"/>
  <c r="E147" i="1"/>
  <c r="E209" s="1"/>
  <c r="D94" i="3"/>
  <c r="D91" s="1"/>
  <c r="G24"/>
  <c r="D57"/>
  <c r="D54" s="1"/>
  <c r="F291" i="6"/>
  <c r="F302" s="1"/>
  <c r="H94"/>
  <c r="O70" i="1"/>
  <c r="P467" i="2"/>
  <c r="D61"/>
  <c r="B45" i="1"/>
  <c r="D93" i="2"/>
  <c r="D92" s="1"/>
  <c r="E93"/>
  <c r="E92" s="1"/>
  <c r="G29" i="1"/>
  <c r="G128" s="1"/>
  <c r="G189" s="1"/>
  <c r="J18" i="2"/>
  <c r="D560"/>
  <c r="D559" s="1"/>
  <c r="D486" s="1"/>
  <c r="E81"/>
  <c r="E436"/>
  <c r="D173"/>
  <c r="D169" s="1"/>
  <c r="D388"/>
  <c r="J102" i="1"/>
  <c r="D350" i="2"/>
  <c r="E426"/>
  <c r="M426" s="1"/>
  <c r="M425" s="1"/>
  <c r="M424" s="1"/>
  <c r="E441"/>
  <c r="B24" i="1"/>
  <c r="D338" i="2"/>
  <c r="D337" s="1"/>
  <c r="E55"/>
  <c r="P424"/>
  <c r="D469"/>
  <c r="D468" s="1"/>
  <c r="D467" s="1"/>
  <c r="D477"/>
  <c r="D476" s="1"/>
  <c r="F33" i="1"/>
  <c r="I11" i="2"/>
  <c r="F485"/>
  <c r="D59" i="1"/>
  <c r="D359" i="2"/>
  <c r="D358" s="1"/>
  <c r="E101"/>
  <c r="E98" s="1"/>
  <c r="D104"/>
  <c r="D68"/>
  <c r="D121"/>
  <c r="D386"/>
  <c r="D368"/>
  <c r="D367" s="1"/>
  <c r="N41"/>
  <c r="F20"/>
  <c r="M20" s="1"/>
  <c r="D84"/>
  <c r="E84"/>
  <c r="F19"/>
  <c r="M19" s="1"/>
  <c r="N319"/>
  <c r="F319"/>
  <c r="E429"/>
  <c r="D129" i="1"/>
  <c r="D190" s="1"/>
  <c r="F400" i="2"/>
  <c r="N400"/>
  <c r="N394" s="1"/>
  <c r="E101" i="1"/>
  <c r="D431" i="2"/>
  <c r="D21" s="1"/>
  <c r="D445"/>
  <c r="B29" i="1"/>
  <c r="C131"/>
  <c r="C193" s="1"/>
  <c r="L28"/>
  <c r="L131" s="1"/>
  <c r="L12" i="2"/>
  <c r="J29"/>
  <c r="G51" i="1"/>
  <c r="G46"/>
  <c r="F23" i="2"/>
  <c r="J23"/>
  <c r="N16"/>
  <c r="D26"/>
  <c r="B77" i="1"/>
  <c r="D39" i="4"/>
  <c r="D24"/>
  <c r="D38"/>
  <c r="B69" i="1"/>
  <c r="N69" s="1"/>
  <c r="J68"/>
  <c r="F44" i="3"/>
  <c r="I291" i="6"/>
  <c r="I302" s="1"/>
  <c r="E287"/>
  <c r="C137" i="1"/>
  <c r="G137"/>
  <c r="D137"/>
  <c r="H137"/>
  <c r="N316" i="2"/>
  <c r="F316"/>
  <c r="F13"/>
  <c r="H316"/>
  <c r="H315" s="1"/>
  <c r="H13"/>
  <c r="E18" i="1" s="1"/>
  <c r="G316" i="2"/>
  <c r="G13"/>
  <c r="J12"/>
  <c r="H394"/>
  <c r="G394"/>
  <c r="I124" i="1"/>
  <c r="E199"/>
  <c r="F199"/>
  <c r="G142" i="6" l="1"/>
  <c r="H26" i="10"/>
  <c r="L254" i="9"/>
  <c r="L255" s="1"/>
  <c r="H98" i="1"/>
  <c r="H92" s="1"/>
  <c r="H10" i="6"/>
  <c r="H93"/>
  <c r="L10"/>
  <c r="L93"/>
  <c r="J11"/>
  <c r="J118"/>
  <c r="F11"/>
  <c r="F9" s="1"/>
  <c r="F118"/>
  <c r="H11"/>
  <c r="H118"/>
  <c r="L11"/>
  <c r="I14" i="1" s="1"/>
  <c r="L118" i="6"/>
  <c r="K291"/>
  <c r="K302" s="1"/>
  <c r="K93"/>
  <c r="J10"/>
  <c r="J93"/>
  <c r="K11"/>
  <c r="H14" i="1" s="1"/>
  <c r="K118" i="6"/>
  <c r="I10"/>
  <c r="I93"/>
  <c r="J20"/>
  <c r="I7" i="10"/>
  <c r="F138" i="6"/>
  <c r="D7" i="10" s="1"/>
  <c r="F7"/>
  <c r="J13" i="6"/>
  <c r="J12" s="1"/>
  <c r="J24" i="1"/>
  <c r="G126"/>
  <c r="G187" s="1"/>
  <c r="B143"/>
  <c r="B205" s="1"/>
  <c r="D44" i="3"/>
  <c r="J8"/>
  <c r="J7" s="1"/>
  <c r="D290" i="6"/>
  <c r="M290" s="1"/>
  <c r="G8" i="3"/>
  <c r="G7" s="1"/>
  <c r="F176"/>
  <c r="F178" s="1"/>
  <c r="F179" s="1"/>
  <c r="D176"/>
  <c r="F8"/>
  <c r="M24"/>
  <c r="M8" s="1"/>
  <c r="M7" s="1"/>
  <c r="D23" i="4"/>
  <c r="M103" i="1"/>
  <c r="I24" i="3"/>
  <c r="I8" s="1"/>
  <c r="F29" i="2"/>
  <c r="F22" s="1"/>
  <c r="M13"/>
  <c r="M12" s="1"/>
  <c r="L22" i="1"/>
  <c r="L127" s="1"/>
  <c r="N54" i="13"/>
  <c r="D128" i="1"/>
  <c r="D189" s="1"/>
  <c r="L29"/>
  <c r="M12" i="3"/>
  <c r="M11" s="1"/>
  <c r="M10" s="1"/>
  <c r="M23" i="10"/>
  <c r="M201" i="6"/>
  <c r="G138"/>
  <c r="F18"/>
  <c r="M19"/>
  <c r="P19" s="1"/>
  <c r="M143"/>
  <c r="M142" s="1"/>
  <c r="M138" s="1"/>
  <c r="M14"/>
  <c r="P14" s="1"/>
  <c r="F18" i="1"/>
  <c r="F122" s="1"/>
  <c r="F184" s="1"/>
  <c r="H269" i="6"/>
  <c r="N201"/>
  <c r="N197" s="1"/>
  <c r="N11" s="1"/>
  <c r="D201"/>
  <c r="P23" i="8"/>
  <c r="P14"/>
  <c r="D117"/>
  <c r="M94" i="6"/>
  <c r="M13" i="10"/>
  <c r="G7" i="9"/>
  <c r="M9"/>
  <c r="F10" i="8"/>
  <c r="M10" s="1"/>
  <c r="D17" i="10"/>
  <c r="I106" i="1"/>
  <c r="H106"/>
  <c r="K68"/>
  <c r="K123" s="1"/>
  <c r="H123"/>
  <c r="H185" s="1"/>
  <c r="I13" i="6"/>
  <c r="G315" i="2"/>
  <c r="E28" i="10" s="1"/>
  <c r="K11" i="2"/>
  <c r="M42" i="10"/>
  <c r="K42"/>
  <c r="L36"/>
  <c r="D15" i="13"/>
  <c r="P23"/>
  <c r="K59" i="1"/>
  <c r="M10" i="2"/>
  <c r="K24" i="1"/>
  <c r="K129" s="1"/>
  <c r="M315" i="2"/>
  <c r="K19" i="10"/>
  <c r="L19"/>
  <c r="F7" i="9"/>
  <c r="M8"/>
  <c r="K22" i="1"/>
  <c r="K127" s="1"/>
  <c r="F8" i="8"/>
  <c r="M9"/>
  <c r="L13" i="10"/>
  <c r="K13"/>
  <c r="M11" i="5"/>
  <c r="M10" s="1"/>
  <c r="N11"/>
  <c r="N10" s="1"/>
  <c r="G87" i="13"/>
  <c r="G86" s="1"/>
  <c r="N88"/>
  <c r="M54"/>
  <c r="M14"/>
  <c r="M12" s="1"/>
  <c r="M11" s="1"/>
  <c r="C19" i="1"/>
  <c r="C124" s="1"/>
  <c r="C186" s="1"/>
  <c r="H17"/>
  <c r="M44" i="8"/>
  <c r="J191" i="1"/>
  <c r="G106"/>
  <c r="N299" i="6"/>
  <c r="M299"/>
  <c r="D197"/>
  <c r="M197"/>
  <c r="M11" s="1"/>
  <c r="P11" s="1"/>
  <c r="G10" i="3"/>
  <c r="N35" i="2"/>
  <c r="I45" i="10"/>
  <c r="B28" i="1"/>
  <c r="K28" s="1"/>
  <c r="K131" s="1"/>
  <c r="M21" i="2"/>
  <c r="M18" s="1"/>
  <c r="C18" i="1"/>
  <c r="C31"/>
  <c r="C132" s="1"/>
  <c r="C194" s="1"/>
  <c r="M36" i="10"/>
  <c r="O66" i="1"/>
  <c r="M40" i="10"/>
  <c r="F10" i="3"/>
  <c r="P488" i="2"/>
  <c r="D18" i="1"/>
  <c r="N13" i="2"/>
  <c r="P8" i="10"/>
  <c r="D151" i="6"/>
  <c r="D25" s="1"/>
  <c r="G25"/>
  <c r="N94"/>
  <c r="L13"/>
  <c r="I25" i="1"/>
  <c r="I17" s="1"/>
  <c r="N143" i="6"/>
  <c r="N142" s="1"/>
  <c r="N138" s="1"/>
  <c r="H13"/>
  <c r="G94"/>
  <c r="G18" i="1"/>
  <c r="G17" s="1"/>
  <c r="F34" i="10"/>
  <c r="D34"/>
  <c r="P32" i="3"/>
  <c r="N315" i="2"/>
  <c r="H13" i="1"/>
  <c r="N13" i="6"/>
  <c r="L11" i="2"/>
  <c r="N10" i="3"/>
  <c r="F11" i="13"/>
  <c r="K36" i="10"/>
  <c r="K37"/>
  <c r="I9" i="6"/>
  <c r="H26" i="1"/>
  <c r="D65"/>
  <c r="L65" s="1"/>
  <c r="D19"/>
  <c r="L19" s="1"/>
  <c r="G12" i="13"/>
  <c r="G11" s="1"/>
  <c r="D8" i="8"/>
  <c r="D28"/>
  <c r="D21" s="1"/>
  <c r="P21"/>
  <c r="P15"/>
  <c r="P25"/>
  <c r="P29"/>
  <c r="P16"/>
  <c r="D16"/>
  <c r="D11" s="1"/>
  <c r="D20" i="10"/>
  <c r="K20" s="1"/>
  <c r="K7" i="3"/>
  <c r="H7"/>
  <c r="D25"/>
  <c r="D24" s="1"/>
  <c r="D23" i="10"/>
  <c r="E13" i="2"/>
  <c r="E12" s="1"/>
  <c r="E11" s="1"/>
  <c r="F14" i="1"/>
  <c r="F90" s="1"/>
  <c r="B146"/>
  <c r="B208" s="1"/>
  <c r="J43"/>
  <c r="J146" s="1"/>
  <c r="J208" s="1"/>
  <c r="N28"/>
  <c r="N68"/>
  <c r="E23" i="2"/>
  <c r="E22" s="1"/>
  <c r="B137" i="1"/>
  <c r="B199" s="1"/>
  <c r="J77"/>
  <c r="M77" s="1"/>
  <c r="J69"/>
  <c r="B128"/>
  <c r="B189" s="1"/>
  <c r="J21"/>
  <c r="N21"/>
  <c r="B127"/>
  <c r="B188" s="1"/>
  <c r="J22"/>
  <c r="N24"/>
  <c r="J138" i="6"/>
  <c r="H7" i="10" s="1"/>
  <c r="N22" i="1"/>
  <c r="D143" i="6"/>
  <c r="D19" s="1"/>
  <c r="E104" i="13"/>
  <c r="E106" s="1"/>
  <c r="E107" s="1"/>
  <c r="D10" i="7"/>
  <c r="D288" i="6"/>
  <c r="J82" i="1"/>
  <c r="B82"/>
  <c r="G31"/>
  <c r="G132" s="1"/>
  <c r="G194" s="1"/>
  <c r="J11" i="2"/>
  <c r="H33" i="1"/>
  <c r="J22" i="2"/>
  <c r="J634" s="1"/>
  <c r="J635" s="1"/>
  <c r="J636" s="1"/>
  <c r="L59" i="1"/>
  <c r="D490" i="2"/>
  <c r="B38" i="1"/>
  <c r="J38" s="1"/>
  <c r="D31"/>
  <c r="G18" i="6"/>
  <c r="G12" s="1"/>
  <c r="D496" i="2"/>
  <c r="D495" s="1"/>
  <c r="D494" s="1"/>
  <c r="G13" i="1"/>
  <c r="G89" s="1"/>
  <c r="E100"/>
  <c r="F315" i="2"/>
  <c r="H254" i="9"/>
  <c r="H255" s="1"/>
  <c r="G254"/>
  <c r="G255" s="1"/>
  <c r="G232" s="1"/>
  <c r="G231" s="1"/>
  <c r="G230" s="1"/>
  <c r="J291" i="6"/>
  <c r="J302" s="1"/>
  <c r="G14" i="1"/>
  <c r="L291" i="6"/>
  <c r="L302" s="1"/>
  <c r="F254" i="9"/>
  <c r="F255" s="1"/>
  <c r="F232" s="1"/>
  <c r="D14" i="1"/>
  <c r="D27" i="9"/>
  <c r="D26" s="1"/>
  <c r="E14" i="1"/>
  <c r="E90" s="1"/>
  <c r="E231" i="9"/>
  <c r="E230" s="1"/>
  <c r="D75" i="2"/>
  <c r="D74" s="1"/>
  <c r="P39"/>
  <c r="F28" i="10"/>
  <c r="D429" i="2"/>
  <c r="D320"/>
  <c r="D31"/>
  <c r="G29"/>
  <c r="G22" s="1"/>
  <c r="D45" i="1"/>
  <c r="D145" s="1"/>
  <c r="D207" s="1"/>
  <c r="E32" i="10"/>
  <c r="G9" i="2"/>
  <c r="F32" i="10"/>
  <c r="H9" i="2"/>
  <c r="H8" s="1"/>
  <c r="F394"/>
  <c r="D317"/>
  <c r="D385"/>
  <c r="B61" i="1"/>
  <c r="N61" s="1"/>
  <c r="E45"/>
  <c r="H29" i="2"/>
  <c r="H22" s="1"/>
  <c r="H634" s="1"/>
  <c r="H635" s="1"/>
  <c r="H636" s="1"/>
  <c r="E54"/>
  <c r="D55"/>
  <c r="D54" s="1"/>
  <c r="D514"/>
  <c r="D513" s="1"/>
  <c r="H90" i="1"/>
  <c r="P62" i="13"/>
  <c r="E34" i="10"/>
  <c r="P194" i="6"/>
  <c r="I142"/>
  <c r="J73" i="1"/>
  <c r="O73" s="1"/>
  <c r="O74"/>
  <c r="E106"/>
  <c r="I9" i="13"/>
  <c r="I8" s="1"/>
  <c r="F9"/>
  <c r="G9"/>
  <c r="H54"/>
  <c r="F30" i="10" s="1"/>
  <c r="N11" i="13"/>
  <c r="D55"/>
  <c r="D54" s="1"/>
  <c r="P56"/>
  <c r="H12"/>
  <c r="H11" s="1"/>
  <c r="D208" i="6"/>
  <c r="D205" s="1"/>
  <c r="G205"/>
  <c r="G150"/>
  <c r="D298"/>
  <c r="N296"/>
  <c r="D254"/>
  <c r="D253" s="1"/>
  <c r="D239" s="1"/>
  <c r="D238" s="1"/>
  <c r="D243"/>
  <c r="D242" s="1"/>
  <c r="D241" s="1"/>
  <c r="C25" i="1"/>
  <c r="F13" i="6"/>
  <c r="E440" i="2"/>
  <c r="E432"/>
  <c r="L147" i="6"/>
  <c r="J8" i="10" s="1"/>
  <c r="I31" i="1"/>
  <c r="L18" i="6"/>
  <c r="E31" i="1"/>
  <c r="H18" i="6"/>
  <c r="L138"/>
  <c r="J7" i="10" s="1"/>
  <c r="D78" i="6"/>
  <c r="D77" s="1"/>
  <c r="G33" i="1"/>
  <c r="F147" i="6"/>
  <c r="K147"/>
  <c r="I8" i="10" s="1"/>
  <c r="F46" i="1"/>
  <c r="I24" i="6"/>
  <c r="I20" s="1"/>
  <c r="F51" i="1"/>
  <c r="D148" i="6"/>
  <c r="D23"/>
  <c r="D21" s="1"/>
  <c r="C51" i="1"/>
  <c r="C46"/>
  <c r="F24" i="6"/>
  <c r="F20" s="1"/>
  <c r="K24"/>
  <c r="K20" s="1"/>
  <c r="H46" i="1"/>
  <c r="H51"/>
  <c r="I147" i="6"/>
  <c r="G8" i="10" s="1"/>
  <c r="N24" i="3"/>
  <c r="N8" s="1"/>
  <c r="N7" s="1"/>
  <c r="K634" i="2"/>
  <c r="K635" s="1"/>
  <c r="K636" s="1"/>
  <c r="I635"/>
  <c r="I636" s="1"/>
  <c r="D11" i="3"/>
  <c r="D10" s="1"/>
  <c r="K178"/>
  <c r="K179" s="1"/>
  <c r="H178"/>
  <c r="H179" s="1"/>
  <c r="E98" i="1"/>
  <c r="E92" s="1"/>
  <c r="J178" i="3"/>
  <c r="J179" s="1"/>
  <c r="G98" i="1"/>
  <c r="G92" s="1"/>
  <c r="E35" i="10"/>
  <c r="E26" s="1"/>
  <c r="G35"/>
  <c r="G26" s="1"/>
  <c r="C98" i="1"/>
  <c r="I147"/>
  <c r="I41"/>
  <c r="I52"/>
  <c r="J147" i="6"/>
  <c r="H8" i="10" s="1"/>
  <c r="P22" i="3"/>
  <c r="J143" i="1"/>
  <c r="J205" s="1"/>
  <c r="H9" i="6"/>
  <c r="H291"/>
  <c r="H302" s="1"/>
  <c r="B60" i="1"/>
  <c r="N60" s="1"/>
  <c r="D441" i="2"/>
  <c r="D440" s="1"/>
  <c r="D10" s="1"/>
  <c r="D426"/>
  <c r="D425" s="1"/>
  <c r="D424" s="1"/>
  <c r="D568"/>
  <c r="D567" s="1"/>
  <c r="B145" i="1"/>
  <c r="B207" s="1"/>
  <c r="E425" i="2"/>
  <c r="B80" i="1"/>
  <c r="D15" i="2"/>
  <c r="D81"/>
  <c r="D80" s="1"/>
  <c r="B129" i="1"/>
  <c r="B190" s="1"/>
  <c r="D17" i="2"/>
  <c r="D101"/>
  <c r="D98" s="1"/>
  <c r="P42"/>
  <c r="D538"/>
  <c r="D537" s="1"/>
  <c r="J37" i="1"/>
  <c r="E139"/>
  <c r="E33"/>
  <c r="D281" i="2"/>
  <c r="D277" s="1"/>
  <c r="E80"/>
  <c r="D400"/>
  <c r="D394" s="1"/>
  <c r="D9" s="1"/>
  <c r="P407"/>
  <c r="B131" i="1"/>
  <c r="B193" s="1"/>
  <c r="D347" i="2"/>
  <c r="D346" s="1"/>
  <c r="F18"/>
  <c r="C29" i="1"/>
  <c r="K29" s="1"/>
  <c r="B51"/>
  <c r="B46"/>
  <c r="G147"/>
  <c r="G209" s="1"/>
  <c r="G41"/>
  <c r="G52"/>
  <c r="C127"/>
  <c r="C188" s="1"/>
  <c r="P26" i="2"/>
  <c r="D20" i="4"/>
  <c r="D31"/>
  <c r="D30" s="1"/>
  <c r="B123" i="1"/>
  <c r="B185" s="1"/>
  <c r="B126"/>
  <c r="B187" s="1"/>
  <c r="D120" i="6"/>
  <c r="D119" s="1"/>
  <c r="D17"/>
  <c r="B25" i="1"/>
  <c r="K9" i="6"/>
  <c r="E291"/>
  <c r="E302" s="1"/>
  <c r="D105"/>
  <c r="B31" i="1"/>
  <c r="I90"/>
  <c r="C199"/>
  <c r="D199"/>
  <c r="H199"/>
  <c r="G199"/>
  <c r="H184"/>
  <c r="H133"/>
  <c r="G12" i="2"/>
  <c r="G11" s="1"/>
  <c r="H12"/>
  <c r="H11" s="1"/>
  <c r="N12"/>
  <c r="F12"/>
  <c r="I186" i="1"/>
  <c r="E189"/>
  <c r="F189"/>
  <c r="L12" i="6" l="1"/>
  <c r="M10"/>
  <c r="M9" s="1"/>
  <c r="M93"/>
  <c r="D11"/>
  <c r="D118"/>
  <c r="G10"/>
  <c r="D13" i="1" s="1"/>
  <c r="G93" i="6"/>
  <c r="N10"/>
  <c r="N9" s="1"/>
  <c r="N93"/>
  <c r="D301"/>
  <c r="M301" s="1"/>
  <c r="E7" i="10"/>
  <c r="O7" s="1"/>
  <c r="D8"/>
  <c r="D46" s="1"/>
  <c r="G634" i="2"/>
  <c r="G635" s="1"/>
  <c r="G636" s="1"/>
  <c r="E10"/>
  <c r="D8" i="3"/>
  <c r="D7" s="1"/>
  <c r="P17" s="1"/>
  <c r="P7"/>
  <c r="G34" i="10"/>
  <c r="G25" s="1"/>
  <c r="D26" i="1"/>
  <c r="G8" i="13"/>
  <c r="L14" i="1"/>
  <c r="L18"/>
  <c r="M13" i="6"/>
  <c r="M18"/>
  <c r="F17" i="1"/>
  <c r="F12" i="6"/>
  <c r="M102" i="1"/>
  <c r="D640" i="2"/>
  <c r="D642" s="1"/>
  <c r="D643" s="1"/>
  <c r="C92" i="1"/>
  <c r="L269" i="6"/>
  <c r="J46" i="10"/>
  <c r="J269" i="6"/>
  <c r="H46" i="10"/>
  <c r="I269" i="6"/>
  <c r="G46" i="10"/>
  <c r="K269" i="6"/>
  <c r="I46" i="10"/>
  <c r="H45"/>
  <c r="R11" i="7"/>
  <c r="E25" i="10"/>
  <c r="O25" s="1"/>
  <c r="K26"/>
  <c r="K30"/>
  <c r="F25"/>
  <c r="N288" i="6"/>
  <c r="M288"/>
  <c r="L17" i="10"/>
  <c r="K17"/>
  <c r="H195" i="1"/>
  <c r="D142" i="6"/>
  <c r="D138" s="1"/>
  <c r="H12"/>
  <c r="J28" i="1"/>
  <c r="K19"/>
  <c r="K124" s="1"/>
  <c r="J33"/>
  <c r="L23" i="10"/>
  <c r="K23"/>
  <c r="H16" i="1"/>
  <c r="H48" s="1"/>
  <c r="I48" i="10" s="1"/>
  <c r="I51" s="1"/>
  <c r="F46"/>
  <c r="K18" i="1"/>
  <c r="C14"/>
  <c r="C90" s="1"/>
  <c r="N8" i="8"/>
  <c r="P8"/>
  <c r="N298" i="6"/>
  <c r="M298"/>
  <c r="L34" i="10"/>
  <c r="J14" i="1"/>
  <c r="L30" i="10"/>
  <c r="M11" i="2"/>
  <c r="L124" i="1"/>
  <c r="N29"/>
  <c r="G122"/>
  <c r="G184" s="1"/>
  <c r="G195" s="1"/>
  <c r="M28" i="10"/>
  <c r="N9" i="2"/>
  <c r="N8" s="1"/>
  <c r="M32" i="10"/>
  <c r="M30"/>
  <c r="D268" i="6"/>
  <c r="M98" i="1" s="1"/>
  <c r="G291" i="6"/>
  <c r="G302" s="1"/>
  <c r="N19"/>
  <c r="N18" s="1"/>
  <c r="N12" s="1"/>
  <c r="D132" i="1"/>
  <c r="D194" s="1"/>
  <c r="D64"/>
  <c r="D63" s="1"/>
  <c r="D85" s="1"/>
  <c r="D106" s="1"/>
  <c r="N18" i="2"/>
  <c r="N11" s="1"/>
  <c r="G26" i="1"/>
  <c r="K35" i="10"/>
  <c r="P7"/>
  <c r="D118" i="8"/>
  <c r="F13" i="1"/>
  <c r="J19"/>
  <c r="D124"/>
  <c r="D186" s="1"/>
  <c r="N19"/>
  <c r="D13" i="2"/>
  <c r="N25" i="1"/>
  <c r="J25"/>
  <c r="J29"/>
  <c r="B76"/>
  <c r="B75" s="1"/>
  <c r="B86" s="1"/>
  <c r="J80"/>
  <c r="J140" s="1"/>
  <c r="J202" s="1"/>
  <c r="J45"/>
  <c r="B65"/>
  <c r="D9" i="13"/>
  <c r="D8" s="1"/>
  <c r="M101" i="1"/>
  <c r="B139"/>
  <c r="B201" s="1"/>
  <c r="F269" i="6"/>
  <c r="F270" s="1"/>
  <c r="F271" s="1"/>
  <c r="F7" i="3"/>
  <c r="D10" i="9"/>
  <c r="P325" i="2"/>
  <c r="D324"/>
  <c r="D321" s="1"/>
  <c r="G210" i="1"/>
  <c r="I13"/>
  <c r="I89" s="1"/>
  <c r="I88" s="1"/>
  <c r="L9" i="6"/>
  <c r="F231" i="9"/>
  <c r="C76" i="1"/>
  <c r="C75" s="1"/>
  <c r="C86" s="1"/>
  <c r="C139"/>
  <c r="C201" s="1"/>
  <c r="M79"/>
  <c r="D7" i="9"/>
  <c r="M7"/>
  <c r="D116" i="1"/>
  <c r="D112"/>
  <c r="D90"/>
  <c r="D76"/>
  <c r="D75" s="1"/>
  <c r="D86" s="1"/>
  <c r="D100" s="1"/>
  <c r="D139"/>
  <c r="D201" s="1"/>
  <c r="D27" i="2"/>
  <c r="D23" s="1"/>
  <c r="D44"/>
  <c r="E145" i="1"/>
  <c r="E207" s="1"/>
  <c r="E41"/>
  <c r="E32" s="1"/>
  <c r="E49" s="1"/>
  <c r="D32" i="10"/>
  <c r="F9" i="2"/>
  <c r="F8" s="1"/>
  <c r="D28" i="10"/>
  <c r="L28" s="1"/>
  <c r="D487" i="2"/>
  <c r="J61" i="1" s="1"/>
  <c r="O61" s="1"/>
  <c r="B59"/>
  <c r="N59" s="1"/>
  <c r="I18" i="6"/>
  <c r="I12" s="1"/>
  <c r="F31" i="1"/>
  <c r="J31" s="1"/>
  <c r="I138" i="6"/>
  <c r="G7" i="10" s="1"/>
  <c r="D12" i="13"/>
  <c r="D11" s="1"/>
  <c r="H9"/>
  <c r="F8"/>
  <c r="E124" i="1"/>
  <c r="E186" s="1"/>
  <c r="F11" i="2"/>
  <c r="D287" i="6"/>
  <c r="G24"/>
  <c r="G20" s="1"/>
  <c r="D51" i="1"/>
  <c r="J51" s="1"/>
  <c r="D46"/>
  <c r="J46" s="1"/>
  <c r="G147" i="6"/>
  <c r="E8" i="10" s="1"/>
  <c r="B13" i="1"/>
  <c r="I132"/>
  <c r="I26"/>
  <c r="I16" s="1"/>
  <c r="I48" s="1"/>
  <c r="I121" s="1"/>
  <c r="E132"/>
  <c r="E194" s="1"/>
  <c r="E26"/>
  <c r="P25" i="6"/>
  <c r="H147" i="1"/>
  <c r="H52"/>
  <c r="H41"/>
  <c r="C147"/>
  <c r="C41"/>
  <c r="C32" s="1"/>
  <c r="C52"/>
  <c r="F52"/>
  <c r="F147"/>
  <c r="F41"/>
  <c r="F32" s="1"/>
  <c r="F49" s="1"/>
  <c r="F91" s="1"/>
  <c r="E634" i="2"/>
  <c r="F634"/>
  <c r="N102" i="1"/>
  <c r="H270" i="6"/>
  <c r="H271" s="1"/>
  <c r="E99" i="1"/>
  <c r="E178" i="3"/>
  <c r="E179" s="1"/>
  <c r="B98" i="1"/>
  <c r="D178" i="3"/>
  <c r="F98" i="1"/>
  <c r="I178" i="3"/>
  <c r="I179" s="1"/>
  <c r="D98" i="1"/>
  <c r="G178" i="3"/>
  <c r="G179" s="1"/>
  <c r="N290" i="6"/>
  <c r="D150"/>
  <c r="D147" s="1"/>
  <c r="P20" s="1"/>
  <c r="D24"/>
  <c r="D20" s="1"/>
  <c r="I32" i="1"/>
  <c r="E269" i="6"/>
  <c r="I209" i="1"/>
  <c r="I210" s="1"/>
  <c r="I148"/>
  <c r="D20" i="3"/>
  <c r="D17" s="1"/>
  <c r="D179" s="1"/>
  <c r="J9" i="6"/>
  <c r="D95"/>
  <c r="D94" s="1"/>
  <c r="D283"/>
  <c r="D13"/>
  <c r="I7" i="3"/>
  <c r="G148" i="1"/>
  <c r="D489" i="2"/>
  <c r="D488" s="1"/>
  <c r="O21" i="1"/>
  <c r="B140"/>
  <c r="B202" s="1"/>
  <c r="E424" i="2"/>
  <c r="P38"/>
  <c r="P25"/>
  <c r="D36"/>
  <c r="O24" i="1"/>
  <c r="J129"/>
  <c r="J190" s="1"/>
  <c r="M39"/>
  <c r="E201"/>
  <c r="B138"/>
  <c r="B200" s="1"/>
  <c r="B33"/>
  <c r="D32" i="2"/>
  <c r="D29" s="1"/>
  <c r="D49"/>
  <c r="D20"/>
  <c r="D41"/>
  <c r="C26" i="1"/>
  <c r="C128"/>
  <c r="C189" s="1"/>
  <c r="D316" i="2"/>
  <c r="D19"/>
  <c r="P29" s="1"/>
  <c r="D319"/>
  <c r="B18" i="1"/>
  <c r="J131"/>
  <c r="J193" s="1"/>
  <c r="O28"/>
  <c r="M43"/>
  <c r="B52"/>
  <c r="B147"/>
  <c r="B41"/>
  <c r="J139"/>
  <c r="J201" s="1"/>
  <c r="G32"/>
  <c r="J127"/>
  <c r="J188" s="1"/>
  <c r="M38"/>
  <c r="O22"/>
  <c r="J137"/>
  <c r="N103"/>
  <c r="B101"/>
  <c r="J60"/>
  <c r="D10" i="4"/>
  <c r="O69" i="1"/>
  <c r="M78"/>
  <c r="J126"/>
  <c r="J187" s="1"/>
  <c r="O68"/>
  <c r="J123"/>
  <c r="J185" s="1"/>
  <c r="H12"/>
  <c r="H107" s="1"/>
  <c r="H89"/>
  <c r="H88" s="1"/>
  <c r="H134" s="1"/>
  <c r="B132"/>
  <c r="B26"/>
  <c r="D18" i="6"/>
  <c r="C45" i="10"/>
  <c r="D279" i="6"/>
  <c r="D281" s="1"/>
  <c r="C17" i="1"/>
  <c r="D122"/>
  <c r="D17"/>
  <c r="G8" i="2"/>
  <c r="E17" i="1"/>
  <c r="E122"/>
  <c r="P10" i="6" l="1"/>
  <c r="N301"/>
  <c r="G9"/>
  <c r="D10"/>
  <c r="J13" i="1" s="1"/>
  <c r="D93" i="6"/>
  <c r="J98" i="1"/>
  <c r="J92" s="1"/>
  <c r="B99"/>
  <c r="K34" i="10"/>
  <c r="M34"/>
  <c r="D16" i="1"/>
  <c r="D48" s="1"/>
  <c r="E48" i="10" s="1"/>
  <c r="M12" i="6"/>
  <c r="P9" s="1"/>
  <c r="L31" i="1"/>
  <c r="L132" s="1"/>
  <c r="N9" i="13"/>
  <c r="N8" s="1"/>
  <c r="E45" i="10"/>
  <c r="N48" s="1"/>
  <c r="P18" i="6"/>
  <c r="G269"/>
  <c r="K8" i="10"/>
  <c r="K46" s="1"/>
  <c r="H121" i="1"/>
  <c r="H183" s="1"/>
  <c r="G133"/>
  <c r="D25" i="10"/>
  <c r="N287" i="6"/>
  <c r="M287"/>
  <c r="J76" i="1"/>
  <c r="J75" s="1"/>
  <c r="C112"/>
  <c r="C116"/>
  <c r="K14"/>
  <c r="K31"/>
  <c r="K132" s="1"/>
  <c r="M45"/>
  <c r="M9" i="13"/>
  <c r="M8" s="1"/>
  <c r="C13" i="1"/>
  <c r="M9" i="2"/>
  <c r="M8" s="1"/>
  <c r="J145" i="1"/>
  <c r="J207" s="1"/>
  <c r="K32" i="10"/>
  <c r="L32"/>
  <c r="K128" i="1"/>
  <c r="K17"/>
  <c r="B100"/>
  <c r="J86"/>
  <c r="L85"/>
  <c r="G16"/>
  <c r="G48" s="1"/>
  <c r="G121" s="1"/>
  <c r="K28" i="10"/>
  <c r="D285" i="6"/>
  <c r="E210" i="1"/>
  <c r="E13"/>
  <c r="L13" s="1"/>
  <c r="L89" s="1"/>
  <c r="N7" i="9"/>
  <c r="J48" i="10"/>
  <c r="D43" i="2"/>
  <c r="I12" i="1"/>
  <c r="I107" s="1"/>
  <c r="E635" i="2"/>
  <c r="E636" s="1"/>
  <c r="C100" i="1"/>
  <c r="N18"/>
  <c r="J18"/>
  <c r="J17" s="1"/>
  <c r="B64"/>
  <c r="B63" s="1"/>
  <c r="B85" s="1"/>
  <c r="B106" s="1"/>
  <c r="N31"/>
  <c r="O31" s="1"/>
  <c r="D12" i="2"/>
  <c r="D22"/>
  <c r="E148" i="1"/>
  <c r="B92"/>
  <c r="M46"/>
  <c r="D269" i="6"/>
  <c r="D270" s="1"/>
  <c r="D271" s="1"/>
  <c r="C49" i="1"/>
  <c r="C91" s="1"/>
  <c r="D8" i="2"/>
  <c r="F230" i="9"/>
  <c r="B14" i="1"/>
  <c r="D485" i="2"/>
  <c r="P27"/>
  <c r="F135" i="1"/>
  <c r="F212" s="1"/>
  <c r="G49" i="10"/>
  <c r="G52" s="1"/>
  <c r="F132" i="1"/>
  <c r="F26"/>
  <c r="F16" s="1"/>
  <c r="F48" s="1"/>
  <c r="G48" i="10" s="1"/>
  <c r="J124" i="1"/>
  <c r="J186" s="1"/>
  <c r="O19"/>
  <c r="H8" i="13"/>
  <c r="M25" i="10"/>
  <c r="D147" i="1"/>
  <c r="D41"/>
  <c r="D32" s="1"/>
  <c r="D49" s="1"/>
  <c r="D52"/>
  <c r="D35" i="2"/>
  <c r="I99" i="1"/>
  <c r="L270" i="6"/>
  <c r="L271" s="1"/>
  <c r="I194" i="1"/>
  <c r="I133"/>
  <c r="I134" s="1"/>
  <c r="J45" i="10"/>
  <c r="D12" i="6"/>
  <c r="H32" i="1"/>
  <c r="H49" s="1"/>
  <c r="H209"/>
  <c r="H210" s="1"/>
  <c r="H148"/>
  <c r="F209"/>
  <c r="F210" s="1"/>
  <c r="F148"/>
  <c r="F149" s="1"/>
  <c r="I270" i="6"/>
  <c r="I271" s="1"/>
  <c r="F99" i="1"/>
  <c r="F93" s="1"/>
  <c r="K270" i="6"/>
  <c r="K271" s="1"/>
  <c r="H99" i="1"/>
  <c r="C209"/>
  <c r="C210" s="1"/>
  <c r="C148"/>
  <c r="J101"/>
  <c r="N101"/>
  <c r="F635" i="2"/>
  <c r="F636" s="1"/>
  <c r="C99" i="1"/>
  <c r="J270" i="6"/>
  <c r="J271" s="1"/>
  <c r="G99" i="1"/>
  <c r="E97"/>
  <c r="E96" s="1"/>
  <c r="E93"/>
  <c r="D92"/>
  <c r="F92"/>
  <c r="C16"/>
  <c r="I49"/>
  <c r="P31" i="2"/>
  <c r="D18"/>
  <c r="G90" i="1"/>
  <c r="G88" s="1"/>
  <c r="G12"/>
  <c r="F89"/>
  <c r="F88" s="1"/>
  <c r="F12"/>
  <c r="B32"/>
  <c r="B49" s="1"/>
  <c r="J116"/>
  <c r="J90"/>
  <c r="E135"/>
  <c r="F49" i="10"/>
  <c r="F52" s="1"/>
  <c r="E91" i="1"/>
  <c r="J138"/>
  <c r="J200" s="1"/>
  <c r="M37"/>
  <c r="E8" i="2"/>
  <c r="B17" i="1"/>
  <c r="B16" s="1"/>
  <c r="B48" s="1"/>
  <c r="B122"/>
  <c r="B184" s="1"/>
  <c r="D315" i="2"/>
  <c r="O29" i="1"/>
  <c r="J128"/>
  <c r="J189" s="1"/>
  <c r="L128"/>
  <c r="G49"/>
  <c r="J41"/>
  <c r="J32" s="1"/>
  <c r="J147"/>
  <c r="J209" s="1"/>
  <c r="B209"/>
  <c r="B210" s="1"/>
  <c r="B148"/>
  <c r="O25"/>
  <c r="J59"/>
  <c r="O59" s="1"/>
  <c r="O60"/>
  <c r="J199"/>
  <c r="D291" i="6"/>
  <c r="J26" i="1"/>
  <c r="J132"/>
  <c r="J194" s="1"/>
  <c r="B194"/>
  <c r="E16"/>
  <c r="D111"/>
  <c r="D115"/>
  <c r="D114" s="1"/>
  <c r="D12"/>
  <c r="D89"/>
  <c r="D88" s="1"/>
  <c r="L17"/>
  <c r="E184"/>
  <c r="E195" s="1"/>
  <c r="E133"/>
  <c r="D184"/>
  <c r="D133"/>
  <c r="I196"/>
  <c r="I183"/>
  <c r="J197" l="1"/>
  <c r="B91"/>
  <c r="B135"/>
  <c r="B197" s="1"/>
  <c r="F94"/>
  <c r="D634" i="2"/>
  <c r="D635" s="1"/>
  <c r="D636" s="1"/>
  <c r="D195" i="1"/>
  <c r="D121"/>
  <c r="D196" s="1"/>
  <c r="D117"/>
  <c r="D118" s="1"/>
  <c r="E51" i="10"/>
  <c r="N7"/>
  <c r="N25"/>
  <c r="N45"/>
  <c r="N21"/>
  <c r="N13"/>
  <c r="N42"/>
  <c r="N19"/>
  <c r="N40"/>
  <c r="N17"/>
  <c r="N23"/>
  <c r="C89" i="1"/>
  <c r="C88" s="1"/>
  <c r="K13"/>
  <c r="M13" s="1"/>
  <c r="H196"/>
  <c r="K26"/>
  <c r="K16" s="1"/>
  <c r="G134"/>
  <c r="C12"/>
  <c r="K25" i="10"/>
  <c r="L25"/>
  <c r="K7"/>
  <c r="M7"/>
  <c r="L7"/>
  <c r="M14" i="1"/>
  <c r="K90"/>
  <c r="B93"/>
  <c r="J49"/>
  <c r="J135" s="1"/>
  <c r="J212" s="1"/>
  <c r="C115"/>
  <c r="C114" s="1"/>
  <c r="C111"/>
  <c r="N291" i="6"/>
  <c r="M291"/>
  <c r="N13" i="1"/>
  <c r="I195"/>
  <c r="K194"/>
  <c r="N98"/>
  <c r="J100"/>
  <c r="H48" i="10"/>
  <c r="H51" s="1"/>
  <c r="E46"/>
  <c r="G45"/>
  <c r="G51" s="1"/>
  <c r="D45"/>
  <c r="J51"/>
  <c r="C119" i="1"/>
  <c r="O18"/>
  <c r="C149"/>
  <c r="C135"/>
  <c r="C197" s="1"/>
  <c r="B121"/>
  <c r="N17"/>
  <c r="O17" s="1"/>
  <c r="C48"/>
  <c r="N16"/>
  <c r="N14"/>
  <c r="O14" s="1"/>
  <c r="N26"/>
  <c r="O26" s="1"/>
  <c r="D11" i="2"/>
  <c r="F121" i="1"/>
  <c r="F196" s="1"/>
  <c r="D49" i="10"/>
  <c r="D52" s="1"/>
  <c r="F213" i="1"/>
  <c r="F197"/>
  <c r="L26"/>
  <c r="L16" s="1"/>
  <c r="F97"/>
  <c r="F96" s="1"/>
  <c r="F194"/>
  <c r="F195" s="1"/>
  <c r="F133"/>
  <c r="F134" s="1"/>
  <c r="C46" i="10"/>
  <c r="F45"/>
  <c r="E12" i="1"/>
  <c r="E89"/>
  <c r="E88" s="1"/>
  <c r="E49" i="10"/>
  <c r="D119" i="1"/>
  <c r="D135"/>
  <c r="D91"/>
  <c r="G270" i="6"/>
  <c r="G271" s="1"/>
  <c r="D99" i="1"/>
  <c r="J99" s="1"/>
  <c r="J97" s="1"/>
  <c r="J96" s="1"/>
  <c r="D209"/>
  <c r="D148"/>
  <c r="D149" s="1"/>
  <c r="J148"/>
  <c r="I97"/>
  <c r="I96" s="1"/>
  <c r="I93"/>
  <c r="I49" i="10"/>
  <c r="I52" s="1"/>
  <c r="H135" i="1"/>
  <c r="H91"/>
  <c r="H149" s="1"/>
  <c r="H97"/>
  <c r="H93"/>
  <c r="C93"/>
  <c r="C94" s="1"/>
  <c r="C97"/>
  <c r="E270" i="6"/>
  <c r="E271" s="1"/>
  <c r="G97" i="1"/>
  <c r="G96" s="1"/>
  <c r="G93"/>
  <c r="J49" i="10"/>
  <c r="J52" s="1"/>
  <c r="I135" i="1"/>
  <c r="I91"/>
  <c r="B195"/>
  <c r="G107"/>
  <c r="L90"/>
  <c r="B149"/>
  <c r="D134"/>
  <c r="F107"/>
  <c r="B133"/>
  <c r="C49" i="10"/>
  <c r="E94" i="1"/>
  <c r="E104"/>
  <c r="E212"/>
  <c r="E213" s="1"/>
  <c r="E197"/>
  <c r="E149"/>
  <c r="B90"/>
  <c r="G135"/>
  <c r="H49" i="10"/>
  <c r="H52" s="1"/>
  <c r="G91" i="1"/>
  <c r="J210"/>
  <c r="B89"/>
  <c r="B12"/>
  <c r="D302" i="6"/>
  <c r="C48" i="10"/>
  <c r="C51" s="1"/>
  <c r="L194" i="1"/>
  <c r="Q194"/>
  <c r="D9" i="6"/>
  <c r="D107" i="1"/>
  <c r="J16"/>
  <c r="J48" s="1"/>
  <c r="G196"/>
  <c r="G183"/>
  <c r="E48"/>
  <c r="L48" s="1"/>
  <c r="B94" l="1"/>
  <c r="H94"/>
  <c r="D210"/>
  <c r="M99"/>
  <c r="M97" s="1"/>
  <c r="D183"/>
  <c r="E134"/>
  <c r="C107"/>
  <c r="L45" i="10"/>
  <c r="J119" i="1"/>
  <c r="J91"/>
  <c r="K49" i="10"/>
  <c r="K52" s="1"/>
  <c r="M48" i="1"/>
  <c r="K12"/>
  <c r="L48" i="10" s="1"/>
  <c r="K89" i="1"/>
  <c r="K88" s="1"/>
  <c r="K48"/>
  <c r="N302" i="6"/>
  <c r="M302"/>
  <c r="D48" i="10"/>
  <c r="D51" s="1"/>
  <c r="E52"/>
  <c r="M45"/>
  <c r="L12" i="1"/>
  <c r="M48" i="10" s="1"/>
  <c r="F183" i="1"/>
  <c r="C212"/>
  <c r="C213" s="1"/>
  <c r="N12"/>
  <c r="B107"/>
  <c r="C52" i="10"/>
  <c r="F104" i="1"/>
  <c r="K45" i="10"/>
  <c r="E107" i="1"/>
  <c r="D93"/>
  <c r="D94" s="1"/>
  <c r="D97"/>
  <c r="D197"/>
  <c r="D212"/>
  <c r="L88"/>
  <c r="H96"/>
  <c r="H104"/>
  <c r="H197"/>
  <c r="H212"/>
  <c r="H213" s="1"/>
  <c r="C96"/>
  <c r="C104"/>
  <c r="B97"/>
  <c r="B96" s="1"/>
  <c r="O16"/>
  <c r="I212"/>
  <c r="I213" s="1"/>
  <c r="I197"/>
  <c r="I104"/>
  <c r="I149"/>
  <c r="I94"/>
  <c r="B88"/>
  <c r="B134" s="1"/>
  <c r="B212"/>
  <c r="B213" s="1"/>
  <c r="J213"/>
  <c r="G104"/>
  <c r="G94"/>
  <c r="G149"/>
  <c r="G197"/>
  <c r="G212"/>
  <c r="G213" s="1"/>
  <c r="J115"/>
  <c r="J114" s="1"/>
  <c r="J89"/>
  <c r="J88" s="1"/>
  <c r="J12"/>
  <c r="J107" s="1"/>
  <c r="O13"/>
  <c r="B196"/>
  <c r="B183"/>
  <c r="F48" i="10"/>
  <c r="F51" s="1"/>
  <c r="E121" i="1"/>
  <c r="K48" i="10"/>
  <c r="D213" i="1" l="1"/>
  <c r="L51" i="10"/>
  <c r="J149" i="1"/>
  <c r="K51" i="10"/>
  <c r="M51"/>
  <c r="D96" i="1"/>
  <c r="D104"/>
  <c r="N99"/>
  <c r="N97" s="1"/>
  <c r="J93"/>
  <c r="J94" s="1"/>
  <c r="B104"/>
  <c r="O12"/>
  <c r="M50"/>
  <c r="N50" s="1"/>
  <c r="N48"/>
  <c r="E196"/>
  <c r="E183"/>
  <c r="D14" i="4"/>
  <c r="D13" s="1"/>
  <c r="J104" i="1" l="1"/>
  <c r="F19" i="13" l="1"/>
  <c r="D19"/>
  <c r="D18" s="1"/>
  <c r="M91" i="1" s="1"/>
  <c r="F18" i="13"/>
  <c r="F107" s="1"/>
  <c r="F88" s="1"/>
  <c r="M88" s="1"/>
  <c r="M87" s="1"/>
  <c r="M86" s="1"/>
  <c r="M92" i="1" l="1"/>
  <c r="M93"/>
  <c r="P20" i="13"/>
  <c r="F87"/>
  <c r="F86" s="1"/>
  <c r="N87"/>
  <c r="N86" s="1"/>
  <c r="C65" i="1"/>
  <c r="K65" s="1"/>
  <c r="D107" i="13"/>
  <c r="D88" s="1"/>
  <c r="D87" s="1"/>
  <c r="D86" s="1"/>
  <c r="K64" i="1" l="1"/>
  <c r="K63" s="1"/>
  <c r="K122"/>
  <c r="K133" s="1"/>
  <c r="J65"/>
  <c r="N65"/>
  <c r="N96"/>
  <c r="C122"/>
  <c r="C64"/>
  <c r="N64" s="1"/>
  <c r="O65" l="1"/>
  <c r="J122"/>
  <c r="J64"/>
  <c r="C63"/>
  <c r="N63" s="1"/>
  <c r="C184"/>
  <c r="C195" s="1"/>
  <c r="C133"/>
  <c r="C134" s="1"/>
  <c r="L64"/>
  <c r="L63" s="1"/>
  <c r="M59" s="1"/>
  <c r="L122"/>
  <c r="L133" s="1"/>
  <c r="C85" l="1"/>
  <c r="J63"/>
  <c r="O64"/>
  <c r="J133"/>
  <c r="J134" s="1"/>
  <c r="J184"/>
  <c r="J195" l="1"/>
  <c r="K85"/>
  <c r="K121" s="1"/>
  <c r="M85"/>
  <c r="C106"/>
  <c r="J85"/>
  <c r="J106" s="1"/>
  <c r="O63"/>
  <c r="C117"/>
  <c r="C118" s="1"/>
  <c r="L121"/>
  <c r="C121"/>
  <c r="J121" l="1"/>
  <c r="J117"/>
  <c r="J118" s="1"/>
  <c r="N85"/>
  <c r="C196"/>
  <c r="C183"/>
  <c r="J196" l="1"/>
  <c r="J183"/>
  <c r="M8" i="8"/>
</calcChain>
</file>

<file path=xl/comments1.xml><?xml version="1.0" encoding="utf-8"?>
<comments xmlns="http://schemas.openxmlformats.org/spreadsheetml/2006/main">
  <authors>
    <author>Magdalena Zielińska</author>
  </authors>
  <commentList>
    <comment ref="F619" authorId="0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</commentList>
</comments>
</file>

<file path=xl/sharedStrings.xml><?xml version="1.0" encoding="utf-8"?>
<sst xmlns="http://schemas.openxmlformats.org/spreadsheetml/2006/main" count="3468" uniqueCount="570">
  <si>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</si>
  <si>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</si>
  <si>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</si>
  <si>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</si>
  <si>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</si>
  <si>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2017 r.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</si>
  <si>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</si>
  <si>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</si>
  <si>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</si>
  <si>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</si>
  <si>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</si>
  <si>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</si>
  <si>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</si>
  <si>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</si>
  <si>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</si>
  <si>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</si>
  <si>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</si>
  <si>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</si>
  <si>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</si>
  <si>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 xml:space="preserve">środki z innych źródeł 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</si>
  <si>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</si>
  <si>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</si>
  <si>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</si>
  <si>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</si>
  <si>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</si>
  <si>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</si>
  <si>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</si>
  <si>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</si>
  <si>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</si>
  <si>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</si>
  <si>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t xml:space="preserve"> - wydatki majątkowe </t>
  </si>
  <si>
    <t>środki z budżetu województwa *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</si>
  <si>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</si>
  <si>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</si>
  <si>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</si>
  <si>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</si>
  <si>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</si>
  <si>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</si>
  <si>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</si>
  <si>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</si>
  <si>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</si>
  <si>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</si>
  <si>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</si>
  <si>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</si>
  <si>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</si>
  <si>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>Część II - POZOSTAŁE</t>
  </si>
  <si>
    <t>Razem</t>
  </si>
  <si>
    <t>sprawdzenie   wydatki</t>
  </si>
  <si>
    <t>sprawdzenie    DOCHODY</t>
  </si>
  <si>
    <t xml:space="preserve">środki z budżetu województwa </t>
  </si>
  <si>
    <t>dotacje celowe dla jos</t>
  </si>
  <si>
    <t>dotacje z budżetu państwa na zadania zlecone - wkład własny</t>
  </si>
  <si>
    <t>środki z funduszy celowych</t>
  </si>
  <si>
    <t>dotacje z budżetu państwa na zadania zlecone -wkład unijny</t>
  </si>
  <si>
    <t>środki na wkład własny krajowy</t>
  </si>
  <si>
    <t>dotacje z budżetu państwa na zadania zlecone (WK)</t>
  </si>
  <si>
    <t>dotacje z budżetu państwa na zadania zlecone (WE)</t>
  </si>
  <si>
    <t>dotacje z budżetu państwa na zadania zlecone  (WK)</t>
  </si>
  <si>
    <t>dotacje z budżetu państwa na zadania zlecone  (WE)</t>
  </si>
  <si>
    <t xml:space="preserve">ZMIANY WYDATKI </t>
  </si>
  <si>
    <t xml:space="preserve">ZMIANY DOCHODY 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</si>
  <si>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</si>
  <si>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</si>
  <si>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</si>
  <si>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</si>
  <si>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</si>
  <si>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</si>
  <si>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</si>
  <si>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</si>
  <si>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</si>
  <si>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</si>
  <si>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t>Klasyfikacja budżetowa</t>
  </si>
  <si>
    <t>Planowana wartość kosztorysowa zadania / planowane dochody uzyskane na realizację zadania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</si>
  <si>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</si>
  <si>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</si>
  <si>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</si>
  <si>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</si>
  <si>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</si>
  <si>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</si>
  <si>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</si>
  <si>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</si>
  <si>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majątkowe</t>
  </si>
  <si>
    <t>KONTRAKT</t>
  </si>
  <si>
    <t xml:space="preserve">ZZDW w Koszalinie
</t>
  </si>
  <si>
    <t>rozdz. 60013</t>
  </si>
  <si>
    <t>rozdz. 75861</t>
  </si>
  <si>
    <t>ZZDW w Koszalinie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</si>
  <si>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</si>
  <si>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</si>
  <si>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</si>
  <si>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</si>
  <si>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</si>
  <si>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</si>
  <si>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</si>
  <si>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</si>
  <si>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</si>
  <si>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</si>
  <si>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</si>
  <si>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rozdz. 60001</t>
  </si>
  <si>
    <t>18.</t>
  </si>
  <si>
    <t>środki z budżetu UE, w tego:</t>
  </si>
  <si>
    <t>ZZDWw Koszalinie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</si>
  <si>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</si>
  <si>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</si>
  <si>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</si>
  <si>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</si>
  <si>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</si>
  <si>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</si>
  <si>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</si>
  <si>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bieżące</t>
  </si>
  <si>
    <t>WWT</t>
  </si>
  <si>
    <t>rozdz. 60095</t>
  </si>
  <si>
    <t>rodz. 60095</t>
  </si>
  <si>
    <t>II. POZOSTAŁE  PRZEDSIĘWZIĘCIA W ZAKRESIE TRANSPORTU I ŁĄCZNOŚCI</t>
  </si>
  <si>
    <t>dotacja celowa od innych jst</t>
  </si>
  <si>
    <t>6.</t>
  </si>
  <si>
    <r>
      <t xml:space="preserve">Tabela Nr 6B  </t>
    </r>
    <r>
      <rPr>
        <i/>
        <sz val="12"/>
        <rFont val="Arial CE"/>
        <charset val="238"/>
      </rPr>
      <t>do Załącznika Nr 3</t>
    </r>
  </si>
  <si>
    <t>I. PRZEDSIĘWZIĘCIA FINANSOWANE PRZY WSPÓŁUDZIALE ŚRODKÓW, O KTÓRYCH MOWA W ART. 5 UST. 1 PKT 2 I 3 UFP  W ZAKRESIE POLITYKI  SPOŁECZNEJ  I  ROZWOJU  PRZEDSIĘBIORCZOŚCI</t>
  </si>
  <si>
    <t>Planowana wartość kosztorysowa zadania / dochody uzyskane na realizację zadania</t>
  </si>
  <si>
    <t>3</t>
  </si>
  <si>
    <t>4</t>
  </si>
  <si>
    <t>rozdz. 
85332</t>
  </si>
  <si>
    <t>dotacja z budżetu województwa dla jos</t>
  </si>
  <si>
    <t>dotacje celowe od innych jst (pomoc finansowa i porozumienia)</t>
  </si>
  <si>
    <t>rozdz. 85111</t>
  </si>
  <si>
    <t>środki własne jos</t>
  </si>
  <si>
    <t>dotacja z budżetu wojewodztwa dla jos</t>
  </si>
  <si>
    <t>rozdz. 75704</t>
  </si>
  <si>
    <t>środki  z budżetu województwa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</si>
  <si>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</si>
  <si>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</si>
  <si>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</si>
  <si>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 xml:space="preserve">
Sekretariat ds.Młodzieży Województwa Zachodnio - pomorskiego 
pod nadzorem WWT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</si>
  <si>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</si>
  <si>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</si>
  <si>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</si>
  <si>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</si>
  <si>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</si>
  <si>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</si>
  <si>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</si>
  <si>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</si>
  <si>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</si>
  <si>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</si>
  <si>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</si>
  <si>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</si>
  <si>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</si>
  <si>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</si>
  <si>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</si>
  <si>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t xml:space="preserve">I. PRZEDSIĘWZIĘCIA FINANSOWANE PRZY WSPÓŁUDZIALE ŚRODKÓW, O KTÓRYCH MOWA W ART. 5 UST. 1 PKT 2 I 3 UFP W ZAKRESIE ADMINISTRACJI I  TELEKOMUNIKACJI </t>
  </si>
  <si>
    <t>rozdz. 75018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</si>
  <si>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</si>
  <si>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</si>
  <si>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</si>
  <si>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</si>
  <si>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</si>
  <si>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 xml:space="preserve">II. POZOSTAŁE  PRZEDSIĘWZIĘCIA  W ZAKRESIE ADMINISTRACJI I  TELEKOMUNIKACJI </t>
  </si>
  <si>
    <t>rozdz. 70005</t>
  </si>
  <si>
    <t xml:space="preserve">II. POZOSTAŁE PRZEDSIĘWZIĘCIA INWESTYCYJNE W ZAKRESIE KULTURY I OCHRONY DZIEDZICTWA NARODOWEGO 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</si>
  <si>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</si>
  <si>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</si>
  <si>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</si>
  <si>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</si>
  <si>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</si>
  <si>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Teatr Polski 
w Szczecinie - nadzór WKNiDN</t>
  </si>
  <si>
    <t>Zamek Książąt Pomorskich 
w Szczecinie - nadzór WKNiDN</t>
  </si>
  <si>
    <t>rozdz.
92109</t>
  </si>
  <si>
    <t>Zachodniopomorski Zarząd Melioracji i Urządzeń Wodnych pod nadzorem Wydziału Rolnictwa i Rybactwa</t>
  </si>
  <si>
    <t>rozdz. 01008</t>
  </si>
  <si>
    <t>rozdz. 01041</t>
  </si>
  <si>
    <t xml:space="preserve">II. POZOSTAŁE  PRZEDSIĘWZIĘCIA W ZAKRESIE ROLNICTWA I OCHRONY ŚRODOWISKA </t>
  </si>
  <si>
    <t>I. PRZEDSIĘWZIĘCIA FINANSOWANE PRZY WSPÓŁUDZIALE ŚRODKÓW, O KTÓRYCH MOWA W ART. 5 UST. 1 PKT 2 I 3 UFP W ZAKRESIE KULTURY FIZYCZNEJ  I TURYSTYKI</t>
  </si>
  <si>
    <t>rozdz. 63003</t>
  </si>
  <si>
    <t xml:space="preserve">bieżące </t>
  </si>
  <si>
    <t xml:space="preserve">II. POZOSTAŁE  PRZEDSIĘWZIĘCIA  W ZAKRESIE KULTURY FIZYCZNEJ I TURYSTYKI </t>
  </si>
  <si>
    <t>WEiS</t>
  </si>
  <si>
    <t>rozdz. 92605      92695</t>
  </si>
  <si>
    <t>dotacja z budżetu województwa</t>
  </si>
  <si>
    <t xml:space="preserve">ZESTAWIENIE DOCHODÓW I WYDATKÓW  PLANOWANYCH  NA  PRZEDSIĘWZIĘCIA FINANSOWANE PRZY WSPÓŁUDZIALE ŚRODKÓW, O KTÓRYCH MOWA W ART. 5 UST. 1 PKT 2 I 3 UFP, WG  ŹRÓDEŁ FINANSOWANIA </t>
  </si>
  <si>
    <t>RPO WZ  -  wydatki</t>
  </si>
  <si>
    <t>RPO WZ  -  dochody</t>
  </si>
  <si>
    <t>PO KL - wydatki</t>
  </si>
  <si>
    <t>PO KL - dochody</t>
  </si>
  <si>
    <t>PO IiŚ - wydatki</t>
  </si>
  <si>
    <t>PO IiŚ - dochody</t>
  </si>
  <si>
    <t>PROW - wydatki</t>
  </si>
  <si>
    <t>PROW - dochody</t>
  </si>
  <si>
    <t>PO RYBY - wydatki</t>
  </si>
  <si>
    <t>PO RYBY - dochody</t>
  </si>
  <si>
    <t>Instrument Finansowy LIFE+ (wydatki)</t>
  </si>
  <si>
    <t>Instrument Finansowy LIFE+ (dochody)</t>
  </si>
  <si>
    <t>PO Pomoc Techniczna - wydatki</t>
  </si>
  <si>
    <t>PO Pomoc Techniczna - dochody</t>
  </si>
  <si>
    <t>PO Innowacyjna Gospodarka - wydatki</t>
  </si>
  <si>
    <t>PO Innowacyjna Gospodarka - dochody</t>
  </si>
  <si>
    <t>Program EWT - wydatki</t>
  </si>
  <si>
    <t>Program EWT- dochody</t>
  </si>
  <si>
    <t>OGÓŁEM    WYDATKI</t>
  </si>
  <si>
    <t>OGÓŁEM  DOCHODY</t>
  </si>
  <si>
    <t>sprawdzenie z załacznika Nr 2 - WYDATKI</t>
  </si>
  <si>
    <t>sprawdzenie z załacznika Nr 2 - DOCHODY</t>
  </si>
  <si>
    <t>RÓŻNICE</t>
  </si>
  <si>
    <t>Akademia Sztuki             w Szczecinie pod nadzorem Wydziału Edukacji  i Sportu</t>
  </si>
  <si>
    <t>I. PRZEDSIĘWZIĘCIA FINANSOWANE PRZY WSPÓŁUDZIALE ŚRODKÓW, O KTÓRYCH MOWA W ART. 5 UST. 1 PKT 2 I 3 UFP W ZAKRESIE ROZWOJU REGIONALNEGO I PLANOWANIA PRZESTRZENNEGO</t>
  </si>
  <si>
    <t>rodz. 71095</t>
  </si>
  <si>
    <t>rodz. 75862</t>
  </si>
  <si>
    <t>Modernizacja budynku internatu przy pl. Orła Białego 2 
w Szczecinie Akademii Sztuki w Szczecinie  (2013-2015)</t>
  </si>
  <si>
    <t>rozdz. 75095</t>
  </si>
  <si>
    <t>2019 r.</t>
  </si>
  <si>
    <t xml:space="preserve">2020 r. </t>
  </si>
  <si>
    <t>2020 r.</t>
  </si>
  <si>
    <t>Akademia Sztuki   
w Szczecinie 
pod nadzorem Wydziału Edukacji  
i Sportu</t>
  </si>
  <si>
    <t xml:space="preserve">Dofinansowanie kolejowych przewozów pasażerskich (2013-2020) </t>
  </si>
  <si>
    <t>Objęcie nowych udziałów w Spółce Port Lotniczy Szczecin-Goleniów (2008-2020)</t>
  </si>
  <si>
    <t>środki  budżetu województwa (w tym zwrot podatku VAT)</t>
  </si>
  <si>
    <t>środki budżetu województwa</t>
  </si>
  <si>
    <t>środki własne budżetu województwa</t>
  </si>
  <si>
    <t>Pomoc Techniczna w ramach  PO WER - wydatki</t>
  </si>
  <si>
    <t>Pomoc Techniczna w ramach  PO WER - dochody</t>
  </si>
  <si>
    <t>rozdz. 92502</t>
  </si>
  <si>
    <t>Parki Krajobrazowe Województwa Zachodniopomorskiego nadzór WTiG</t>
  </si>
  <si>
    <t>Środki z budżetu krajowego, z tego:</t>
  </si>
  <si>
    <t>rozdz. 75863</t>
  </si>
  <si>
    <t>Pozostałe projekty współfinansowane ze śrdoków Unii Europejskiej - wydatki</t>
  </si>
  <si>
    <t>Pozostałe projekty współfinansowane ze śrdoków Unii Europejskiej -  dochody</t>
  </si>
  <si>
    <t>WTiG</t>
  </si>
  <si>
    <t>RPO WZ NA LATA 2014 - 2020</t>
  </si>
  <si>
    <t>A</t>
  </si>
  <si>
    <t>B</t>
  </si>
  <si>
    <t xml:space="preserve">II. POZOSTAŁE PRZEDSIĘWZIĘCIA W ZAKRESIE OCHRONY ZDROWIA </t>
  </si>
  <si>
    <t>I. PRZEDSIĘWZIĘCIA FINANSOWANE PRZY WSPÓŁUDZIALE ŚRODKÓW, O KTÓRYCH MOWA W ART. 5 UST. 1 PKT 2 I 3 UFP W ZAKRESIE TRANSPORTU I ŁĄCZNOŚCI</t>
  </si>
  <si>
    <t xml:space="preserve">I. PRZEDSIĘWZIĘCIA INWESTYCYJNE FINANSOWANE PRZY WSPÓŁUDZIALE ŚRODKÓW, O KTÓRYCH MOWA W ART. 5 UST. 1 PKT 2 I 3 UFP W ZAKRESIE ROLNICTWA I OCHRONY ŚRODOWISKA </t>
  </si>
  <si>
    <t>WZS/ WIiT</t>
  </si>
  <si>
    <t>rodz.  75863</t>
  </si>
  <si>
    <t xml:space="preserve">PROJEKTY REALIZOWANE W RAMACH POZOSTAŁYCH FUNDUSZY UE </t>
  </si>
  <si>
    <t>Lider Zachodniopomorski w ramach Programu "Młodzież w działaniu", Akcja 5.1. - Spotkania młodzieży i osób odpowiedzialnych za politykę młodzieżową (2013-2014)</t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</si>
  <si>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</si>
  <si>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t xml:space="preserve">dotacje celowe  z budżetu państwa </t>
  </si>
  <si>
    <t>PROJEKTY  REALIZOWANE  W  RAMACH  IW  INTERREG</t>
  </si>
  <si>
    <t>środki z Unii Europejskiej (refundacja)</t>
  </si>
  <si>
    <t>IW INTERREG NA LATA 2014 - 2020</t>
  </si>
  <si>
    <t>spr źródeł</t>
  </si>
  <si>
    <t>spr doch suma dziedzin</t>
  </si>
  <si>
    <t>poręczenia dla ZOZ-ów</t>
  </si>
  <si>
    <t>czekam na pismo do uzunięcia</t>
  </si>
  <si>
    <t>PROJEKTY  REALIZOWANE  W  RAMACH RPO WZ 2007-2013 oraz RPO WZ 2014 - 2020</t>
  </si>
  <si>
    <t>rozdz. 75864</t>
  </si>
  <si>
    <t xml:space="preserve"> - Gmina i Miasto Koszalin</t>
  </si>
  <si>
    <t xml:space="preserve"> - WFOŚiGW</t>
  </si>
  <si>
    <t>spr</t>
  </si>
  <si>
    <r>
      <t>Dochody PT 2014-2020 w latach 2021-2023 (</t>
    </r>
    <r>
      <rPr>
        <b/>
        <sz val="10"/>
        <rFont val="Arial"/>
        <family val="2"/>
        <charset val="238"/>
      </rPr>
      <t>płatności)</t>
    </r>
  </si>
  <si>
    <t>Razem wydatki w latach 2014-2020</t>
  </si>
  <si>
    <t>Wydatki (WW) PT 2014-2020 - lata 2021-2023</t>
  </si>
  <si>
    <t>wydatki w latach 2021-23 PT RPO</t>
  </si>
  <si>
    <t>2023 r.</t>
  </si>
  <si>
    <t>2021 r.</t>
  </si>
  <si>
    <t>2022 r.</t>
  </si>
  <si>
    <t xml:space="preserve">2021 r. </t>
  </si>
  <si>
    <t xml:space="preserve">2022 r. </t>
  </si>
  <si>
    <t xml:space="preserve">2023 r. </t>
  </si>
  <si>
    <t>Oś X, Pomoc techniczna RPO WZ 2014 - 2020 (2015-2023)</t>
  </si>
  <si>
    <t>Zakupy inwestycyjne w ramach Osi X - Pomoc techniczna RPO WZ 2014 - 2020 (2015-2023)</t>
  </si>
  <si>
    <t>Zachodniopomorskie Centrum Kształcenia Zawodowego i Ustawicznego w Szczecinie - nadzór WEiS</t>
  </si>
  <si>
    <t>rozdz. 80130</t>
  </si>
  <si>
    <t>Zrealizowane nakłady/
uzyskane dochody</t>
  </si>
  <si>
    <t xml:space="preserve">Zrealizowane nakłady/
uzyskane dochody </t>
  </si>
  <si>
    <t xml:space="preserve"> - Gmina i Miasto Koszalin/ AZR</t>
  </si>
  <si>
    <t xml:space="preserve"> - WFOŚiGW/AZR</t>
  </si>
  <si>
    <t>Sieć Punktów Informacyjnych Funduszy Europejskich (PIFE) w Województwie Zachodniopomorskim w ramach PO Pomoc Techniczna (2015-2020)</t>
  </si>
  <si>
    <t>II. POZOSTAŁE  PRZEDSIĘWZIĘCIA  W ZAKRESIE ROZWOJU REGIONALNEGO I PLANOWANIA PRZESTRZENNEGO</t>
  </si>
  <si>
    <t>rozdz. 71003</t>
  </si>
  <si>
    <t>C.</t>
  </si>
  <si>
    <t>D.</t>
  </si>
  <si>
    <t>WYDATKI OGÓŁEM</t>
  </si>
  <si>
    <t>dotacje celowe / płatności z UE (w ramach działania 10.1 RPO WZ 2014-2020)</t>
  </si>
  <si>
    <t>dotacje celowe / płatności z UE (w ramach działania 2.13 RPO WZ 2014-2020)</t>
  </si>
  <si>
    <t>dotacje celowe / płatności z UE ( w ramach działania 2.1 RPO WZ 2014-2020)</t>
  </si>
  <si>
    <t>DOCHODY OGÓŁEM, z tego:</t>
  </si>
  <si>
    <t>DOCHODY OGÓŁEM</t>
  </si>
  <si>
    <t>Konsolidacja siedziby Urzędu Marszałkowskiego - etap A</t>
  </si>
  <si>
    <t>dotacje celowe / płatności z UE (w ramach działanie 10.1 RPO WZ 2014-2020)</t>
  </si>
  <si>
    <t>dotacje celowe / płatności z UE (w ramach działania 10.1  RPO WZ 2014-2020)</t>
  </si>
  <si>
    <t>dotacje celowe / płatności z UE (w ramach działania 2.13  RPO WZ 2014-2020)</t>
  </si>
  <si>
    <t>Konsolidacja siedziby Urzędu Marszałkowskiego - etap B</t>
  </si>
  <si>
    <t>dotacje celowe / płatności z UE ( w ramach działania 10.1 RPO WZ 2014-2020)</t>
  </si>
  <si>
    <t>dotacje celowe / płatności z UE (w ramach działania 2.1 RPO WZ 2014-2020)</t>
  </si>
  <si>
    <t>rozdział 75018</t>
  </si>
  <si>
    <t>środki poza budżetem</t>
  </si>
  <si>
    <t>24.</t>
  </si>
  <si>
    <t>m</t>
  </si>
  <si>
    <t>b</t>
  </si>
  <si>
    <t>Konsolidacja UM dochody</t>
  </si>
  <si>
    <t>rozdz. 75863
75864</t>
  </si>
  <si>
    <t>19.</t>
  </si>
  <si>
    <t>21.</t>
  </si>
  <si>
    <t>WOiRZL</t>
  </si>
  <si>
    <t xml:space="preserve">Wsparcie gmin w opracowaniu albo aktualizacji programów rewitalizacji w ramach PO Pomoc Techniczna (2016 - 2018) </t>
  </si>
  <si>
    <t>9b</t>
  </si>
  <si>
    <t>9c</t>
  </si>
  <si>
    <r>
      <t xml:space="preserve">Znaczenie nowoczesnych technologii w motywowaniu dorosłych z terenów defaworyzowanych do uczenia się </t>
    </r>
    <r>
      <rPr>
        <sz val="9"/>
        <rFont val="Arial CE"/>
        <charset val="238"/>
      </rPr>
      <t>w ramach Programu LLP „Uczenie się przez całe życie” – GRUNDTVIG</t>
    </r>
    <r>
      <rPr>
        <b/>
        <sz val="9"/>
        <rFont val="Arial CE"/>
        <charset val="238"/>
      </rPr>
      <t xml:space="preserve"> (2013-2015)</t>
    </r>
  </si>
  <si>
    <r>
      <t xml:space="preserve">Modernizacja skrzydła północnego Zamku Książąt Pomorskich w Szczecinie </t>
    </r>
    <r>
      <rPr>
        <sz val="9"/>
        <rFont val="Arial CE"/>
        <charset val="238"/>
      </rPr>
      <t>w ramach RPO WZ, Osi VI: Rozwój Funkcji Metropolitalnych</t>
    </r>
    <r>
      <rPr>
        <b/>
        <sz val="9"/>
        <rFont val="Arial CE"/>
        <charset val="238"/>
      </rPr>
      <t xml:space="preserve"> (2012-2015) </t>
    </r>
  </si>
  <si>
    <t>środki z budżetu województwa (subwencja)</t>
  </si>
  <si>
    <t xml:space="preserve">rozdz. </t>
  </si>
  <si>
    <t>Przebudowa i rozbudowa przejścia drogi woj. nr 122 przez m. Krzywin (etap II) w ramach IW INTERREG V A (2018-2019)</t>
  </si>
  <si>
    <t>Przebudowa i rozbudowa przejścia drogi woj. nr 125 przez m. Moryń i m. Bielin w ramach IW INTERREG V A (2018-2019)</t>
  </si>
  <si>
    <t>Oś X, Pomoc techniczna RPO WZ 2014-2020 (2015-2023)</t>
  </si>
  <si>
    <t>Konsolidacja siedziby Urzędu Marszałkowskiego Województwa Zachodniopomorskiego - razem etap A i B  (2016-2020)</t>
  </si>
  <si>
    <t>rozdz. 
60001
75863</t>
  </si>
  <si>
    <t>Decyzja o dofinansowaniu projektu Nr RPZP.05.06.00-32-0001/16-00 z 1.08.2016</t>
  </si>
  <si>
    <t>Brak decyzji</t>
  </si>
  <si>
    <t>Wspieranie innowacyjnych ekosystemów przedsiębiorczości w regionach na rzecz młodych przedsiębiorców (iEER) w ramach Interreg VC (2016-2020)</t>
  </si>
  <si>
    <t>rozdz. 
15011</t>
  </si>
  <si>
    <t>WWT/WOiRZL</t>
  </si>
  <si>
    <t>Sieć Punktów Informacyjnych Funduszy Europejskich (PIFE) w Województwie Zachodniopomorskim w ramach PO Pomoc Techniczna - zakupy inwestycyjne  (2015-2020)</t>
  </si>
  <si>
    <t xml:space="preserve">2. </t>
  </si>
  <si>
    <t>ROPS</t>
  </si>
  <si>
    <t>rozdz.
75864</t>
  </si>
  <si>
    <t xml:space="preserve">rozdz. 
75018
85395
</t>
  </si>
  <si>
    <t>WRiR</t>
  </si>
  <si>
    <t>Szlaki rowerowe na wybranych odcinkach wałów przeciwpowodziowych w województwie zachodniopomorskim w ramach Osi IV RPO (2017-2018)</t>
  </si>
  <si>
    <t>WWT/
WOiRZL</t>
  </si>
  <si>
    <t>ROPS/
WOiRZL</t>
  </si>
  <si>
    <t>WUP
 w Szczecinie
pod nadzorem WZS</t>
  </si>
  <si>
    <t>Regionalny Szpital 
w Kołobrzegu 
pod nadzorem WZ</t>
  </si>
  <si>
    <t>WZS</t>
  </si>
  <si>
    <t>WIiN, WZS</t>
  </si>
  <si>
    <t>WIiN</t>
  </si>
  <si>
    <t>WA, WSIiI</t>
  </si>
  <si>
    <t>Wspieranie realizacji zadań publicznych Województwa Zachodniopomorskiego w zakresie upowszechniania kultury fizycznej (2014-2019)</t>
  </si>
  <si>
    <t xml:space="preserve">WPROW 
</t>
  </si>
  <si>
    <t>RBGP WZ w Szczecinie pod nadzorem WZS</t>
  </si>
  <si>
    <t>Bieżące utrzymanie dróg i mostów (2017-2020)</t>
  </si>
  <si>
    <t>Przebudowa dróg i mostów (2017-2020)</t>
  </si>
  <si>
    <t>Sprawdzenie wydatki z budżetu (UM +WUP + IP)</t>
  </si>
  <si>
    <t>Sprawdzenie dochody z budżetu (UM + WUP+IZ)</t>
  </si>
  <si>
    <t>Wydatki bieżące PT Oś X (UM + IP)</t>
  </si>
  <si>
    <t>Wydatki majątkowe PT Oś X (UM + IP)</t>
  </si>
  <si>
    <t>Konsolidacja UM wydatki</t>
  </si>
  <si>
    <t>PT oś X dochody ogółem w budżecie</t>
  </si>
  <si>
    <t>PT oś X wydatki ogółem w budżecie</t>
  </si>
  <si>
    <t>Dokumentacje techniczne na zadania drogowe (2011-2020)</t>
  </si>
  <si>
    <t>Oś X, Pomoc techniczna RPO WZ 2014-2020 - wydatki majątkowe (2015-2023)</t>
  </si>
  <si>
    <t>dotacje celowe/płatności z UE</t>
  </si>
  <si>
    <t>rozdz. 92109</t>
  </si>
  <si>
    <t>Zamek Książąt Pomorskich w Szczecinie - nadzór WKNiDN</t>
  </si>
  <si>
    <t>rozdz. 71012</t>
  </si>
  <si>
    <t xml:space="preserve">
WWT/
WOiRZL</t>
  </si>
  <si>
    <t xml:space="preserve">Zakupy inwestycyjne w ramach wsparcia gmin w opracowaniu albo aktualizacji programów rewitalizacji w ramach PO Pomoc Techniczna (2016 - 2018) </t>
  </si>
  <si>
    <t>Oś Priorytetowa VI, Pomoc Techniczna w ramach  PO WER 2014 - 2020 (2015-2020)</t>
  </si>
  <si>
    <t>Oś Priorytetowa VI, Pomoc Techniczna w ramach  PO WER 2014-2020 - wydatki majątkowe (2015-2020)</t>
  </si>
  <si>
    <t>Modernizacja i remont dziedzińców Zamku Książąt Pomorskich w Szczecinie (2017-2018)</t>
  </si>
  <si>
    <t>Gospodarowanie nieruchomościami należącymi do zasobu Województwa Zachodniopomorskiego (2010-2017)</t>
  </si>
  <si>
    <t>majątkowe/
bieżące*</t>
  </si>
  <si>
    <t>rozdz. 
15011
75018</t>
  </si>
  <si>
    <t xml:space="preserve"> - Gmina i Miasto Koszalin/AZR</t>
  </si>
  <si>
    <r>
      <t xml:space="preserve">Projekt pn. "Europejskie Standardy w Opiece nad Osobami Starszymi" </t>
    </r>
    <r>
      <rPr>
        <sz val="9"/>
        <rFont val="Arial CE"/>
        <charset val="238"/>
      </rPr>
      <t>w ramach Programu Erasmus+</t>
    </r>
    <r>
      <rPr>
        <b/>
        <sz val="9"/>
        <rFont val="Arial CE"/>
        <charset val="238"/>
      </rPr>
      <t xml:space="preserve"> (2015-2016)</t>
    </r>
  </si>
  <si>
    <t>rozdz. 01078</t>
  </si>
  <si>
    <t>Utrzymanie szlaków rowerowych na wybranych odcinkach wałów przeciwpowodziowych w Województwie Zachodniopomorskim</t>
  </si>
  <si>
    <t>Przebudowa i rozbudowa przejścia drogi wojewódzkiej nr 120 przez m. Wełtyń w ramach IW INTERREG V A (2016-2017)</t>
  </si>
  <si>
    <t>RPO WZ NA LATA 2007-2013</t>
  </si>
  <si>
    <t>Projekt ochrony przeciwpowodziowej w dorzeczu Odry i Wisły - komponent 1.A Ochrona przed powodzią obszarów na terenie Województwa Zachodniopomorskiego (2017 - 2022)</t>
  </si>
  <si>
    <t>Utrzymanie szlaków rowerowych na wybranych odcinkach wałów przeciwpowodziowych w Województwie Zachodniopomorskim (2019 - 2023)</t>
  </si>
  <si>
    <t xml:space="preserve">Budowa niebieskiego korytarza ekologicznego wzdłuż doliny rzeki Regi  i jej dopływów w ramach Instrumentu Finansowego LIFE+ (2012-2019) </t>
  </si>
  <si>
    <t>Zespół Parków Krajobrazowych WZ pod nadzorem WTG</t>
  </si>
  <si>
    <r>
      <t xml:space="preserve">Tabela Nr 6  </t>
    </r>
    <r>
      <rPr>
        <i/>
        <sz val="12"/>
        <rFont val="Arial CE"/>
        <charset val="238"/>
      </rPr>
      <t xml:space="preserve">do załącznika Nr 3 </t>
    </r>
  </si>
  <si>
    <r>
      <t xml:space="preserve"> - wydatki bieżące</t>
    </r>
    <r>
      <rPr>
        <b/>
        <sz val="12"/>
        <rFont val="Arial CE"/>
        <charset val="238"/>
      </rPr>
      <t xml:space="preserve"> </t>
    </r>
  </si>
  <si>
    <t>Pomoc Techniczna  w ramach PROW 2014 - 2020 (2015-2023)</t>
  </si>
  <si>
    <t>rozdz. 63003,    75018</t>
  </si>
  <si>
    <t>rozdz. 92116</t>
  </si>
  <si>
    <t>Książnica Pomorska w Szczecinie - nadzór WKNiDN</t>
  </si>
  <si>
    <t xml:space="preserve"> - WWŚRPO</t>
  </si>
  <si>
    <t>WWŚRPO</t>
  </si>
  <si>
    <t>WTiG / WOiRZL</t>
  </si>
  <si>
    <t>bez umowy</t>
  </si>
  <si>
    <t>IW INTERREG VA drogi - wydatki</t>
  </si>
  <si>
    <t>IW  INTERREG  VA drogi - dochody</t>
  </si>
  <si>
    <t>INTERREG VC (wsparcie przedsiębiorczości) - wydatki</t>
  </si>
  <si>
    <t>INTERREG VC (wsparcie przedsiębiorczości) - dochody</t>
  </si>
  <si>
    <t>- środki z budżetu województwa WTiG</t>
  </si>
  <si>
    <t>- środki z budżetu województwa WOiRZL</t>
  </si>
  <si>
    <t>- dotacje celowe / płatności z UE WOiRZL</t>
  </si>
  <si>
    <t>- dotacje celowe / płatności z UE WTiG</t>
  </si>
  <si>
    <t>Fish Markets - dziedzictwo rybołówstwa przybrzeżnego jako potencjał rozwoju turystyki w ramach Programu INTERREG Południowy Bałtyk 2014-2020 (2017-2019)</t>
  </si>
  <si>
    <t>Biking South Baltic! Promocja i rozwój Trasy Rowerowej Morza Bałtyckiego (EuroVelo 10) w Danii, Niemczech, Litwie, Polsce i Szwecji w ramach Programu Interreg Południowy Bałtyk (2017-2019) - zakupy inwestycyjne</t>
  </si>
  <si>
    <t>Biking South Baltic! Promocja i rozwój Trasy Rowerowej Morza Bałtyckiego (EuroVelo 10) w Danii, Niemczech, Litwie, Polsce i Szwecji w ramach Programu Interreg Południowy Bałtyk (2017-2019)</t>
  </si>
  <si>
    <t>rozdz. 75018
75095
90011*</t>
  </si>
  <si>
    <t xml:space="preserve"> * dotyczy wykonania wydatków WFOŚiGW</t>
  </si>
  <si>
    <t>WZS, WWRPO, WOiRZL, GM, WWŚRPO</t>
  </si>
  <si>
    <t xml:space="preserve">Wzmacnianie ochrony bociana białego i nietoperzy oraz realizacja zadań czynnej ochrony w rezerwatach przyrody na obszarach parków krajobrazowych województwa zachodniopomorskiego- bieżące" w ramach Osi IV RPO (2017-2020) </t>
  </si>
  <si>
    <t>Samodzielny Publiczny Wojewódzki
Szpital
 Zespolony w Szczecinie pod nadzorem WZ</t>
  </si>
  <si>
    <t>Limit` 17</t>
  </si>
  <si>
    <t>Wykonanie wg sprawozdania</t>
  </si>
  <si>
    <t xml:space="preserve">Różnica
</t>
  </si>
  <si>
    <t>Utrzymanie i naprawy pojazdów szynowych Województwa (2015 -2020)</t>
  </si>
  <si>
    <t>WZS, WWRPO, GM, WWŚRPO</t>
  </si>
  <si>
    <t>Budowa wiaduktu w m. Rzeczyca w ciągu drogi nr 206 (2017-2018)</t>
  </si>
  <si>
    <t>Zintegrowane wsparcie dla rodzin i pieczy zastępczej na terenie województwa zachodniopomorskiego w ramach działania 7.6 RPO WZ (2017-2018)</t>
  </si>
  <si>
    <t>rozdz. 
75864</t>
  </si>
  <si>
    <t>rozdz. 
75863</t>
  </si>
  <si>
    <t>GM</t>
  </si>
  <si>
    <t>COiE</t>
  </si>
  <si>
    <t>rozdz. 
75018
75075</t>
  </si>
  <si>
    <t>rozdz. 
75075</t>
  </si>
  <si>
    <t>w tym:</t>
  </si>
  <si>
    <t>rozdz. 71095</t>
  </si>
  <si>
    <t>Strategia Rozwoju Województwa Zachodniopomorskiego do roku 2030 - badania, analizy i oceny eksperckie (2017-2018)</t>
  </si>
  <si>
    <t xml:space="preserve">w 2016 r. przesunięcie między źródłami fin o kwotę 747 zł </t>
  </si>
  <si>
    <t>2016 r. uwzględniono dokumentację</t>
  </si>
  <si>
    <t xml:space="preserve"> - dziedziny</t>
  </si>
  <si>
    <t>CZĘŚĆ I</t>
  </si>
  <si>
    <t>DOCHODY BIEŻĄCE</t>
  </si>
  <si>
    <t>DOCHODY MAJĄTKOWE</t>
  </si>
  <si>
    <t>suma</t>
  </si>
  <si>
    <t>◄ kwota poręczeń w latach 2021-2032</t>
  </si>
  <si>
    <t>brak umowy</t>
  </si>
  <si>
    <t>Wieloletnie umowy mające na celu zapewnienie ciągłości działania Urzędu Marszałkowskiego Województwa Zachodniopomorskiego (2012 - 2020)</t>
  </si>
  <si>
    <r>
      <t xml:space="preserve">Zakup kolejowego taboru pasażerskiego o napędzie spalinowym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</si>
  <si>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Zakup kolejowego taboru pasażerskiego o napędzie elektrycznym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</si>
  <si>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>Młodzież w działaniu, Prowadzenie Punktu Informacji Europejskiej</t>
    </r>
    <r>
      <rPr>
        <sz val="11"/>
        <rFont val="Arial CE"/>
        <charset val="238"/>
      </rPr>
      <t xml:space="preserve"> (środki Komisji Europejskiej), </t>
    </r>
    <r>
      <rPr>
        <b/>
        <sz val="11"/>
        <rFont val="Arial CE"/>
        <charset val="238"/>
      </rPr>
      <t>GRUNTVIG</t>
    </r>
    <r>
      <rPr>
        <b/>
        <sz val="11"/>
        <rFont val="Arial CE"/>
        <family val="2"/>
        <charset val="238"/>
      </rPr>
      <t xml:space="preserve"> - wydatki</t>
    </r>
  </si>
  <si>
    <r>
      <t xml:space="preserve">Młodzież w działaniu, Prowadzenie Punktu Informacji Europejskiej </t>
    </r>
    <r>
      <rPr>
        <sz val="11"/>
        <rFont val="Arial CE"/>
        <charset val="238"/>
      </rPr>
      <t xml:space="preserve">(środki Komisji Europejskiej), </t>
    </r>
    <r>
      <rPr>
        <b/>
        <sz val="11"/>
        <rFont val="Arial CE"/>
        <charset val="238"/>
      </rPr>
      <t>GRUNTVIG</t>
    </r>
    <r>
      <rPr>
        <sz val="11"/>
        <rFont val="Arial CE"/>
        <charset val="238"/>
      </rPr>
      <t xml:space="preserve"> </t>
    </r>
    <r>
      <rPr>
        <b/>
        <sz val="11"/>
        <rFont val="Arial CE"/>
        <family val="2"/>
        <charset val="238"/>
      </rPr>
      <t>- dochody</t>
    </r>
  </si>
  <si>
    <t xml:space="preserve">► różnica </t>
  </si>
  <si>
    <t>Decyzja jest - do uzupełnienia - po 5 czerwca</t>
  </si>
  <si>
    <t>rozdz.
60095</t>
  </si>
  <si>
    <t>rozdz. 60095
75018</t>
  </si>
  <si>
    <t>TalkNET - Sieć zainteresowanych podmiotów z sektora transportu i logistyki w ramach IW INTERREG VB (2017-2020)</t>
  </si>
  <si>
    <t>Regionalny Punkt Kontaktowy - Pomoc Techniczna w ramach Programu Współpracy INTERREG VA - wydatki bieżące (2016-2020)</t>
  </si>
  <si>
    <t>INTERREG VB  TENTacle; TalkNET - Sieć zainteresowanych  - wydatki</t>
  </si>
  <si>
    <t>INTERREG VB  TENTacle; TalkNET - Sieć zainteresowanych - dochody</t>
  </si>
  <si>
    <t xml:space="preserve"> Interreg VA Program Południowy Bałtyk - wydatki</t>
  </si>
  <si>
    <t>IW INTERREG VA Pomoc Tech. (WWT Poludniowy Bałtyk; Regionalny Punkt Kontaktowy) - wydatki</t>
  </si>
  <si>
    <t>IW  INTERREG VA Pomoc Tech.  ((WWT Poludniowy Bałtyk; Regionalny Punkt Kontaktowy) ) - dochody</t>
  </si>
  <si>
    <t xml:space="preserve"> Interreg VA Program Południowy Bałtyk    - dochody</t>
  </si>
  <si>
    <t>Przebudowa odcinków szlakowych dróg wojewódzkich (2017-2019)</t>
  </si>
  <si>
    <t>rozdz. 63003/75018</t>
  </si>
  <si>
    <t>WTIG</t>
  </si>
  <si>
    <t>Modernizacja sieci komputerowej logicznej i elektrycznej w Książnicy Pomorskiej (2017-2018)</t>
  </si>
  <si>
    <t>Decyzja podpisana - po 5 czerwca</t>
  </si>
  <si>
    <t xml:space="preserve">rozdz. 92502,   75863 </t>
  </si>
  <si>
    <t>rozdz. 
60013</t>
  </si>
  <si>
    <t>bez umwoy</t>
  </si>
  <si>
    <t>umowa</t>
  </si>
  <si>
    <t>kontynuowane</t>
  </si>
  <si>
    <t>Bałtyckie trasy dziedzictwa w ramach Programu Interreg Południowy Bałtyk (2017-2020)</t>
  </si>
  <si>
    <t>BALTIC STORIES - Rozwój turystyki poprzez profesjonalizację wydarzeń w regionie południowego bałtyku w ramach Programu Interreg Południowy Bałtyk (2017-2020)</t>
  </si>
  <si>
    <t>Regionalny Punkt Kontaktowy - Pomoc Techniczna w ramach Programu Współpracy INTERREG VA - wydatki majątkowe  (2016-2020)</t>
  </si>
  <si>
    <r>
      <t xml:space="preserve">Tabela Nr 6C </t>
    </r>
    <r>
      <rPr>
        <i/>
        <sz val="12"/>
        <rFont val="Arial CE"/>
        <charset val="238"/>
      </rPr>
      <t xml:space="preserve"> do Załącznika Nr 3</t>
    </r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</si>
  <si>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</si>
  <si>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t>Poręczenie pożyczki dla Regionalnego Szpitala w Kołobrzegu na dofinansowanie realizacji zadania inwestycyjnego pn. Poprawa efektywności energetycznej budynków Szpitala Regionalnego w Kołobrzegu (2016 - 2028)*</t>
  </si>
  <si>
    <r>
      <t xml:space="preserve">* w latach 2024- 2028 kwota poręczenia dla Regionalnego Szpitala w Kołobrzegu wynosi </t>
    </r>
    <r>
      <rPr>
        <b/>
        <i/>
        <sz val="8"/>
        <rFont val="Arial CE"/>
        <charset val="238"/>
      </rPr>
      <t>1.050.002 zł.</t>
    </r>
  </si>
  <si>
    <r>
      <t xml:space="preserve">** w latach 2024- 2032 kwota poręczenia dla Samodzielnego Publicznego Wojewódzkiego Szpitala Zespolonego  w Szczecinie  wynosi </t>
    </r>
    <r>
      <rPr>
        <b/>
        <i/>
        <sz val="8"/>
        <rFont val="Arial CE"/>
        <charset val="238"/>
      </rPr>
      <t>33.257.445 zł</t>
    </r>
    <r>
      <rPr>
        <i/>
        <sz val="8"/>
        <rFont val="Arial CE"/>
        <charset val="238"/>
      </rPr>
      <t>.</t>
    </r>
  </si>
  <si>
    <t>Poręczenie kredytu konsolidacyjnego dla Samodzielnego Publicznego Wojewódzkiego Szpitala Zespolonego  w Szczecinie (2017-2032)**</t>
  </si>
  <si>
    <t>dotacje celowe / płatności z UE**</t>
  </si>
  <si>
    <t>Wsparcie techniczne Interreg VA Południowy Bałtyk - wydatki bieżące (2015-2020)</t>
  </si>
  <si>
    <t>Poręczenie kredytu dla Szpitala w Szczecinie Zdunowie - następca prawny SPWSZ w Szczecinie  (2014-2022)</t>
  </si>
  <si>
    <t>do 2016 r.</t>
  </si>
  <si>
    <t>do 2016</t>
  </si>
  <si>
    <t>WYDATKI</t>
  </si>
  <si>
    <t>DOCHODY</t>
  </si>
  <si>
    <t>8a</t>
  </si>
  <si>
    <t>8b</t>
  </si>
  <si>
    <t>Ubezpieczenie taboru kolejowego Województwa (2011-2021)</t>
  </si>
  <si>
    <t xml:space="preserve">Usługi telekomunikacyjne dla pojazdów szynowych Województwa (2015-2021) </t>
  </si>
  <si>
    <t>Wymiana i rozbudowa parku maszyn i urządzeń ZZDW w Koszalinie (2016-2018)</t>
  </si>
  <si>
    <t>Przebudowa i rozbudowa przejścia drogowego przez m. Tanowo na drodze woj. Nr 115 w ramach IW INTERREG V A (2010-2018)</t>
  </si>
  <si>
    <t>Przebudowa i rozbudowa przejścia drogi woj. nr 125 przez m. Golice i m. Klępicz w ramach IW INTERREG V A (2016-2018)</t>
  </si>
  <si>
    <t>Przebudowa i rozbudowa przejścia drogi woj. nr 114 przez m. Brzózki w ramach IW INTERREG V A (2016-2018)</t>
  </si>
  <si>
    <t>decyzja z 25.09.17</t>
  </si>
  <si>
    <t xml:space="preserve">* kwota wykonania 2016 r. (250 844 zł) jednak nie jest zgodna ze sprawozdaniem RB, wynika z faktycznie poniesionych przez jednostkę wydatków </t>
  </si>
  <si>
    <r>
      <t>Przebudowa drogi wojewódzkiej nr 102 na odcinku Łukęcin - Lędzin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</si>
  <si>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151 na odcinku Świdwin - Łobez </t>
    </r>
    <r>
      <rPr>
        <sz val="9"/>
        <rFont val="Arial CE"/>
        <family val="2"/>
        <charset val="238"/>
      </rPr>
      <t>(etap I przebudowa mostu w m. Łobez)</t>
    </r>
    <r>
      <rPr>
        <b/>
        <sz val="9"/>
        <rFont val="Arial CE"/>
        <family val="2"/>
        <charset val="238"/>
      </rPr>
      <t xml:space="preserve">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(2013-2017)</t>
    </r>
  </si>
  <si>
    <r>
      <t xml:space="preserve">Przebudowa ul. Jagiełły w ciągu drogi wojewódzkiej nr 160 i ul. Dąbrowszczaków w ciągu drogi wojewódzkiej nr 175 w m. Choszczno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</si>
  <si>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Budowa sieci tras rowerowych Pomorza Zachodniego - Trasa Pojezierna </t>
    </r>
    <r>
      <rPr>
        <sz val="9"/>
        <rFont val="Arial CE"/>
        <family val="2"/>
        <charset val="238"/>
      </rPr>
      <t xml:space="preserve">w ramach Osi IV RPO </t>
    </r>
    <r>
      <rPr>
        <b/>
        <sz val="9"/>
        <rFont val="Arial CE"/>
        <family val="2"/>
        <charset val="238"/>
      </rPr>
      <t>(2016-2018)</t>
    </r>
  </si>
  <si>
    <r>
      <t xml:space="preserve">Budowa sieci tras rowerowych Pomorza Zachodniego - Trasa Nadmorska </t>
    </r>
    <r>
      <rPr>
        <sz val="9"/>
        <rFont val="Arial CE"/>
        <family val="2"/>
        <charset val="238"/>
      </rPr>
      <t>w ramach Osi IV RPO</t>
    </r>
    <r>
      <rPr>
        <b/>
        <sz val="9"/>
        <rFont val="Arial CE"/>
        <family val="2"/>
        <charset val="238"/>
      </rPr>
      <t xml:space="preserve"> (2016-2018)</t>
    </r>
  </si>
  <si>
    <t>Prognozowane nakłady inwestycyjne /dochody 
w latach 2018 - 2023</t>
  </si>
  <si>
    <r>
      <t>Limit zobowiązań na lata 2018-20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</si>
  <si>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Prognozowane nakłady inwestycyjne / dochody z tytułu realizacji projektów  w latach 2018-2023</t>
  </si>
  <si>
    <t>Limity zobowiązań 2018-2023 i lata następne</t>
  </si>
  <si>
    <t>GM/COIiE/WWT, WTiG/WOiRZL</t>
  </si>
  <si>
    <t>Zrealizowane nakłady/ 
uzyskane dochody do 2016 r.</t>
  </si>
  <si>
    <t>Zrealizowane nakłady/
uzyskane dochody w 2016 r.</t>
  </si>
  <si>
    <t>Limity zobowiązań 2018-2023  i lata następne</t>
  </si>
  <si>
    <t>Limit zobowiązań 
w latach 
2018-2023</t>
  </si>
  <si>
    <r>
      <t xml:space="preserve">Tabela Nr 6F </t>
    </r>
    <r>
      <rPr>
        <i/>
        <sz val="12"/>
        <rFont val="Arial CE"/>
        <charset val="238"/>
      </rPr>
      <t xml:space="preserve"> do Załącznika Nr 3</t>
    </r>
  </si>
  <si>
    <t>WUP 
w Szczecinie 
pod nadzorem COIiE</t>
  </si>
  <si>
    <t>WUP
 w Szczecinie 
pod nadzorem COIiE</t>
  </si>
  <si>
    <t>GM/
COIiE/
WWT</t>
  </si>
  <si>
    <t>Specjalistyczny Szpital im. A. Sokołowskiego 
w Szczecinie - Zdunowo - następca prawny SPWSZ 
w Szczecinie   
pod nadzorem WZ</t>
  </si>
  <si>
    <t>ZZMiUW w Szczecinie 
w likwidacji 
pod nadzorem WRiR</t>
  </si>
  <si>
    <t>ZZMiUW w Szczecinie
w likwidacji   
pod nadzorem WRiR</t>
  </si>
  <si>
    <t>ZZMiUW w Szczecinie
w likwidacji 
pod nadzorem WRiR</t>
  </si>
  <si>
    <r>
      <t xml:space="preserve">Dokumentacje techniczne na budowę sieci tras rowerowych Pomorza Zachodniego </t>
    </r>
    <r>
      <rPr>
        <sz val="9"/>
        <rFont val="Arial CE"/>
        <family val="2"/>
        <charset val="238"/>
      </rPr>
      <t>w ramach Osi IV RPO</t>
    </r>
    <r>
      <rPr>
        <b/>
        <sz val="9"/>
        <rFont val="Arial CE"/>
        <family val="2"/>
        <charset val="238"/>
      </rPr>
      <t xml:space="preserve"> (2017-2019)</t>
    </r>
  </si>
  <si>
    <t>Wyposażenie w nowoczesny sprzęt Zachodniopomorskiej Książnicy Cyfrowej w Szczecinie w ramach Osi VIII PO IiŚ (2017-2018)</t>
  </si>
  <si>
    <r>
      <t xml:space="preserve">Tabela Nr 6E  </t>
    </r>
    <r>
      <rPr>
        <i/>
        <sz val="12"/>
        <rFont val="Arial CE"/>
        <charset val="238"/>
      </rPr>
      <t>do Załącznika Nr 3</t>
    </r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</si>
  <si>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</si>
  <si>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r>
      <t xml:space="preserve">Tabela Nr 6H </t>
    </r>
    <r>
      <rPr>
        <i/>
        <sz val="12"/>
        <rFont val="Arial CE"/>
        <charset val="238"/>
      </rPr>
      <t>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</si>
  <si>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</si>
  <si>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Limity zobowiązań 2017-2023 i lata następne</t>
  </si>
  <si>
    <r>
      <t>Limit zobowiązań na lata 2017-20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</si>
  <si>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Limity zobowiązań 2017-2023  i lata następne</t>
  </si>
  <si>
    <t>Limit zobowiązań 
w latach 
2017-2023</t>
  </si>
  <si>
    <t>WYDATKI ŁĄCZNIE - 
stan na 19 grudnia 2017 r.</t>
  </si>
  <si>
    <t>DOCHODY ŁĄCZNIE - 
stan na 19 grudnia 2017 r.</t>
  </si>
  <si>
    <t>Wzmocnienie pozycji regionalnej gospodarki, Pomorze Zachodnie - Ster na innowacje w ramach osi I RPO WZ - wydatki bieżące (2017-2020)</t>
  </si>
  <si>
    <t>Wzmocnienie pozycji regionalnej gospodarki, Pomorze Zachodnie - Ster na innowacje w ramach osi I RPO WZ - wydatki majątkowe (2017-2020)</t>
  </si>
  <si>
    <t>Budowa Morskiego Centrum Nauki w Szczecinie w ramach osi IX RPO WZ 2014-2020 (2011-2022)</t>
  </si>
  <si>
    <t>Morskie Centrum Nauki w Szczecinie i Muzeum Narodowe w Szczecinie - nadzór WKNiDN</t>
  </si>
  <si>
    <t>WPF - Likwidacja skutków katastrofy budowlanej w skrzydle północnym Zamku Książąt Pomorskich w Szczecinie (2017-2018)</t>
  </si>
  <si>
    <t>Konserwatorskie Niebo - zakup wyposażenia do Pracowni Działu Konserwacji Muzeum Narodowego w Szczecinie w ramach POIiŚ 2014 - 2020 (2017-2019)</t>
  </si>
  <si>
    <t>dotacje celowe z budżetu państwa (poza budzetem)</t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</si>
  <si>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</si>
  <si>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rozdz. 92505</t>
  </si>
  <si>
    <t>środki z budżetu krajowego</t>
  </si>
  <si>
    <t xml:space="preserve"> Muzeum Narodowe w Szczecinie - nadzór WKNiDN</t>
  </si>
  <si>
    <t>Wypłata odszkodowań za nieruchomości pod planowane inwestycje drogowe  (2012-2018)</t>
  </si>
  <si>
    <t>decyzja z listopada 2017</t>
  </si>
  <si>
    <t>CZĘŚĆ II</t>
  </si>
  <si>
    <t xml:space="preserve"> Interreg VA Meklemburgia-Pomorze Przednie/ Brandenburgia/ Polska - wydatki</t>
  </si>
  <si>
    <t xml:space="preserve"> Interreg VA Meklemburgia-Pomorze Przednie/ Brandenburgia/ Polska - dochody</t>
  </si>
  <si>
    <t>dotacje celowe / płatności z UE ***</t>
  </si>
  <si>
    <t>*** W kolumnie 4 uwzględniono dochody w kwocie 5.028.154 zł, których wpływ zaplanowano na 2024 r.</t>
  </si>
  <si>
    <t>** W kolumnie 4 uwzględniono dochody w kwocie 11.590 zł, których wpływ zaplanowano na 2024 r.</t>
  </si>
  <si>
    <t>Zrównoważona turystyka wodna w unikalnej Dolinie Dolnej Odry w ramach programu Interreg V A - wydatki majątkowe (2016-2020)</t>
  </si>
  <si>
    <t>Zrównoważona turystyka wodna w unikalnej Dolinie Dolnej Odry w ramach programu Interreg V A (2018-2020)</t>
  </si>
  <si>
    <t>Wzmacnianie ochrony bociana białego i nietoperzy oraz realizacja zadań czynnej ochrony w rezerwatach przyrody na obszarach parków krajobrazowych województwa zachodniopomorskiego - majątkowe w ramach Osi IV RPO (2016-2020)</t>
  </si>
  <si>
    <r>
      <t xml:space="preserve">Przebudowa drogi wojewódzkiej nr 102 na odcinku Międzywodzie -Dziwnów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</si>
  <si>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109 na odcinku Trzebiatów - Płoty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</si>
  <si>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Wolontariat europejski EVS </t>
    </r>
    <r>
      <rPr>
        <sz val="9"/>
        <rFont val="Arial CE"/>
        <charset val="238"/>
      </rPr>
      <t xml:space="preserve">w ramach Programu Erasmus+ </t>
    </r>
    <r>
      <rPr>
        <b/>
        <sz val="9"/>
        <rFont val="Arial CE"/>
        <charset val="238"/>
      </rPr>
      <t xml:space="preserve"> (2016-2018)</t>
    </r>
  </si>
  <si>
    <r>
      <t xml:space="preserve">Budowa sieci tras rowerowych Pomorza Zachodniego - Trasa Zielonego Pogranicza odc. Gryfino - Trzcińsko Zdrój </t>
    </r>
    <r>
      <rPr>
        <sz val="9"/>
        <rFont val="Arial CE"/>
        <charset val="238"/>
      </rPr>
      <t xml:space="preserve">w ramach Osi IV RPO WZ </t>
    </r>
    <r>
      <rPr>
        <b/>
        <sz val="9"/>
        <rFont val="Arial CE"/>
        <family val="2"/>
        <charset val="238"/>
      </rPr>
      <t>(2017-2018)</t>
    </r>
  </si>
  <si>
    <r>
      <t xml:space="preserve">Budowa infrastruktury turystycznej w Parkach Krajobrazowych województwa zachodniopomorskiego w celu zmniejszenia antropopresji - II etap </t>
    </r>
    <r>
      <rPr>
        <sz val="9"/>
        <rFont val="Arial CE"/>
        <charset val="238"/>
      </rPr>
      <t>w</t>
    </r>
    <r>
      <rPr>
        <b/>
        <sz val="9"/>
        <rFont val="Arial CE"/>
        <family val="2"/>
        <charset val="238"/>
      </rPr>
      <t xml:space="preserve"> </t>
    </r>
    <r>
      <rPr>
        <sz val="9"/>
        <rFont val="Arial CE"/>
        <family val="2"/>
        <charset val="238"/>
      </rPr>
      <t>ramach RPO WZ, Osi IV</t>
    </r>
    <r>
      <rPr>
        <b/>
        <sz val="9"/>
        <rFont val="Arial CE"/>
        <family val="2"/>
        <charset val="238"/>
      </rPr>
      <t xml:space="preserve"> (2016-2018)</t>
    </r>
    <r>
      <rPr>
        <b/>
        <sz val="9"/>
        <rFont val="Arial CE"/>
        <charset val="238"/>
      </rPr>
      <t>*</t>
    </r>
  </si>
  <si>
    <t>Wspólne dziedzictwo wspólna przyszłość w ramach programu INTERREG VA (2014-2020)</t>
  </si>
  <si>
    <t>Wspólne dziedzictwo wspólna przyszłość w ramach programu INTERREG VA - wydatki majątkowe (2014-2020)</t>
  </si>
  <si>
    <r>
      <t xml:space="preserve">WZS
GM </t>
    </r>
    <r>
      <rPr>
        <b/>
        <sz val="6"/>
        <rFont val="Arial CE"/>
        <charset val="238"/>
      </rPr>
      <t>(od 01.01.2018)</t>
    </r>
  </si>
  <si>
    <t xml:space="preserve">rozdz. 
75018
85295
</t>
  </si>
  <si>
    <t>Dobre Wsparcie - system lokalnych usług społecznych w ramach działania 7.6 RPO WZ - wydatki bieżące (2018-2019)</t>
  </si>
  <si>
    <t>Przewidy-
wane wykonanie 
2017 r.</t>
  </si>
  <si>
    <r>
      <t>TENTacle – wykorzystanie korytarzy sieci bazowej TEN-T w ramach IW INTERREG VB (2016-2019)</t>
    </r>
    <r>
      <rPr>
        <b/>
        <sz val="10"/>
        <rFont val="Arial CE"/>
        <charset val="238"/>
      </rPr>
      <t>**</t>
    </r>
  </si>
  <si>
    <t>Dobre Wsparcie - system lokalnych usług społecznych w ramach działania 7.6 RPO WZ - wydatki majątkowe (2018-2019)</t>
  </si>
  <si>
    <t xml:space="preserve">rozdz. 
85295
</t>
  </si>
  <si>
    <t>WYDATKI ŁĄCZNIE - 
stan na 27 lutego 2018 r.</t>
  </si>
  <si>
    <t>DOCHODY ŁĄCZNIE - 
stan na 27 lutego 2018 r.</t>
  </si>
  <si>
    <t>Limit` 18</t>
  </si>
  <si>
    <r>
      <t>Bałtyckie Obszary Energii - Perspektywa Planistyczna BEA-APP</t>
    </r>
    <r>
      <rPr>
        <sz val="9"/>
        <rFont val="Arial CE"/>
        <family val="2"/>
        <charset val="238"/>
      </rPr>
      <t xml:space="preserve"> w ramach programu EWT Region Morza Bałtyckiego (2016-2019)</t>
    </r>
  </si>
  <si>
    <r>
      <t xml:space="preserve">Zrównoważona mobilność na obszarze ostatniej mili w regionach turystycznych (LAST MILE) </t>
    </r>
    <r>
      <rPr>
        <sz val="9"/>
        <rFont val="Arial CE"/>
        <family val="2"/>
        <charset val="238"/>
      </rPr>
      <t>w ramach programu EWT Region Morza Bałtyckiego (2016-2020)</t>
    </r>
  </si>
  <si>
    <r>
      <t xml:space="preserve">Budowa infrastruktury turystycznej w Parkach Krajobrazowych województwa zachodniopomorskiego w celu zmniejszenia antropopresji - II etap </t>
    </r>
    <r>
      <rPr>
        <sz val="9"/>
        <rFont val="Arial CE"/>
        <family val="2"/>
        <charset val="238"/>
      </rPr>
      <t>w ramach RPO WZ, Osi IV</t>
    </r>
    <r>
      <rPr>
        <b/>
        <sz val="9"/>
        <rFont val="Arial CE"/>
        <family val="2"/>
        <charset val="238"/>
      </rPr>
      <t xml:space="preserve"> (2016-2018)</t>
    </r>
  </si>
  <si>
    <t>Ekonomia społeczna kluczem do sukcesu - II w ramach działania 7.5 RPO WZ (2018-2019)</t>
  </si>
  <si>
    <t>Wsparcie techniczne Interreg VA Południowy Bałtyk - wydatki majątkowe (2015-2020)</t>
  </si>
  <si>
    <t>brak decyzji</t>
  </si>
  <si>
    <t>Umowa leasingu samochodu osobowego (2016-2019)</t>
  </si>
  <si>
    <t>Przewidywane wykonanie
2017 r.</t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</si>
  <si>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(2009-2017)</t>
    </r>
  </si>
  <si>
    <r>
      <t xml:space="preserve">Przebudowa drogi wojewódzkiej nr 203 na odcinku Dąbki -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(2007-2017)</t>
    </r>
  </si>
  <si>
    <r>
      <t>Przebudowa drogi wojewódzkiej nr 142 na odcinku Szczecin - Krzywnica</t>
    </r>
    <r>
      <rPr>
        <sz val="9"/>
        <rFont val="Arial CE"/>
        <family val="2"/>
        <charset val="238"/>
      </rPr>
      <t xml:space="preserve"> w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</si>
  <si>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Budowa obejścia m. Barlinek w ciągu drogi nr 151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(2010-2018)</t>
    </r>
  </si>
  <si>
    <r>
      <t xml:space="preserve">Rozbudowa drogi wojewódzkiej nr 203 na odcinku Darłowo - granica województwa etap I przebudowa ul. Tynieckiego w m.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</si>
  <si>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151 na odcinku Ińsko - Recz etap I odc. Ińsko - Ciemnik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</si>
  <si>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>Wspólny Sekretariat - Pomoc Techniczna w ramach  Programu Współpracy INTERREG VA (2016-2022)</t>
    </r>
    <r>
      <rPr>
        <b/>
        <sz val="10"/>
        <rFont val="Arial CE"/>
        <charset val="238"/>
      </rPr>
      <t>**</t>
    </r>
  </si>
  <si>
    <r>
      <t xml:space="preserve">Różnica w wykonaniu wydatków UE w kwocie in minus </t>
    </r>
    <r>
      <rPr>
        <i/>
        <sz val="10"/>
        <rFont val="Arial"/>
        <family val="2"/>
        <charset val="238"/>
      </rPr>
      <t>1.669.413 zł</t>
    </r>
    <r>
      <rPr>
        <sz val="10"/>
        <rFont val="Arial"/>
        <family val="2"/>
        <charset val="238"/>
      </rPr>
      <t xml:space="preserve"> wynika z:
- przeniesienia części refundacji wydatków poniesionych w 2016 r. na 2017 r. w kwocie </t>
    </r>
    <r>
      <rPr>
        <i/>
        <sz val="10"/>
        <rFont val="Arial"/>
        <family val="2"/>
        <charset val="238"/>
      </rPr>
      <t>213.660 zł,</t>
    </r>
    <r>
      <rPr>
        <sz val="10"/>
        <rFont val="Arial"/>
        <family val="2"/>
        <charset val="238"/>
      </rPr>
      <t xml:space="preserve">
- ostatecznego rozliczenia wynagrodzeń pracowników realizujących projekt, w wyniku którego wydatki w kwocie </t>
    </r>
    <r>
      <rPr>
        <i/>
        <sz val="10"/>
        <rFont val="Arial"/>
        <family val="2"/>
        <charset val="238"/>
      </rPr>
      <t xml:space="preserve">1.455.753 zł </t>
    </r>
    <r>
      <rPr>
        <sz val="10"/>
        <rFont val="Arial"/>
        <family val="2"/>
        <charset val="238"/>
      </rPr>
      <t xml:space="preserve">zostały wykazane w poz. wkład własny z budżetu województwa.
Do czasu zakończenia procesu refundacji wydatki dotyczące wynagrodzeń, będące w dyspozycji WOiRZL kalsyfkowane są w źródle WW z czwartą cyfrą "0". </t>
    </r>
  </si>
  <si>
    <r>
      <t xml:space="preserve">Wydatki </t>
    </r>
    <r>
      <rPr>
        <b/>
        <sz val="10"/>
        <rFont val="Arial"/>
        <family val="2"/>
        <charset val="238"/>
      </rPr>
      <t xml:space="preserve">płatności </t>
    </r>
    <r>
      <rPr>
        <sz val="10"/>
        <rFont val="Arial"/>
        <family val="2"/>
        <charset val="238"/>
      </rPr>
      <t>PT 2014-2020 - lata 2021-2023</t>
    </r>
  </si>
  <si>
    <r>
      <t>rozdz. 92118/</t>
    </r>
    <r>
      <rPr>
        <sz val="8"/>
        <rFont val="Arial CE"/>
        <charset val="238"/>
      </rPr>
      <t xml:space="preserve"> od 2018 roku </t>
    </r>
    <r>
      <rPr>
        <b/>
        <sz val="8"/>
        <rFont val="Arial CE"/>
        <charset val="238"/>
      </rPr>
      <t>- 92114</t>
    </r>
  </si>
  <si>
    <r>
      <t xml:space="preserve">rozdz. 92118/ </t>
    </r>
    <r>
      <rPr>
        <sz val="8"/>
        <rFont val="Arial CE"/>
        <charset val="238"/>
      </rPr>
      <t>od 2018 roku</t>
    </r>
    <r>
      <rPr>
        <b/>
        <sz val="8"/>
        <rFont val="Arial CE"/>
        <charset val="238"/>
      </rPr>
      <t xml:space="preserve"> - 92114</t>
    </r>
  </si>
  <si>
    <r>
      <t xml:space="preserve">Przebudowa drogi woj. nr 109 na odcinku Mrzeżyno - Trzebiatów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(2008-2017)</t>
    </r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</si>
  <si>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(2007-2017)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</si>
  <si>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</si>
  <si>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woj. nr 163 na odcinku Czaplinek - Wałcz  (etap II i III)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</si>
  <si>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(2011-2017)</t>
    </r>
  </si>
  <si>
    <r>
      <t>Przebudowa drogi wojewódzkiej nr 109 na odcinku Trzebusz - Trzebiatów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</si>
  <si>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Dokumentacje techniczne na drogowe zadania inwestycyjne </t>
    </r>
    <r>
      <rPr>
        <sz val="9"/>
        <rFont val="Arial CE"/>
        <charset val="238"/>
      </rPr>
      <t>w ramach Osi V RPO</t>
    </r>
    <r>
      <rPr>
        <b/>
        <sz val="9"/>
        <rFont val="Arial CE"/>
        <charset val="238"/>
      </rPr>
      <t xml:space="preserve"> (2017-2018)</t>
    </r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</si>
  <si>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(2013-2020)</t>
    </r>
  </si>
  <si>
    <r>
      <t xml:space="preserve">Organizacja Regionalnych spotkań informacyjnych i konsultacji indywidualnych podnoszących wiedzę nt. realizacji projektów </t>
    </r>
    <r>
      <rPr>
        <sz val="9"/>
        <rFont val="Arial CE"/>
        <charset val="238"/>
      </rPr>
      <t>w programie Erasmus+ Edukacja szkolna na lata 2014-2020</t>
    </r>
    <r>
      <rPr>
        <b/>
        <sz val="9"/>
        <rFont val="Arial CE"/>
        <charset val="238"/>
      </rPr>
      <t xml:space="preserve"> (2015-2017)</t>
    </r>
  </si>
  <si>
    <t>Przystosowanie mostu europejskiego Siekierki-Neurudnitz do ruchu turystycznego w ramach programu Interreg V A - wydatki majątkowe (2016-2020)</t>
  </si>
  <si>
    <t>Przystosowanie mostu europejskiego Siekierki-Neurudnitz do ruchu turystycznego w ramach programu Interreg V A (2016-2020)</t>
  </si>
</sst>
</file>

<file path=xl/styles.xml><?xml version="1.0" encoding="utf-8"?>
<styleSheet xmlns="http://schemas.openxmlformats.org/spreadsheetml/2006/main">
  <numFmts count="5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"/>
    <numFmt numFmtId="166" formatCode="#,##0_ ;\-#,##0\ "/>
  </numFmts>
  <fonts count="9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i/>
      <sz val="9"/>
      <name val="Arial CE"/>
      <family val="2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b/>
      <i/>
      <sz val="12"/>
      <name val="Arial Black"/>
      <family val="2"/>
      <charset val="238"/>
    </font>
    <font>
      <b/>
      <sz val="11"/>
      <name val="Arial CE"/>
      <charset val="238"/>
    </font>
    <font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b/>
      <sz val="16"/>
      <name val="Arial Black"/>
      <family val="2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sz val="11"/>
      <name val="Arial CE"/>
      <family val="2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1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sz val="10"/>
      <color rgb="FF0000FF"/>
      <name val="Arial"/>
      <family val="2"/>
      <charset val="238"/>
    </font>
    <font>
      <b/>
      <sz val="9"/>
      <color rgb="FF0000FF"/>
      <name val="Arial CE"/>
      <family val="2"/>
      <charset val="238"/>
    </font>
    <font>
      <b/>
      <i/>
      <sz val="9"/>
      <color rgb="FF0000FF"/>
      <name val="Arial CE"/>
      <family val="2"/>
      <charset val="238"/>
    </font>
    <font>
      <sz val="9"/>
      <color rgb="FF0000FF"/>
      <name val="Arial CE"/>
      <family val="2"/>
      <charset val="238"/>
    </font>
    <font>
      <b/>
      <sz val="9"/>
      <color rgb="FF0000FF"/>
      <name val="Arial CE"/>
      <charset val="238"/>
    </font>
    <font>
      <sz val="9"/>
      <color rgb="FF0000FF"/>
      <name val="Arial CE"/>
      <charset val="238"/>
    </font>
    <font>
      <sz val="8"/>
      <color rgb="FF0000FF"/>
      <name val="Arial CE"/>
      <family val="2"/>
      <charset val="238"/>
    </font>
    <font>
      <b/>
      <i/>
      <sz val="9"/>
      <color rgb="FF0000FF"/>
      <name val="Arial CE"/>
      <charset val="238"/>
    </font>
    <font>
      <sz val="7.5"/>
      <name val="Arial"/>
      <family val="2"/>
      <charset val="238"/>
    </font>
    <font>
      <b/>
      <sz val="6"/>
      <name val="Arial CE"/>
      <charset val="238"/>
    </font>
    <font>
      <b/>
      <sz val="9"/>
      <color rgb="FF0000FF"/>
      <name val="Arial"/>
      <family val="2"/>
      <charset val="238"/>
    </font>
    <font>
      <b/>
      <sz val="8"/>
      <color rgb="FF0000FF"/>
      <name val="Arial CE"/>
      <family val="2"/>
      <charset val="238"/>
    </font>
    <font>
      <b/>
      <sz val="10"/>
      <color rgb="FF0000FF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indexed="41"/>
        <bgColor indexed="64"/>
      </patternFill>
    </fill>
    <fill>
      <patternFill patternType="mediumGray">
        <fgColor indexed="13"/>
        <bgColor indexed="15"/>
      </patternFill>
    </fill>
    <fill>
      <patternFill patternType="mediumGray">
        <fgColor indexed="13"/>
        <bgColor indexed="47"/>
      </patternFill>
    </fill>
    <fill>
      <patternFill patternType="mediumGray">
        <fgColor indexed="13"/>
        <bgColor indexed="42"/>
      </patternFill>
    </fill>
    <fill>
      <patternFill patternType="mediumGray">
        <fgColor indexed="13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11"/>
        <bgColor theme="8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2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 style="thin">
        <color auto="1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4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42" fillId="0" borderId="0"/>
    <xf numFmtId="0" fontId="4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4" fillId="42" borderId="0">
      <alignment horizontal="left" vertical="top"/>
    </xf>
    <xf numFmtId="0" fontId="45" fillId="42" borderId="0">
      <alignment horizontal="center" vertical="top"/>
    </xf>
    <xf numFmtId="0" fontId="44" fillId="42" borderId="0">
      <alignment horizontal="left" vertical="top"/>
    </xf>
    <xf numFmtId="0" fontId="44" fillId="42" borderId="0">
      <alignment horizontal="left" vertical="top"/>
    </xf>
    <xf numFmtId="0" fontId="44" fillId="42" borderId="0">
      <alignment horizontal="right" vertical="top"/>
    </xf>
    <xf numFmtId="0" fontId="45" fillId="43" borderId="0">
      <alignment horizontal="left" vertical="top"/>
    </xf>
    <xf numFmtId="0" fontId="45" fillId="43" borderId="0">
      <alignment horizontal="right" vertical="top"/>
    </xf>
    <xf numFmtId="0" fontId="45" fillId="43" borderId="0">
      <alignment horizontal="right" vertical="top"/>
    </xf>
    <xf numFmtId="0" fontId="45" fillId="43" borderId="0">
      <alignment horizontal="right" vertical="top"/>
    </xf>
    <xf numFmtId="0" fontId="45" fillId="44" borderId="0">
      <alignment horizontal="left" vertical="top"/>
    </xf>
    <xf numFmtId="0" fontId="45" fillId="44" borderId="0">
      <alignment horizontal="right" vertical="top"/>
    </xf>
    <xf numFmtId="0" fontId="45" fillId="44" borderId="0">
      <alignment horizontal="right" vertical="top"/>
    </xf>
    <xf numFmtId="0" fontId="46" fillId="42" borderId="0">
      <alignment horizontal="center" vertical="top"/>
    </xf>
    <xf numFmtId="0" fontId="45" fillId="44" borderId="0">
      <alignment horizontal="right" vertical="top"/>
    </xf>
    <xf numFmtId="0" fontId="44" fillId="45" borderId="0">
      <alignment horizontal="left" vertical="top"/>
    </xf>
    <xf numFmtId="0" fontId="44" fillId="45" borderId="0">
      <alignment horizontal="right" vertical="top"/>
    </xf>
    <xf numFmtId="0" fontId="44" fillId="45" borderId="0">
      <alignment horizontal="right" vertical="top"/>
    </xf>
    <xf numFmtId="0" fontId="44" fillId="45" borderId="0">
      <alignment horizontal="right" vertical="top"/>
    </xf>
    <xf numFmtId="0" fontId="44" fillId="42" borderId="0">
      <alignment horizontal="left" vertical="top"/>
    </xf>
    <xf numFmtId="0" fontId="44" fillId="42" borderId="0">
      <alignment horizontal="right" vertical="top"/>
    </xf>
    <xf numFmtId="0" fontId="44" fillId="42" borderId="0">
      <alignment horizontal="right" vertical="top"/>
    </xf>
    <xf numFmtId="0" fontId="44" fillId="42" borderId="0">
      <alignment horizontal="right" vertical="top"/>
    </xf>
    <xf numFmtId="0" fontId="47" fillId="46" borderId="0">
      <alignment horizontal="left" vertical="top"/>
    </xf>
    <xf numFmtId="0" fontId="48" fillId="42" borderId="0">
      <alignment horizontal="left" vertical="top"/>
    </xf>
    <xf numFmtId="0" fontId="49" fillId="42" borderId="0">
      <alignment horizontal="left" vertical="top"/>
    </xf>
    <xf numFmtId="0" fontId="45" fillId="42" borderId="0">
      <alignment horizontal="right" vertical="top"/>
    </xf>
    <xf numFmtId="0" fontId="45" fillId="42" borderId="0">
      <alignment horizontal="right" vertical="top"/>
    </xf>
    <xf numFmtId="0" fontId="49" fillId="47" borderId="0">
      <alignment horizontal="left"/>
    </xf>
    <xf numFmtId="0" fontId="49" fillId="47" borderId="0">
      <alignment horizontal="left"/>
    </xf>
    <xf numFmtId="0" fontId="49" fillId="47" borderId="0">
      <alignment horizontal="right"/>
    </xf>
    <xf numFmtId="0" fontId="50" fillId="47" borderId="0">
      <alignment horizontal="right"/>
    </xf>
    <xf numFmtId="0" fontId="49" fillId="46" borderId="0">
      <alignment horizontal="left" vertical="top"/>
    </xf>
    <xf numFmtId="0" fontId="45" fillId="46" borderId="0">
      <alignment horizontal="right" vertical="top"/>
    </xf>
    <xf numFmtId="0" fontId="45" fillId="46" borderId="0">
      <alignment horizontal="right" vertical="top"/>
    </xf>
    <xf numFmtId="0" fontId="44" fillId="42" borderId="0">
      <alignment horizontal="left" vertical="center"/>
    </xf>
    <xf numFmtId="0" fontId="47" fillId="47" borderId="0">
      <alignment horizontal="left" vertical="top"/>
    </xf>
    <xf numFmtId="0" fontId="47" fillId="47" borderId="0">
      <alignment horizontal="left" vertical="top"/>
    </xf>
    <xf numFmtId="0" fontId="47" fillId="46" borderId="0">
      <alignment horizontal="left" vertical="top"/>
    </xf>
    <xf numFmtId="0" fontId="47" fillId="46" borderId="0">
      <alignment horizontal="left" vertical="top"/>
    </xf>
    <xf numFmtId="0" fontId="47" fillId="46" borderId="0">
      <alignment horizontal="left" vertical="top"/>
    </xf>
    <xf numFmtId="0" fontId="47" fillId="47" borderId="0">
      <alignment horizontal="left" vertical="top"/>
    </xf>
    <xf numFmtId="0" fontId="49" fillId="42" borderId="0">
      <alignment horizontal="left"/>
    </xf>
    <xf numFmtId="0" fontId="49" fillId="42" borderId="0">
      <alignment horizontal="left"/>
    </xf>
    <xf numFmtId="0" fontId="49" fillId="42" borderId="0">
      <alignment horizontal="right"/>
    </xf>
    <xf numFmtId="0" fontId="50" fillId="42" borderId="0">
      <alignment horizontal="right"/>
    </xf>
    <xf numFmtId="4" fontId="51" fillId="13" borderId="88" applyNumberFormat="0" applyProtection="0">
      <alignment vertical="center"/>
    </xf>
    <xf numFmtId="4" fontId="52" fillId="13" borderId="88" applyNumberFormat="0" applyProtection="0">
      <alignment vertical="center"/>
    </xf>
    <xf numFmtId="4" fontId="51" fillId="13" borderId="88" applyNumberFormat="0" applyProtection="0">
      <alignment horizontal="left" vertical="center" indent="1"/>
    </xf>
    <xf numFmtId="4" fontId="51" fillId="13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4" fontId="51" fillId="35" borderId="88" applyNumberFormat="0" applyProtection="0">
      <alignment horizontal="right" vertical="center"/>
    </xf>
    <xf numFmtId="4" fontId="51" fillId="48" borderId="88" applyNumberFormat="0" applyProtection="0">
      <alignment horizontal="right" vertical="center"/>
    </xf>
    <xf numFmtId="4" fontId="51" fillId="49" borderId="88" applyNumberFormat="0" applyProtection="0">
      <alignment horizontal="right" vertical="center"/>
    </xf>
    <xf numFmtId="4" fontId="51" fillId="12" borderId="88" applyNumberFormat="0" applyProtection="0">
      <alignment horizontal="right" vertical="center"/>
    </xf>
    <xf numFmtId="4" fontId="51" fillId="50" borderId="88" applyNumberFormat="0" applyProtection="0">
      <alignment horizontal="right" vertical="center"/>
    </xf>
    <xf numFmtId="4" fontId="51" fillId="15" borderId="88" applyNumberFormat="0" applyProtection="0">
      <alignment horizontal="right" vertical="center"/>
    </xf>
    <xf numFmtId="4" fontId="51" fillId="17" borderId="88" applyNumberFormat="0" applyProtection="0">
      <alignment horizontal="right" vertical="center"/>
    </xf>
    <xf numFmtId="4" fontId="51" fillId="16" borderId="88" applyNumberFormat="0" applyProtection="0">
      <alignment horizontal="right" vertical="center"/>
    </xf>
    <xf numFmtId="4" fontId="51" fillId="19" borderId="88" applyNumberFormat="0" applyProtection="0">
      <alignment horizontal="right" vertical="center"/>
    </xf>
    <xf numFmtId="4" fontId="53" fillId="51" borderId="88" applyNumberFormat="0" applyProtection="0">
      <alignment horizontal="left" vertical="center" indent="1"/>
    </xf>
    <xf numFmtId="4" fontId="51" fillId="52" borderId="89" applyNumberFormat="0" applyProtection="0">
      <alignment horizontal="left" vertical="center" indent="1"/>
    </xf>
    <xf numFmtId="4" fontId="54" fillId="53" borderId="0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4" fontId="5" fillId="52" borderId="88" applyNumberFormat="0" applyProtection="0">
      <alignment horizontal="left" vertical="center" indent="1"/>
    </xf>
    <xf numFmtId="4" fontId="5" fillId="54" borderId="88" applyNumberFormat="0" applyProtection="0">
      <alignment horizontal="left" vertical="center" indent="1"/>
    </xf>
    <xf numFmtId="0" fontId="4" fillId="54" borderId="88" applyNumberFormat="0" applyProtection="0">
      <alignment horizontal="left" vertical="center" indent="1"/>
    </xf>
    <xf numFmtId="0" fontId="4" fillId="54" borderId="88" applyNumberFormat="0" applyProtection="0">
      <alignment horizontal="left" vertical="center" indent="1"/>
    </xf>
    <xf numFmtId="0" fontId="4" fillId="30" borderId="88" applyNumberFormat="0" applyProtection="0">
      <alignment horizontal="left" vertical="center" indent="1"/>
    </xf>
    <xf numFmtId="0" fontId="4" fillId="30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4" fontId="51" fillId="20" borderId="88" applyNumberFormat="0" applyProtection="0">
      <alignment vertical="center"/>
    </xf>
    <xf numFmtId="4" fontId="52" fillId="20" borderId="88" applyNumberFormat="0" applyProtection="0">
      <alignment vertical="center"/>
    </xf>
    <xf numFmtId="4" fontId="51" fillId="20" borderId="88" applyNumberFormat="0" applyProtection="0">
      <alignment horizontal="left" vertical="center" indent="1"/>
    </xf>
    <xf numFmtId="4" fontId="51" fillId="20" borderId="88" applyNumberFormat="0" applyProtection="0">
      <alignment horizontal="left" vertical="center" indent="1"/>
    </xf>
    <xf numFmtId="4" fontId="51" fillId="52" borderId="88" applyNumberFormat="0" applyProtection="0">
      <alignment horizontal="right" vertical="center"/>
    </xf>
    <xf numFmtId="4" fontId="52" fillId="52" borderId="88" applyNumberFormat="0" applyProtection="0">
      <alignment horizontal="right" vertical="center"/>
    </xf>
    <xf numFmtId="0" fontId="4" fillId="11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0" fontId="55" fillId="0" borderId="0"/>
    <xf numFmtId="4" fontId="56" fillId="52" borderId="88" applyNumberFormat="0" applyProtection="0">
      <alignment horizontal="right" vertical="center"/>
    </xf>
    <xf numFmtId="44" fontId="43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6" fillId="0" borderId="0"/>
    <xf numFmtId="4" fontId="51" fillId="13" borderId="98" applyNumberFormat="0" applyProtection="0">
      <alignment vertical="center"/>
    </xf>
    <xf numFmtId="4" fontId="52" fillId="13" borderId="98" applyNumberFormat="0" applyProtection="0">
      <alignment vertical="center"/>
    </xf>
    <xf numFmtId="4" fontId="51" fillId="13" borderId="98" applyNumberFormat="0" applyProtection="0">
      <alignment horizontal="left" vertical="center" indent="1"/>
    </xf>
    <xf numFmtId="4" fontId="51" fillId="13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1" fillId="35" borderId="98" applyNumberFormat="0" applyProtection="0">
      <alignment horizontal="right" vertical="center"/>
    </xf>
    <xf numFmtId="4" fontId="51" fillId="48" borderId="98" applyNumberFormat="0" applyProtection="0">
      <alignment horizontal="right" vertical="center"/>
    </xf>
    <xf numFmtId="4" fontId="51" fillId="49" borderId="98" applyNumberFormat="0" applyProtection="0">
      <alignment horizontal="right" vertical="center"/>
    </xf>
    <xf numFmtId="4" fontId="51" fillId="12" borderId="98" applyNumberFormat="0" applyProtection="0">
      <alignment horizontal="right" vertical="center"/>
    </xf>
    <xf numFmtId="4" fontId="51" fillId="50" borderId="98" applyNumberFormat="0" applyProtection="0">
      <alignment horizontal="right" vertical="center"/>
    </xf>
    <xf numFmtId="4" fontId="51" fillId="15" borderId="98" applyNumberFormat="0" applyProtection="0">
      <alignment horizontal="right" vertical="center"/>
    </xf>
    <xf numFmtId="4" fontId="51" fillId="17" borderId="98" applyNumberFormat="0" applyProtection="0">
      <alignment horizontal="right" vertical="center"/>
    </xf>
    <xf numFmtId="4" fontId="51" fillId="16" borderId="98" applyNumberFormat="0" applyProtection="0">
      <alignment horizontal="right" vertical="center"/>
    </xf>
    <xf numFmtId="4" fontId="51" fillId="19" borderId="98" applyNumberFormat="0" applyProtection="0">
      <alignment horizontal="right" vertical="center"/>
    </xf>
    <xf numFmtId="4" fontId="53" fillId="51" borderId="98" applyNumberFormat="0" applyProtection="0">
      <alignment horizontal="left" vertical="center" indent="1"/>
    </xf>
    <xf numFmtId="4" fontId="51" fillId="52" borderId="99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" fillId="52" borderId="98" applyNumberFormat="0" applyProtection="0">
      <alignment horizontal="left" vertical="center" indent="1"/>
    </xf>
    <xf numFmtId="4" fontId="5" fillId="54" borderId="98" applyNumberFormat="0" applyProtection="0">
      <alignment horizontal="left" vertical="center" indent="1"/>
    </xf>
    <xf numFmtId="0" fontId="4" fillId="54" borderId="98" applyNumberFormat="0" applyProtection="0">
      <alignment horizontal="left" vertical="center" indent="1"/>
    </xf>
    <xf numFmtId="0" fontId="4" fillId="54" borderId="98" applyNumberFormat="0" applyProtection="0">
      <alignment horizontal="left" vertical="center" indent="1"/>
    </xf>
    <xf numFmtId="0" fontId="4" fillId="30" borderId="98" applyNumberFormat="0" applyProtection="0">
      <alignment horizontal="left" vertical="center" indent="1"/>
    </xf>
    <xf numFmtId="0" fontId="4" fillId="30" borderId="98" applyNumberFormat="0" applyProtection="0">
      <alignment horizontal="left" vertical="center" indent="1"/>
    </xf>
    <xf numFmtId="0" fontId="4" fillId="33" borderId="98" applyNumberFormat="0" applyProtection="0">
      <alignment horizontal="left" vertical="center" indent="1"/>
    </xf>
    <xf numFmtId="0" fontId="4" fillId="33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1" fillId="20" borderId="98" applyNumberFormat="0" applyProtection="0">
      <alignment vertical="center"/>
    </xf>
    <xf numFmtId="4" fontId="52" fillId="20" borderId="98" applyNumberFormat="0" applyProtection="0">
      <alignment vertical="center"/>
    </xf>
    <xf numFmtId="4" fontId="51" fillId="20" borderId="98" applyNumberFormat="0" applyProtection="0">
      <alignment horizontal="left" vertical="center" indent="1"/>
    </xf>
    <xf numFmtId="4" fontId="51" fillId="20" borderId="98" applyNumberFormat="0" applyProtection="0">
      <alignment horizontal="left" vertical="center" indent="1"/>
    </xf>
    <xf numFmtId="4" fontId="51" fillId="52" borderId="98" applyNumberFormat="0" applyProtection="0">
      <alignment horizontal="right" vertical="center"/>
    </xf>
    <xf numFmtId="4" fontId="52" fillId="52" borderId="98" applyNumberFormat="0" applyProtection="0">
      <alignment horizontal="right" vertical="center"/>
    </xf>
    <xf numFmtId="0" fontId="4" fillId="11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6" fillId="52" borderId="98" applyNumberFormat="0" applyProtection="0">
      <alignment horizontal="right" vertical="center"/>
    </xf>
    <xf numFmtId="0" fontId="4" fillId="0" borderId="0"/>
    <xf numFmtId="4" fontId="51" fillId="13" borderId="151" applyNumberFormat="0" applyProtection="0">
      <alignment horizontal="left" vertical="center" indent="1"/>
    </xf>
    <xf numFmtId="4" fontId="51" fillId="12" borderId="160" applyNumberFormat="0" applyProtection="0">
      <alignment horizontal="right" vertical="center"/>
    </xf>
    <xf numFmtId="4" fontId="51" fillId="13" borderId="151" applyNumberFormat="0" applyProtection="0">
      <alignment horizontal="left" vertical="center" indent="1"/>
    </xf>
    <xf numFmtId="4" fontId="52" fillId="13" borderId="151" applyNumberFormat="0" applyProtection="0">
      <alignment vertical="center"/>
    </xf>
    <xf numFmtId="4" fontId="51" fillId="13" borderId="151" applyNumberFormat="0" applyProtection="0">
      <alignment vertical="center"/>
    </xf>
    <xf numFmtId="4" fontId="51" fillId="17" borderId="160" applyNumberFormat="0" applyProtection="0">
      <alignment horizontal="right" vertical="center"/>
    </xf>
    <xf numFmtId="4" fontId="53" fillId="51" borderId="160" applyNumberFormat="0" applyProtection="0">
      <alignment horizontal="left" vertical="center" indent="1"/>
    </xf>
    <xf numFmtId="0" fontId="2" fillId="0" borderId="0"/>
    <xf numFmtId="4" fontId="51" fillId="13" borderId="159" applyNumberFormat="0" applyProtection="0">
      <alignment vertical="center"/>
    </xf>
    <xf numFmtId="4" fontId="52" fillId="13" borderId="159" applyNumberFormat="0" applyProtection="0">
      <alignment vertical="center"/>
    </xf>
    <xf numFmtId="4" fontId="51" fillId="13" borderId="159" applyNumberFormat="0" applyProtection="0">
      <alignment horizontal="left" vertical="center" indent="1"/>
    </xf>
    <xf numFmtId="4" fontId="51" fillId="13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1" fillId="35" borderId="159" applyNumberFormat="0" applyProtection="0">
      <alignment horizontal="right" vertical="center"/>
    </xf>
    <xf numFmtId="4" fontId="51" fillId="48" borderId="159" applyNumberFormat="0" applyProtection="0">
      <alignment horizontal="right" vertical="center"/>
    </xf>
    <xf numFmtId="4" fontId="51" fillId="49" borderId="159" applyNumberFormat="0" applyProtection="0">
      <alignment horizontal="right" vertical="center"/>
    </xf>
    <xf numFmtId="4" fontId="51" fillId="12" borderId="159" applyNumberFormat="0" applyProtection="0">
      <alignment horizontal="right" vertical="center"/>
    </xf>
    <xf numFmtId="4" fontId="51" fillId="50" borderId="159" applyNumberFormat="0" applyProtection="0">
      <alignment horizontal="right" vertical="center"/>
    </xf>
    <xf numFmtId="4" fontId="51" fillId="15" borderId="159" applyNumberFormat="0" applyProtection="0">
      <alignment horizontal="right" vertical="center"/>
    </xf>
    <xf numFmtId="4" fontId="51" fillId="17" borderId="159" applyNumberFormat="0" applyProtection="0">
      <alignment horizontal="right" vertical="center"/>
    </xf>
    <xf numFmtId="4" fontId="51" fillId="16" borderId="159" applyNumberFormat="0" applyProtection="0">
      <alignment horizontal="right" vertical="center"/>
    </xf>
    <xf numFmtId="4" fontId="51" fillId="19" borderId="159" applyNumberFormat="0" applyProtection="0">
      <alignment horizontal="right" vertical="center"/>
    </xf>
    <xf numFmtId="4" fontId="53" fillId="51" borderId="159" applyNumberFormat="0" applyProtection="0">
      <alignment horizontal="left" vertical="center" indent="1"/>
    </xf>
    <xf numFmtId="0" fontId="4" fillId="30" borderId="159" applyNumberFormat="0" applyProtection="0">
      <alignment horizontal="left" vertical="center" indent="1"/>
    </xf>
    <xf numFmtId="0" fontId="4" fillId="33" borderId="159" applyNumberFormat="0" applyProtection="0">
      <alignment horizontal="left" vertical="center" indent="1"/>
    </xf>
    <xf numFmtId="0" fontId="4" fillId="33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1" fillId="20" borderId="159" applyNumberFormat="0" applyProtection="0">
      <alignment vertical="center"/>
    </xf>
    <xf numFmtId="4" fontId="52" fillId="20" borderId="159" applyNumberFormat="0" applyProtection="0">
      <alignment vertical="center"/>
    </xf>
    <xf numFmtId="4" fontId="51" fillId="20" borderId="159" applyNumberFormat="0" applyProtection="0">
      <alignment horizontal="left" vertical="center" indent="1"/>
    </xf>
    <xf numFmtId="4" fontId="51" fillId="20" borderId="159" applyNumberFormat="0" applyProtection="0">
      <alignment horizontal="left" vertical="center" indent="1"/>
    </xf>
    <xf numFmtId="4" fontId="51" fillId="52" borderId="159" applyNumberFormat="0" applyProtection="0">
      <alignment horizontal="right" vertical="center"/>
    </xf>
    <xf numFmtId="4" fontId="52" fillId="52" borderId="159" applyNumberFormat="0" applyProtection="0">
      <alignment horizontal="right" vertical="center"/>
    </xf>
    <xf numFmtId="4" fontId="51" fillId="13" borderId="165" applyNumberFormat="0" applyProtection="0">
      <alignment vertical="center"/>
    </xf>
    <xf numFmtId="4" fontId="56" fillId="52" borderId="159" applyNumberFormat="0" applyProtection="0">
      <alignment horizontal="right" vertical="center"/>
    </xf>
    <xf numFmtId="0" fontId="4" fillId="11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" fillId="52" borderId="159" applyNumberFormat="0" applyProtection="0">
      <alignment horizontal="left" vertical="center" indent="1"/>
    </xf>
    <xf numFmtId="0" fontId="4" fillId="54" borderId="159" applyNumberFormat="0" applyProtection="0">
      <alignment horizontal="left" vertical="center" indent="1"/>
    </xf>
    <xf numFmtId="4" fontId="51" fillId="13" borderId="147" applyNumberFormat="0" applyProtection="0">
      <alignment vertical="center"/>
    </xf>
    <xf numFmtId="4" fontId="52" fillId="13" borderId="147" applyNumberFormat="0" applyProtection="0">
      <alignment vertical="center"/>
    </xf>
    <xf numFmtId="4" fontId="51" fillId="13" borderId="147" applyNumberFormat="0" applyProtection="0">
      <alignment horizontal="left" vertical="center" indent="1"/>
    </xf>
    <xf numFmtId="4" fontId="51" fillId="1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35" borderId="147" applyNumberFormat="0" applyProtection="0">
      <alignment horizontal="right" vertical="center"/>
    </xf>
    <xf numFmtId="4" fontId="51" fillId="48" borderId="147" applyNumberFormat="0" applyProtection="0">
      <alignment horizontal="right" vertical="center"/>
    </xf>
    <xf numFmtId="4" fontId="51" fillId="49" borderId="147" applyNumberFormat="0" applyProtection="0">
      <alignment horizontal="right" vertical="center"/>
    </xf>
    <xf numFmtId="4" fontId="51" fillId="12" borderId="147" applyNumberFormat="0" applyProtection="0">
      <alignment horizontal="right" vertical="center"/>
    </xf>
    <xf numFmtId="4" fontId="51" fillId="50" borderId="147" applyNumberFormat="0" applyProtection="0">
      <alignment horizontal="right" vertical="center"/>
    </xf>
    <xf numFmtId="4" fontId="51" fillId="15" borderId="147" applyNumberFormat="0" applyProtection="0">
      <alignment horizontal="right" vertical="center"/>
    </xf>
    <xf numFmtId="4" fontId="51" fillId="17" borderId="147" applyNumberFormat="0" applyProtection="0">
      <alignment horizontal="right" vertical="center"/>
    </xf>
    <xf numFmtId="4" fontId="51" fillId="16" borderId="147" applyNumberFormat="0" applyProtection="0">
      <alignment horizontal="right" vertical="center"/>
    </xf>
    <xf numFmtId="4" fontId="51" fillId="19" borderId="147" applyNumberFormat="0" applyProtection="0">
      <alignment horizontal="right" vertical="center"/>
    </xf>
    <xf numFmtId="4" fontId="53" fillId="51" borderId="147" applyNumberFormat="0" applyProtection="0">
      <alignment horizontal="left" vertical="center" indent="1"/>
    </xf>
    <xf numFmtId="4" fontId="51" fillId="52" borderId="148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" fillId="52" borderId="147" applyNumberFormat="0" applyProtection="0">
      <alignment horizontal="left" vertical="center" indent="1"/>
    </xf>
    <xf numFmtId="4" fontId="5" fillId="54" borderId="147" applyNumberFormat="0" applyProtection="0">
      <alignment horizontal="left" vertical="center" indent="1"/>
    </xf>
    <xf numFmtId="0" fontId="4" fillId="54" borderId="147" applyNumberFormat="0" applyProtection="0">
      <alignment horizontal="left" vertical="center" indent="1"/>
    </xf>
    <xf numFmtId="0" fontId="4" fillId="54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20" borderId="147" applyNumberFormat="0" applyProtection="0">
      <alignment vertical="center"/>
    </xf>
    <xf numFmtId="4" fontId="52" fillId="20" borderId="147" applyNumberFormat="0" applyProtection="0">
      <alignment vertical="center"/>
    </xf>
    <xf numFmtId="4" fontId="51" fillId="20" borderId="147" applyNumberFormat="0" applyProtection="0">
      <alignment horizontal="left" vertical="center" indent="1"/>
    </xf>
    <xf numFmtId="4" fontId="51" fillId="20" borderId="147" applyNumberFormat="0" applyProtection="0">
      <alignment horizontal="left" vertical="center" indent="1"/>
    </xf>
    <xf numFmtId="4" fontId="51" fillId="52" borderId="147" applyNumberFormat="0" applyProtection="0">
      <alignment horizontal="right" vertical="center"/>
    </xf>
    <xf numFmtId="4" fontId="52" fillId="52" borderId="147" applyNumberFormat="0" applyProtection="0">
      <alignment horizontal="right" vertical="center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6" fillId="52" borderId="147" applyNumberFormat="0" applyProtection="0">
      <alignment horizontal="right" vertical="center"/>
    </xf>
    <xf numFmtId="0" fontId="4" fillId="11" borderId="159" applyNumberFormat="0" applyProtection="0">
      <alignment horizontal="left" vertical="center" indent="1"/>
    </xf>
    <xf numFmtId="0" fontId="4" fillId="0" borderId="0"/>
    <xf numFmtId="4" fontId="51" fillId="13" borderId="149" applyNumberFormat="0" applyProtection="0">
      <alignment vertical="center"/>
    </xf>
    <xf numFmtId="4" fontId="52" fillId="13" borderId="149" applyNumberFormat="0" applyProtection="0">
      <alignment vertical="center"/>
    </xf>
    <xf numFmtId="4" fontId="51" fillId="13" borderId="149" applyNumberFormat="0" applyProtection="0">
      <alignment horizontal="left" vertical="center" indent="1"/>
    </xf>
    <xf numFmtId="4" fontId="51" fillId="13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1" fillId="35" borderId="149" applyNumberFormat="0" applyProtection="0">
      <alignment horizontal="right" vertical="center"/>
    </xf>
    <xf numFmtId="4" fontId="51" fillId="48" borderId="149" applyNumberFormat="0" applyProtection="0">
      <alignment horizontal="right" vertical="center"/>
    </xf>
    <xf numFmtId="4" fontId="51" fillId="49" borderId="149" applyNumberFormat="0" applyProtection="0">
      <alignment horizontal="right" vertical="center"/>
    </xf>
    <xf numFmtId="4" fontId="51" fillId="12" borderId="149" applyNumberFormat="0" applyProtection="0">
      <alignment horizontal="right" vertical="center"/>
    </xf>
    <xf numFmtId="4" fontId="51" fillId="50" borderId="149" applyNumberFormat="0" applyProtection="0">
      <alignment horizontal="right" vertical="center"/>
    </xf>
    <xf numFmtId="4" fontId="51" fillId="15" borderId="149" applyNumberFormat="0" applyProtection="0">
      <alignment horizontal="right" vertical="center"/>
    </xf>
    <xf numFmtId="4" fontId="51" fillId="17" borderId="149" applyNumberFormat="0" applyProtection="0">
      <alignment horizontal="right" vertical="center"/>
    </xf>
    <xf numFmtId="4" fontId="51" fillId="16" borderId="149" applyNumberFormat="0" applyProtection="0">
      <alignment horizontal="right" vertical="center"/>
    </xf>
    <xf numFmtId="4" fontId="51" fillId="19" borderId="149" applyNumberFormat="0" applyProtection="0">
      <alignment horizontal="right" vertical="center"/>
    </xf>
    <xf numFmtId="4" fontId="53" fillId="51" borderId="149" applyNumberFormat="0" applyProtection="0">
      <alignment horizontal="left" vertical="center" indent="1"/>
    </xf>
    <xf numFmtId="4" fontId="51" fillId="52" borderId="150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" fillId="52" borderId="149" applyNumberFormat="0" applyProtection="0">
      <alignment horizontal="left" vertical="center" indent="1"/>
    </xf>
    <xf numFmtId="4" fontId="5" fillId="54" borderId="149" applyNumberFormat="0" applyProtection="0">
      <alignment horizontal="left" vertical="center" indent="1"/>
    </xf>
    <xf numFmtId="0" fontId="4" fillId="54" borderId="149" applyNumberFormat="0" applyProtection="0">
      <alignment horizontal="left" vertical="center" indent="1"/>
    </xf>
    <xf numFmtId="0" fontId="4" fillId="54" borderId="149" applyNumberFormat="0" applyProtection="0">
      <alignment horizontal="left" vertical="center" indent="1"/>
    </xf>
    <xf numFmtId="0" fontId="4" fillId="30" borderId="149" applyNumberFormat="0" applyProtection="0">
      <alignment horizontal="left" vertical="center" indent="1"/>
    </xf>
    <xf numFmtId="0" fontId="4" fillId="30" borderId="149" applyNumberFormat="0" applyProtection="0">
      <alignment horizontal="left" vertical="center" indent="1"/>
    </xf>
    <xf numFmtId="0" fontId="4" fillId="33" borderId="149" applyNumberFormat="0" applyProtection="0">
      <alignment horizontal="left" vertical="center" indent="1"/>
    </xf>
    <xf numFmtId="0" fontId="4" fillId="33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1" fillId="20" borderId="149" applyNumberFormat="0" applyProtection="0">
      <alignment vertical="center"/>
    </xf>
    <xf numFmtId="4" fontId="52" fillId="20" borderId="149" applyNumberFormat="0" applyProtection="0">
      <alignment vertical="center"/>
    </xf>
    <xf numFmtId="4" fontId="51" fillId="20" borderId="149" applyNumberFormat="0" applyProtection="0">
      <alignment horizontal="left" vertical="center" indent="1"/>
    </xf>
    <xf numFmtId="4" fontId="51" fillId="20" borderId="149" applyNumberFormat="0" applyProtection="0">
      <alignment horizontal="left" vertical="center" indent="1"/>
    </xf>
    <xf numFmtId="4" fontId="51" fillId="52" borderId="149" applyNumberFormat="0" applyProtection="0">
      <alignment horizontal="right" vertical="center"/>
    </xf>
    <xf numFmtId="4" fontId="52" fillId="52" borderId="149" applyNumberFormat="0" applyProtection="0">
      <alignment horizontal="right" vertical="center"/>
    </xf>
    <xf numFmtId="0" fontId="4" fillId="11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6" fillId="52" borderId="149" applyNumberFormat="0" applyProtection="0">
      <alignment horizontal="right" vertical="center"/>
    </xf>
    <xf numFmtId="0" fontId="4" fillId="11" borderId="151" applyNumberFormat="0" applyProtection="0">
      <alignment horizontal="left" vertical="center" indent="1"/>
    </xf>
    <xf numFmtId="4" fontId="51" fillId="35" borderId="151" applyNumberFormat="0" applyProtection="0">
      <alignment horizontal="right" vertical="center"/>
    </xf>
    <xf numFmtId="4" fontId="51" fillId="48" borderId="151" applyNumberFormat="0" applyProtection="0">
      <alignment horizontal="right" vertical="center"/>
    </xf>
    <xf numFmtId="4" fontId="51" fillId="49" borderId="151" applyNumberFormat="0" applyProtection="0">
      <alignment horizontal="right" vertical="center"/>
    </xf>
    <xf numFmtId="4" fontId="51" fillId="12" borderId="151" applyNumberFormat="0" applyProtection="0">
      <alignment horizontal="right" vertical="center"/>
    </xf>
    <xf numFmtId="4" fontId="51" fillId="50" borderId="151" applyNumberFormat="0" applyProtection="0">
      <alignment horizontal="right" vertical="center"/>
    </xf>
    <xf numFmtId="4" fontId="51" fillId="15" borderId="151" applyNumberFormat="0" applyProtection="0">
      <alignment horizontal="right" vertical="center"/>
    </xf>
    <xf numFmtId="4" fontId="51" fillId="17" borderId="151" applyNumberFormat="0" applyProtection="0">
      <alignment horizontal="right" vertical="center"/>
    </xf>
    <xf numFmtId="4" fontId="51" fillId="16" borderId="151" applyNumberFormat="0" applyProtection="0">
      <alignment horizontal="right" vertical="center"/>
    </xf>
    <xf numFmtId="4" fontId="51" fillId="19" borderId="151" applyNumberFormat="0" applyProtection="0">
      <alignment horizontal="right" vertical="center"/>
    </xf>
    <xf numFmtId="4" fontId="53" fillId="51" borderId="151" applyNumberFormat="0" applyProtection="0">
      <alignment horizontal="left" vertical="center" indent="1"/>
    </xf>
    <xf numFmtId="4" fontId="51" fillId="52" borderId="152" applyNumberFormat="0" applyProtection="0">
      <alignment horizontal="left" vertical="center" indent="1"/>
    </xf>
    <xf numFmtId="4" fontId="51" fillId="52" borderId="157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" fillId="52" borderId="151" applyNumberFormat="0" applyProtection="0">
      <alignment horizontal="left" vertical="center" indent="1"/>
    </xf>
    <xf numFmtId="4" fontId="5" fillId="54" borderId="151" applyNumberFormat="0" applyProtection="0">
      <alignment horizontal="left" vertical="center" indent="1"/>
    </xf>
    <xf numFmtId="0" fontId="4" fillId="54" borderId="151" applyNumberFormat="0" applyProtection="0">
      <alignment horizontal="left" vertical="center" indent="1"/>
    </xf>
    <xf numFmtId="0" fontId="4" fillId="54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1" fillId="20" borderId="151" applyNumberFormat="0" applyProtection="0">
      <alignment vertical="center"/>
    </xf>
    <xf numFmtId="4" fontId="52" fillId="20" borderId="151" applyNumberFormat="0" applyProtection="0">
      <alignment vertical="center"/>
    </xf>
    <xf numFmtId="4" fontId="51" fillId="20" borderId="151" applyNumberFormat="0" applyProtection="0">
      <alignment horizontal="left" vertical="center" indent="1"/>
    </xf>
    <xf numFmtId="4" fontId="51" fillId="20" borderId="151" applyNumberFormat="0" applyProtection="0">
      <alignment horizontal="left" vertical="center" indent="1"/>
    </xf>
    <xf numFmtId="4" fontId="51" fillId="52" borderId="151" applyNumberFormat="0" applyProtection="0">
      <alignment horizontal="right" vertical="center"/>
    </xf>
    <xf numFmtId="4" fontId="52" fillId="52" borderId="151" applyNumberFormat="0" applyProtection="0">
      <alignment horizontal="right" vertical="center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" fillId="54" borderId="160" applyNumberFormat="0" applyProtection="0">
      <alignment horizontal="left" vertical="center" indent="1"/>
    </xf>
    <xf numFmtId="4" fontId="56" fillId="52" borderId="151" applyNumberFormat="0" applyProtection="0">
      <alignment horizontal="right" vertical="center"/>
    </xf>
    <xf numFmtId="0" fontId="4" fillId="30" borderId="159" applyNumberFormat="0" applyProtection="0">
      <alignment horizontal="left" vertical="center" indent="1"/>
    </xf>
    <xf numFmtId="4" fontId="5" fillId="54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1" fillId="13" borderId="151" applyNumberFormat="0" applyProtection="0">
      <alignment vertical="center"/>
    </xf>
    <xf numFmtId="4" fontId="52" fillId="13" borderId="151" applyNumberFormat="0" applyProtection="0">
      <alignment vertical="center"/>
    </xf>
    <xf numFmtId="4" fontId="51" fillId="13" borderId="151" applyNumberFormat="0" applyProtection="0">
      <alignment horizontal="left" vertical="center" indent="1"/>
    </xf>
    <xf numFmtId="4" fontId="51" fillId="13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1" fillId="35" borderId="151" applyNumberFormat="0" applyProtection="0">
      <alignment horizontal="right" vertical="center"/>
    </xf>
    <xf numFmtId="4" fontId="51" fillId="48" borderId="151" applyNumberFormat="0" applyProtection="0">
      <alignment horizontal="right" vertical="center"/>
    </xf>
    <xf numFmtId="4" fontId="51" fillId="49" borderId="151" applyNumberFormat="0" applyProtection="0">
      <alignment horizontal="right" vertical="center"/>
    </xf>
    <xf numFmtId="4" fontId="51" fillId="12" borderId="151" applyNumberFormat="0" applyProtection="0">
      <alignment horizontal="right" vertical="center"/>
    </xf>
    <xf numFmtId="4" fontId="51" fillId="50" borderId="151" applyNumberFormat="0" applyProtection="0">
      <alignment horizontal="right" vertical="center"/>
    </xf>
    <xf numFmtId="4" fontId="51" fillId="15" borderId="151" applyNumberFormat="0" applyProtection="0">
      <alignment horizontal="right" vertical="center"/>
    </xf>
    <xf numFmtId="4" fontId="51" fillId="17" borderId="151" applyNumberFormat="0" applyProtection="0">
      <alignment horizontal="right" vertical="center"/>
    </xf>
    <xf numFmtId="4" fontId="51" fillId="16" borderId="151" applyNumberFormat="0" applyProtection="0">
      <alignment horizontal="right" vertical="center"/>
    </xf>
    <xf numFmtId="4" fontId="51" fillId="19" borderId="151" applyNumberFormat="0" applyProtection="0">
      <alignment horizontal="right" vertical="center"/>
    </xf>
    <xf numFmtId="4" fontId="53" fillId="51" borderId="151" applyNumberFormat="0" applyProtection="0">
      <alignment horizontal="left" vertical="center" indent="1"/>
    </xf>
    <xf numFmtId="4" fontId="51" fillId="52" borderId="153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" fillId="52" borderId="151" applyNumberFormat="0" applyProtection="0">
      <alignment horizontal="left" vertical="center" indent="1"/>
    </xf>
    <xf numFmtId="4" fontId="5" fillId="54" borderId="151" applyNumberFormat="0" applyProtection="0">
      <alignment horizontal="left" vertical="center" indent="1"/>
    </xf>
    <xf numFmtId="0" fontId="4" fillId="54" borderId="151" applyNumberFormat="0" applyProtection="0">
      <alignment horizontal="left" vertical="center" indent="1"/>
    </xf>
    <xf numFmtId="0" fontId="4" fillId="54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1" fillId="20" borderId="151" applyNumberFormat="0" applyProtection="0">
      <alignment vertical="center"/>
    </xf>
    <xf numFmtId="4" fontId="52" fillId="20" borderId="151" applyNumberFormat="0" applyProtection="0">
      <alignment vertical="center"/>
    </xf>
    <xf numFmtId="4" fontId="51" fillId="20" borderId="151" applyNumberFormat="0" applyProtection="0">
      <alignment horizontal="left" vertical="center" indent="1"/>
    </xf>
    <xf numFmtId="4" fontId="51" fillId="20" borderId="151" applyNumberFormat="0" applyProtection="0">
      <alignment horizontal="left" vertical="center" indent="1"/>
    </xf>
    <xf numFmtId="4" fontId="51" fillId="52" borderId="151" applyNumberFormat="0" applyProtection="0">
      <alignment horizontal="right" vertical="center"/>
    </xf>
    <xf numFmtId="4" fontId="52" fillId="52" borderId="151" applyNumberFormat="0" applyProtection="0">
      <alignment horizontal="right" vertical="center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6" fillId="52" borderId="151" applyNumberFormat="0" applyProtection="0">
      <alignment horizontal="right" vertical="center"/>
    </xf>
    <xf numFmtId="0" fontId="4" fillId="54" borderId="159" applyNumberFormat="0" applyProtection="0">
      <alignment horizontal="left" vertical="center" indent="1"/>
    </xf>
    <xf numFmtId="4" fontId="51" fillId="13" borderId="160" applyNumberFormat="0" applyProtection="0">
      <alignment vertical="center"/>
    </xf>
    <xf numFmtId="4" fontId="52" fillId="13" borderId="160" applyNumberFormat="0" applyProtection="0">
      <alignment vertical="center"/>
    </xf>
    <xf numFmtId="4" fontId="51" fillId="13" borderId="160" applyNumberFormat="0" applyProtection="0">
      <alignment horizontal="left" vertical="center" indent="1"/>
    </xf>
    <xf numFmtId="4" fontId="51" fillId="13" borderId="160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1" fillId="35" borderId="160" applyNumberFormat="0" applyProtection="0">
      <alignment horizontal="right" vertical="center"/>
    </xf>
    <xf numFmtId="4" fontId="51" fillId="48" borderId="160" applyNumberFormat="0" applyProtection="0">
      <alignment horizontal="right" vertical="center"/>
    </xf>
    <xf numFmtId="4" fontId="51" fillId="52" borderId="154" applyNumberFormat="0" applyProtection="0">
      <alignment horizontal="left" vertical="center" indent="1"/>
    </xf>
    <xf numFmtId="4" fontId="51" fillId="52" borderId="161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" fillId="52" borderId="160" applyNumberFormat="0" applyProtection="0">
      <alignment horizontal="left" vertical="center" indent="1"/>
    </xf>
    <xf numFmtId="0" fontId="4" fillId="54" borderId="160" applyNumberFormat="0" applyProtection="0">
      <alignment horizontal="left" vertical="center" indent="1"/>
    </xf>
    <xf numFmtId="0" fontId="4" fillId="54" borderId="160" applyNumberFormat="0" applyProtection="0">
      <alignment horizontal="left" vertical="center" indent="1"/>
    </xf>
    <xf numFmtId="0" fontId="4" fillId="30" borderId="160" applyNumberFormat="0" applyProtection="0">
      <alignment horizontal="left" vertical="center" indent="1"/>
    </xf>
    <xf numFmtId="0" fontId="4" fillId="30" borderId="160" applyNumberFormat="0" applyProtection="0">
      <alignment horizontal="left" vertical="center" indent="1"/>
    </xf>
    <xf numFmtId="0" fontId="4" fillId="33" borderId="160" applyNumberFormat="0" applyProtection="0">
      <alignment horizontal="left" vertical="center" indent="1"/>
    </xf>
    <xf numFmtId="0" fontId="4" fillId="33" borderId="160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2" fillId="20" borderId="160" applyNumberFormat="0" applyProtection="0">
      <alignment vertical="center"/>
    </xf>
    <xf numFmtId="4" fontId="51" fillId="20" borderId="160" applyNumberFormat="0" applyProtection="0">
      <alignment horizontal="left" vertical="center" indent="1"/>
    </xf>
    <xf numFmtId="4" fontId="51" fillId="20" borderId="160" applyNumberFormat="0" applyProtection="0">
      <alignment horizontal="left" vertical="center" indent="1"/>
    </xf>
    <xf numFmtId="4" fontId="51" fillId="52" borderId="160" applyNumberFormat="0" applyProtection="0">
      <alignment horizontal="right" vertical="center"/>
    </xf>
    <xf numFmtId="4" fontId="52" fillId="52" borderId="160" applyNumberFormat="0" applyProtection="0">
      <alignment horizontal="right" vertical="center"/>
    </xf>
    <xf numFmtId="0" fontId="4" fillId="11" borderId="160" applyNumberFormat="0" applyProtection="0">
      <alignment horizontal="left" vertical="center" indent="1"/>
    </xf>
    <xf numFmtId="4" fontId="51" fillId="50" borderId="160" applyNumberFormat="0" applyProtection="0">
      <alignment horizontal="right" vertical="center"/>
    </xf>
    <xf numFmtId="0" fontId="4" fillId="11" borderId="160" applyNumberFormat="0" applyProtection="0">
      <alignment horizontal="left" vertical="center" indent="1"/>
    </xf>
    <xf numFmtId="4" fontId="51" fillId="15" borderId="160" applyNumberFormat="0" applyProtection="0">
      <alignment horizontal="right" vertical="center"/>
    </xf>
    <xf numFmtId="4" fontId="51" fillId="16" borderId="160" applyNumberFormat="0" applyProtection="0">
      <alignment horizontal="right" vertical="center"/>
    </xf>
    <xf numFmtId="4" fontId="51" fillId="49" borderId="160" applyNumberFormat="0" applyProtection="0">
      <alignment horizontal="right" vertical="center"/>
    </xf>
    <xf numFmtId="0" fontId="4" fillId="11" borderId="160" applyNumberFormat="0" applyProtection="0">
      <alignment horizontal="left" vertical="center" indent="1"/>
    </xf>
    <xf numFmtId="4" fontId="51" fillId="20" borderId="160" applyNumberFormat="0" applyProtection="0">
      <alignment vertical="center"/>
    </xf>
    <xf numFmtId="4" fontId="51" fillId="13" borderId="155" applyNumberFormat="0" applyProtection="0">
      <alignment vertical="center"/>
    </xf>
    <xf numFmtId="4" fontId="52" fillId="13" borderId="155" applyNumberFormat="0" applyProtection="0">
      <alignment vertical="center"/>
    </xf>
    <xf numFmtId="4" fontId="51" fillId="13" borderId="155" applyNumberFormat="0" applyProtection="0">
      <alignment horizontal="left" vertical="center" indent="1"/>
    </xf>
    <xf numFmtId="4" fontId="51" fillId="13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1" fillId="35" borderId="155" applyNumberFormat="0" applyProtection="0">
      <alignment horizontal="right" vertical="center"/>
    </xf>
    <xf numFmtId="4" fontId="51" fillId="48" borderId="155" applyNumberFormat="0" applyProtection="0">
      <alignment horizontal="right" vertical="center"/>
    </xf>
    <xf numFmtId="4" fontId="51" fillId="49" borderId="155" applyNumberFormat="0" applyProtection="0">
      <alignment horizontal="right" vertical="center"/>
    </xf>
    <xf numFmtId="4" fontId="51" fillId="12" borderId="155" applyNumberFormat="0" applyProtection="0">
      <alignment horizontal="right" vertical="center"/>
    </xf>
    <xf numFmtId="4" fontId="51" fillId="50" borderId="155" applyNumberFormat="0" applyProtection="0">
      <alignment horizontal="right" vertical="center"/>
    </xf>
    <xf numFmtId="4" fontId="51" fillId="15" borderId="155" applyNumberFormat="0" applyProtection="0">
      <alignment horizontal="right" vertical="center"/>
    </xf>
    <xf numFmtId="4" fontId="51" fillId="17" borderId="155" applyNumberFormat="0" applyProtection="0">
      <alignment horizontal="right" vertical="center"/>
    </xf>
    <xf numFmtId="4" fontId="51" fillId="16" borderId="155" applyNumberFormat="0" applyProtection="0">
      <alignment horizontal="right" vertical="center"/>
    </xf>
    <xf numFmtId="4" fontId="51" fillId="19" borderId="155" applyNumberFormat="0" applyProtection="0">
      <alignment horizontal="right" vertical="center"/>
    </xf>
    <xf numFmtId="4" fontId="53" fillId="51" borderId="155" applyNumberFormat="0" applyProtection="0">
      <alignment horizontal="left" vertical="center" indent="1"/>
    </xf>
    <xf numFmtId="4" fontId="51" fillId="52" borderId="156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" fillId="52" borderId="155" applyNumberFormat="0" applyProtection="0">
      <alignment horizontal="left" vertical="center" indent="1"/>
    </xf>
    <xf numFmtId="4" fontId="5" fillId="54" borderId="155" applyNumberFormat="0" applyProtection="0">
      <alignment horizontal="left" vertical="center" indent="1"/>
    </xf>
    <xf numFmtId="0" fontId="4" fillId="54" borderId="155" applyNumberFormat="0" applyProtection="0">
      <alignment horizontal="left" vertical="center" indent="1"/>
    </xf>
    <xf numFmtId="0" fontId="4" fillId="54" borderId="155" applyNumberFormat="0" applyProtection="0">
      <alignment horizontal="left" vertical="center" indent="1"/>
    </xf>
    <xf numFmtId="0" fontId="4" fillId="30" borderId="155" applyNumberFormat="0" applyProtection="0">
      <alignment horizontal="left" vertical="center" indent="1"/>
    </xf>
    <xf numFmtId="0" fontId="4" fillId="30" borderId="155" applyNumberFormat="0" applyProtection="0">
      <alignment horizontal="left" vertical="center" indent="1"/>
    </xf>
    <xf numFmtId="0" fontId="4" fillId="33" borderId="155" applyNumberFormat="0" applyProtection="0">
      <alignment horizontal="left" vertical="center" indent="1"/>
    </xf>
    <xf numFmtId="0" fontId="4" fillId="33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1" fillId="20" borderId="155" applyNumberFormat="0" applyProtection="0">
      <alignment vertical="center"/>
    </xf>
    <xf numFmtId="4" fontId="52" fillId="20" borderId="155" applyNumberFormat="0" applyProtection="0">
      <alignment vertical="center"/>
    </xf>
    <xf numFmtId="4" fontId="51" fillId="20" borderId="155" applyNumberFormat="0" applyProtection="0">
      <alignment horizontal="left" vertical="center" indent="1"/>
    </xf>
    <xf numFmtId="4" fontId="51" fillId="20" borderId="155" applyNumberFormat="0" applyProtection="0">
      <alignment horizontal="left" vertical="center" indent="1"/>
    </xf>
    <xf numFmtId="4" fontId="51" fillId="52" borderId="155" applyNumberFormat="0" applyProtection="0">
      <alignment horizontal="right" vertical="center"/>
    </xf>
    <xf numFmtId="4" fontId="52" fillId="52" borderId="155" applyNumberFormat="0" applyProtection="0">
      <alignment horizontal="right" vertical="center"/>
    </xf>
    <xf numFmtId="0" fontId="4" fillId="11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6" fillId="52" borderId="155" applyNumberFormat="0" applyProtection="0">
      <alignment horizontal="right" vertical="center"/>
    </xf>
    <xf numFmtId="4" fontId="51" fillId="52" borderId="164" applyNumberFormat="0" applyProtection="0">
      <alignment horizontal="left" vertical="center" indent="1"/>
    </xf>
    <xf numFmtId="4" fontId="51" fillId="52" borderId="158" applyNumberFormat="0" applyProtection="0">
      <alignment horizontal="left" vertical="center" indent="1"/>
    </xf>
    <xf numFmtId="4" fontId="51" fillId="19" borderId="160" applyNumberFormat="0" applyProtection="0">
      <alignment horizontal="right" vertical="center"/>
    </xf>
    <xf numFmtId="4" fontId="56" fillId="52" borderId="160" applyNumberFormat="0" applyProtection="0">
      <alignment horizontal="right" vertical="center"/>
    </xf>
    <xf numFmtId="4" fontId="51" fillId="13" borderId="162" applyNumberFormat="0" applyProtection="0">
      <alignment vertical="center"/>
    </xf>
    <xf numFmtId="4" fontId="52" fillId="13" borderId="162" applyNumberFormat="0" applyProtection="0">
      <alignment vertical="center"/>
    </xf>
    <xf numFmtId="4" fontId="51" fillId="13" borderId="162" applyNumberFormat="0" applyProtection="0">
      <alignment horizontal="left" vertical="center" indent="1"/>
    </xf>
    <xf numFmtId="4" fontId="51" fillId="1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1" fillId="35" borderId="162" applyNumberFormat="0" applyProtection="0">
      <alignment horizontal="right" vertical="center"/>
    </xf>
    <xf numFmtId="4" fontId="51" fillId="48" borderId="162" applyNumberFormat="0" applyProtection="0">
      <alignment horizontal="right" vertical="center"/>
    </xf>
    <xf numFmtId="4" fontId="51" fillId="49" borderId="162" applyNumberFormat="0" applyProtection="0">
      <alignment horizontal="right" vertical="center"/>
    </xf>
    <xf numFmtId="4" fontId="51" fillId="12" borderId="162" applyNumberFormat="0" applyProtection="0">
      <alignment horizontal="right" vertical="center"/>
    </xf>
    <xf numFmtId="4" fontId="51" fillId="50" borderId="162" applyNumberFormat="0" applyProtection="0">
      <alignment horizontal="right" vertical="center"/>
    </xf>
    <xf numFmtId="4" fontId="51" fillId="15" borderId="162" applyNumberFormat="0" applyProtection="0">
      <alignment horizontal="right" vertical="center"/>
    </xf>
    <xf numFmtId="4" fontId="51" fillId="17" borderId="162" applyNumberFormat="0" applyProtection="0">
      <alignment horizontal="right" vertical="center"/>
    </xf>
    <xf numFmtId="4" fontId="51" fillId="16" borderId="162" applyNumberFormat="0" applyProtection="0">
      <alignment horizontal="right" vertical="center"/>
    </xf>
    <xf numFmtId="4" fontId="51" fillId="19" borderId="162" applyNumberFormat="0" applyProtection="0">
      <alignment horizontal="right" vertical="center"/>
    </xf>
    <xf numFmtId="4" fontId="53" fillId="51" borderId="162" applyNumberFormat="0" applyProtection="0">
      <alignment horizontal="left" vertical="center" indent="1"/>
    </xf>
    <xf numFmtId="4" fontId="51" fillId="52" borderId="163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" fillId="52" borderId="162" applyNumberFormat="0" applyProtection="0">
      <alignment horizontal="left" vertical="center" indent="1"/>
    </xf>
    <xf numFmtId="4" fontId="5" fillId="54" borderId="162" applyNumberFormat="0" applyProtection="0">
      <alignment horizontal="left" vertical="center" indent="1"/>
    </xf>
    <xf numFmtId="0" fontId="4" fillId="54" borderId="162" applyNumberFormat="0" applyProtection="0">
      <alignment horizontal="left" vertical="center" indent="1"/>
    </xf>
    <xf numFmtId="0" fontId="4" fillId="54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1" fillId="20" borderId="162" applyNumberFormat="0" applyProtection="0">
      <alignment vertical="center"/>
    </xf>
    <xf numFmtId="4" fontId="52" fillId="20" borderId="162" applyNumberFormat="0" applyProtection="0">
      <alignment vertical="center"/>
    </xf>
    <xf numFmtId="4" fontId="51" fillId="20" borderId="162" applyNumberFormat="0" applyProtection="0">
      <alignment horizontal="left" vertical="center" indent="1"/>
    </xf>
    <xf numFmtId="4" fontId="51" fillId="20" borderId="162" applyNumberFormat="0" applyProtection="0">
      <alignment horizontal="left" vertical="center" indent="1"/>
    </xf>
    <xf numFmtId="4" fontId="51" fillId="52" borderId="162" applyNumberFormat="0" applyProtection="0">
      <alignment horizontal="right" vertical="center"/>
    </xf>
    <xf numFmtId="4" fontId="52" fillId="52" borderId="162" applyNumberFormat="0" applyProtection="0">
      <alignment horizontal="right" vertical="center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6" fillId="52" borderId="162" applyNumberFormat="0" applyProtection="0">
      <alignment horizontal="right" vertical="center"/>
    </xf>
    <xf numFmtId="4" fontId="52" fillId="13" borderId="165" applyNumberFormat="0" applyProtection="0">
      <alignment vertical="center"/>
    </xf>
    <xf numFmtId="4" fontId="51" fillId="13" borderId="165" applyNumberFormat="0" applyProtection="0">
      <alignment horizontal="left" vertical="center" indent="1"/>
    </xf>
    <xf numFmtId="4" fontId="51" fillId="1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35" borderId="165" applyNumberFormat="0" applyProtection="0">
      <alignment horizontal="right" vertical="center"/>
    </xf>
    <xf numFmtId="4" fontId="51" fillId="48" borderId="165" applyNumberFormat="0" applyProtection="0">
      <alignment horizontal="right" vertical="center"/>
    </xf>
    <xf numFmtId="4" fontId="51" fillId="49" borderId="165" applyNumberFormat="0" applyProtection="0">
      <alignment horizontal="right" vertical="center"/>
    </xf>
    <xf numFmtId="4" fontId="51" fillId="12" borderId="165" applyNumberFormat="0" applyProtection="0">
      <alignment horizontal="right" vertical="center"/>
    </xf>
    <xf numFmtId="4" fontId="51" fillId="50" borderId="165" applyNumberFormat="0" applyProtection="0">
      <alignment horizontal="right" vertical="center"/>
    </xf>
    <xf numFmtId="4" fontId="51" fillId="15" borderId="165" applyNumberFormat="0" applyProtection="0">
      <alignment horizontal="right" vertical="center"/>
    </xf>
    <xf numFmtId="4" fontId="51" fillId="17" borderId="165" applyNumberFormat="0" applyProtection="0">
      <alignment horizontal="right" vertical="center"/>
    </xf>
    <xf numFmtId="4" fontId="51" fillId="16" borderId="165" applyNumberFormat="0" applyProtection="0">
      <alignment horizontal="right" vertical="center"/>
    </xf>
    <xf numFmtId="4" fontId="51" fillId="19" borderId="165" applyNumberFormat="0" applyProtection="0">
      <alignment horizontal="right" vertical="center"/>
    </xf>
    <xf numFmtId="4" fontId="53" fillId="51" borderId="165" applyNumberFormat="0" applyProtection="0">
      <alignment horizontal="left" vertical="center" indent="1"/>
    </xf>
    <xf numFmtId="4" fontId="51" fillId="52" borderId="166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" fillId="52" borderId="165" applyNumberFormat="0" applyProtection="0">
      <alignment horizontal="left" vertical="center" indent="1"/>
    </xf>
    <xf numFmtId="4" fontId="5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20" borderId="165" applyNumberFormat="0" applyProtection="0">
      <alignment vertical="center"/>
    </xf>
    <xf numFmtId="4" fontId="52" fillId="20" borderId="165" applyNumberFormat="0" applyProtection="0">
      <alignment vertical="center"/>
    </xf>
    <xf numFmtId="4" fontId="51" fillId="20" borderId="165" applyNumberFormat="0" applyProtection="0">
      <alignment horizontal="left" vertical="center" indent="1"/>
    </xf>
    <xf numFmtId="4" fontId="51" fillId="20" borderId="165" applyNumberFormat="0" applyProtection="0">
      <alignment horizontal="left" vertical="center" indent="1"/>
    </xf>
    <xf numFmtId="4" fontId="51" fillId="52" borderId="165" applyNumberFormat="0" applyProtection="0">
      <alignment horizontal="right" vertical="center"/>
    </xf>
    <xf numFmtId="4" fontId="52" fillId="52" borderId="165" applyNumberFormat="0" applyProtection="0">
      <alignment horizontal="right" vertical="center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6" fillId="52" borderId="165" applyNumberFormat="0" applyProtection="0">
      <alignment horizontal="right" vertical="center"/>
    </xf>
    <xf numFmtId="0" fontId="1" fillId="0" borderId="0"/>
    <xf numFmtId="4" fontId="51" fillId="13" borderId="179" applyNumberFormat="0" applyProtection="0">
      <alignment vertical="center"/>
    </xf>
    <xf numFmtId="4" fontId="52" fillId="13" borderId="179" applyNumberFormat="0" applyProtection="0">
      <alignment vertical="center"/>
    </xf>
    <xf numFmtId="4" fontId="51" fillId="13" borderId="179" applyNumberFormat="0" applyProtection="0">
      <alignment horizontal="left" vertical="center" indent="1"/>
    </xf>
    <xf numFmtId="4" fontId="51" fillId="13" borderId="179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4" fontId="51" fillId="35" borderId="179" applyNumberFormat="0" applyProtection="0">
      <alignment horizontal="right" vertical="center"/>
    </xf>
    <xf numFmtId="4" fontId="51" fillId="48" borderId="179" applyNumberFormat="0" applyProtection="0">
      <alignment horizontal="right" vertical="center"/>
    </xf>
    <xf numFmtId="4" fontId="51" fillId="49" borderId="179" applyNumberFormat="0" applyProtection="0">
      <alignment horizontal="right" vertical="center"/>
    </xf>
    <xf numFmtId="4" fontId="51" fillId="12" borderId="179" applyNumberFormat="0" applyProtection="0">
      <alignment horizontal="right" vertical="center"/>
    </xf>
    <xf numFmtId="4" fontId="51" fillId="50" borderId="179" applyNumberFormat="0" applyProtection="0">
      <alignment horizontal="right" vertical="center"/>
    </xf>
    <xf numFmtId="4" fontId="51" fillId="15" borderId="179" applyNumberFormat="0" applyProtection="0">
      <alignment horizontal="right" vertical="center"/>
    </xf>
    <xf numFmtId="4" fontId="51" fillId="17" borderId="179" applyNumberFormat="0" applyProtection="0">
      <alignment horizontal="right" vertical="center"/>
    </xf>
    <xf numFmtId="4" fontId="51" fillId="16" borderId="179" applyNumberFormat="0" applyProtection="0">
      <alignment horizontal="right" vertical="center"/>
    </xf>
    <xf numFmtId="4" fontId="51" fillId="19" borderId="179" applyNumberFormat="0" applyProtection="0">
      <alignment horizontal="right" vertical="center"/>
    </xf>
    <xf numFmtId="4" fontId="53" fillId="51" borderId="179" applyNumberFormat="0" applyProtection="0">
      <alignment horizontal="left" vertical="center" indent="1"/>
    </xf>
    <xf numFmtId="4" fontId="51" fillId="52" borderId="180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4" fontId="5" fillId="52" borderId="179" applyNumberFormat="0" applyProtection="0">
      <alignment horizontal="left" vertical="center" indent="1"/>
    </xf>
    <xf numFmtId="4" fontId="5" fillId="54" borderId="179" applyNumberFormat="0" applyProtection="0">
      <alignment horizontal="left" vertical="center" indent="1"/>
    </xf>
    <xf numFmtId="0" fontId="4" fillId="54" borderId="179" applyNumberFormat="0" applyProtection="0">
      <alignment horizontal="left" vertical="center" indent="1"/>
    </xf>
    <xf numFmtId="0" fontId="4" fillId="54" borderId="179" applyNumberFormat="0" applyProtection="0">
      <alignment horizontal="left" vertical="center" indent="1"/>
    </xf>
    <xf numFmtId="0" fontId="4" fillId="30" borderId="179" applyNumberFormat="0" applyProtection="0">
      <alignment horizontal="left" vertical="center" indent="1"/>
    </xf>
    <xf numFmtId="0" fontId="4" fillId="30" borderId="179" applyNumberFormat="0" applyProtection="0">
      <alignment horizontal="left" vertical="center" indent="1"/>
    </xf>
    <xf numFmtId="0" fontId="4" fillId="33" borderId="179" applyNumberFormat="0" applyProtection="0">
      <alignment horizontal="left" vertical="center" indent="1"/>
    </xf>
    <xf numFmtId="0" fontId="4" fillId="33" borderId="179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4" fontId="51" fillId="20" borderId="179" applyNumberFormat="0" applyProtection="0">
      <alignment vertical="center"/>
    </xf>
    <xf numFmtId="4" fontId="52" fillId="20" borderId="179" applyNumberFormat="0" applyProtection="0">
      <alignment vertical="center"/>
    </xf>
    <xf numFmtId="4" fontId="51" fillId="20" borderId="179" applyNumberFormat="0" applyProtection="0">
      <alignment horizontal="left" vertical="center" indent="1"/>
    </xf>
    <xf numFmtId="4" fontId="51" fillId="20" borderId="179" applyNumberFormat="0" applyProtection="0">
      <alignment horizontal="left" vertical="center" indent="1"/>
    </xf>
    <xf numFmtId="4" fontId="51" fillId="52" borderId="179" applyNumberFormat="0" applyProtection="0">
      <alignment horizontal="right" vertical="center"/>
    </xf>
    <xf numFmtId="4" fontId="52" fillId="52" borderId="179" applyNumberFormat="0" applyProtection="0">
      <alignment horizontal="right" vertical="center"/>
    </xf>
    <xf numFmtId="0" fontId="4" fillId="11" borderId="179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4" fontId="56" fillId="52" borderId="179" applyNumberFormat="0" applyProtection="0">
      <alignment horizontal="right" vertical="center"/>
    </xf>
    <xf numFmtId="4" fontId="51" fillId="13" borderId="181" applyNumberFormat="0" applyProtection="0">
      <alignment horizontal="left" vertical="center" indent="1"/>
    </xf>
    <xf numFmtId="4" fontId="51" fillId="12" borderId="181" applyNumberFormat="0" applyProtection="0">
      <alignment horizontal="right" vertical="center"/>
    </xf>
    <xf numFmtId="4" fontId="51" fillId="13" borderId="181" applyNumberFormat="0" applyProtection="0">
      <alignment horizontal="left" vertical="center" indent="1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vertical="center"/>
    </xf>
    <xf numFmtId="4" fontId="51" fillId="17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0" fontId="1" fillId="0" borderId="0"/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4" fontId="51" fillId="13" borderId="181" applyNumberFormat="0" applyProtection="0">
      <alignment vertical="center"/>
    </xf>
    <xf numFmtId="4" fontId="56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0" fontId="4" fillId="30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0" fontId="4" fillId="54" borderId="181" applyNumberFormat="0" applyProtection="0">
      <alignment horizontal="left" vertical="center" indent="1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52" borderId="182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50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15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4" fontId="51" fillId="52" borderId="182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4" fontId="51" fillId="19" borderId="181" applyNumberFormat="0" applyProtection="0">
      <alignment horizontal="right" vertical="center"/>
    </xf>
    <xf numFmtId="4" fontId="56" fillId="52" borderId="181" applyNumberFormat="0" applyProtection="0">
      <alignment horizontal="right" vertical="center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</cellStyleXfs>
  <cellXfs count="3712">
    <xf numFmtId="0" fontId="0" fillId="0" borderId="0" xfId="0"/>
    <xf numFmtId="0" fontId="7" fillId="6" borderId="20" xfId="0" applyFont="1" applyFill="1" applyBorder="1" applyAlignment="1">
      <alignment vertical="center" wrapText="1"/>
    </xf>
    <xf numFmtId="3" fontId="8" fillId="6" borderId="70" xfId="0" applyNumberFormat="1" applyFont="1" applyFill="1" applyBorder="1"/>
    <xf numFmtId="3" fontId="8" fillId="6" borderId="30" xfId="0" applyNumberFormat="1" applyFont="1" applyFill="1" applyBorder="1"/>
    <xf numFmtId="3" fontId="8" fillId="6" borderId="29" xfId="0" applyNumberFormat="1" applyFont="1" applyFill="1" applyBorder="1"/>
    <xf numFmtId="3" fontId="6" fillId="6" borderId="47" xfId="0" applyNumberFormat="1" applyFont="1" applyFill="1" applyBorder="1"/>
    <xf numFmtId="0" fontId="14" fillId="2" borderId="0" xfId="3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8" fillId="0" borderId="52" xfId="4" applyFont="1" applyBorder="1" applyAlignment="1">
      <alignment horizontal="center" vertical="center"/>
    </xf>
    <xf numFmtId="0" fontId="18" fillId="0" borderId="80" xfId="4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51" xfId="6" applyFont="1" applyBorder="1" applyAlignment="1">
      <alignment horizontal="center" vertical="center" wrapText="1"/>
    </xf>
    <xf numFmtId="0" fontId="22" fillId="0" borderId="50" xfId="6" applyFont="1" applyBorder="1" applyAlignment="1">
      <alignment horizontal="center" vertical="center"/>
    </xf>
    <xf numFmtId="0" fontId="22" fillId="0" borderId="39" xfId="6" applyFont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 wrapText="1"/>
    </xf>
    <xf numFmtId="0" fontId="21" fillId="0" borderId="80" xfId="4" applyFont="1" applyBorder="1" applyAlignment="1">
      <alignment horizontal="center" vertical="center" wrapText="1"/>
    </xf>
    <xf numFmtId="3" fontId="27" fillId="21" borderId="70" xfId="4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vertical="top" wrapText="1"/>
    </xf>
    <xf numFmtId="3" fontId="27" fillId="21" borderId="13" xfId="4" applyNumberFormat="1" applyFont="1" applyFill="1" applyBorder="1" applyAlignment="1">
      <alignment horizontal="right" vertical="center"/>
    </xf>
    <xf numFmtId="0" fontId="25" fillId="6" borderId="45" xfId="4" applyFont="1" applyFill="1" applyBorder="1" applyAlignment="1">
      <alignment horizontal="left" vertical="center"/>
    </xf>
    <xf numFmtId="0" fontId="25" fillId="6" borderId="18" xfId="4" applyFont="1" applyFill="1" applyBorder="1" applyAlignment="1">
      <alignment horizontal="left" vertical="center"/>
    </xf>
    <xf numFmtId="0" fontId="25" fillId="6" borderId="32" xfId="4" applyFont="1" applyFill="1" applyBorder="1" applyAlignment="1">
      <alignment horizontal="left" vertical="center"/>
    </xf>
    <xf numFmtId="0" fontId="25" fillId="6" borderId="28" xfId="4" applyFont="1" applyFill="1" applyBorder="1" applyAlignment="1">
      <alignment horizontal="left" vertical="center"/>
    </xf>
    <xf numFmtId="0" fontId="7" fillId="8" borderId="21" xfId="4" applyFont="1" applyFill="1" applyBorder="1" applyAlignment="1">
      <alignment horizontal="left" vertical="center"/>
    </xf>
    <xf numFmtId="0" fontId="7" fillId="8" borderId="20" xfId="4" applyFont="1" applyFill="1" applyBorder="1" applyAlignment="1">
      <alignment horizontal="left" vertical="center"/>
    </xf>
    <xf numFmtId="3" fontId="7" fillId="8" borderId="20" xfId="4" applyNumberFormat="1" applyFont="1" applyFill="1" applyBorder="1" applyAlignment="1">
      <alignment horizontal="left" vertical="center"/>
    </xf>
    <xf numFmtId="0" fontId="7" fillId="8" borderId="77" xfId="4" applyFont="1" applyFill="1" applyBorder="1" applyAlignment="1">
      <alignment vertical="center"/>
    </xf>
    <xf numFmtId="0" fontId="7" fillId="8" borderId="22" xfId="4" applyFont="1" applyFill="1" applyBorder="1" applyAlignment="1">
      <alignment vertical="center"/>
    </xf>
    <xf numFmtId="0" fontId="7" fillId="13" borderId="0" xfId="4" applyFont="1" applyFill="1" applyBorder="1" applyAlignment="1">
      <alignment horizontal="right" vertical="center"/>
    </xf>
    <xf numFmtId="3" fontId="7" fillId="13" borderId="10" xfId="4" applyNumberFormat="1" applyFont="1" applyFill="1" applyBorder="1" applyAlignment="1">
      <alignment horizontal="right" vertical="center"/>
    </xf>
    <xf numFmtId="0" fontId="25" fillId="6" borderId="34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horizontal="right" vertical="center"/>
    </xf>
    <xf numFmtId="3" fontId="24" fillId="22" borderId="30" xfId="4" applyNumberFormat="1" applyFont="1" applyFill="1" applyBorder="1" applyAlignment="1">
      <alignment horizontal="right" vertical="center"/>
    </xf>
    <xf numFmtId="3" fontId="29" fillId="13" borderId="29" xfId="4" applyNumberFormat="1" applyFont="1" applyFill="1" applyBorder="1" applyAlignment="1">
      <alignment horizontal="right" vertical="center"/>
    </xf>
    <xf numFmtId="3" fontId="29" fillId="24" borderId="29" xfId="4" applyNumberFormat="1" applyFont="1" applyFill="1" applyBorder="1" applyAlignment="1">
      <alignment horizontal="right" vertical="center"/>
    </xf>
    <xf numFmtId="3" fontId="7" fillId="13" borderId="29" xfId="4" applyNumberFormat="1" applyFont="1" applyFill="1" applyBorder="1" applyAlignment="1">
      <alignment horizontal="right" vertical="center"/>
    </xf>
    <xf numFmtId="3" fontId="31" fillId="25" borderId="29" xfId="4" applyNumberFormat="1" applyFont="1" applyFill="1" applyBorder="1" applyAlignment="1">
      <alignment horizontal="right" vertical="center"/>
    </xf>
    <xf numFmtId="3" fontId="33" fillId="13" borderId="9" xfId="6" applyNumberFormat="1" applyFont="1" applyFill="1" applyBorder="1" applyAlignment="1">
      <alignment vertical="center"/>
    </xf>
    <xf numFmtId="0" fontId="7" fillId="13" borderId="36" xfId="4" applyFont="1" applyFill="1" applyBorder="1" applyAlignment="1">
      <alignment horizontal="left" vertical="center"/>
    </xf>
    <xf numFmtId="0" fontId="7" fillId="13" borderId="20" xfId="4" applyFont="1" applyFill="1" applyBorder="1" applyAlignment="1">
      <alignment horizontal="left" vertical="center"/>
    </xf>
    <xf numFmtId="0" fontId="7" fillId="13" borderId="77" xfId="4" applyFont="1" applyFill="1" applyBorder="1" applyAlignment="1">
      <alignment vertical="center"/>
    </xf>
    <xf numFmtId="0" fontId="7" fillId="13" borderId="37" xfId="4" applyFont="1" applyFill="1" applyBorder="1" applyAlignment="1">
      <alignment vertical="center"/>
    </xf>
    <xf numFmtId="3" fontId="24" fillId="8" borderId="70" xfId="4" applyNumberFormat="1" applyFont="1" applyFill="1" applyBorder="1" applyAlignment="1">
      <alignment horizontal="right" vertical="center"/>
    </xf>
    <xf numFmtId="3" fontId="24" fillId="8" borderId="17" xfId="4" applyNumberFormat="1" applyFont="1" applyFill="1" applyBorder="1" applyAlignment="1">
      <alignment horizontal="right" vertical="center"/>
    </xf>
    <xf numFmtId="3" fontId="24" fillId="8" borderId="2" xfId="4" applyNumberFormat="1" applyFont="1" applyFill="1" applyBorder="1" applyAlignment="1">
      <alignment horizontal="right" vertical="center"/>
    </xf>
    <xf numFmtId="3" fontId="24" fillId="23" borderId="2" xfId="4" applyNumberFormat="1" applyFont="1" applyFill="1" applyBorder="1" applyAlignment="1">
      <alignment horizontal="right" vertical="center"/>
    </xf>
    <xf numFmtId="0" fontId="20" fillId="0" borderId="42" xfId="4" applyFont="1" applyFill="1" applyBorder="1" applyAlignment="1">
      <alignment horizontal="center" vertical="center" wrapText="1"/>
    </xf>
    <xf numFmtId="3" fontId="7" fillId="0" borderId="30" xfId="4" applyNumberFormat="1" applyFont="1" applyFill="1" applyBorder="1" applyAlignment="1">
      <alignment horizontal="right" vertical="center"/>
    </xf>
    <xf numFmtId="3" fontId="7" fillId="0" borderId="29" xfId="4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vertical="center"/>
    </xf>
    <xf numFmtId="3" fontId="33" fillId="0" borderId="30" xfId="6" applyNumberFormat="1" applyFont="1" applyFill="1" applyBorder="1" applyAlignment="1">
      <alignment vertical="center"/>
    </xf>
    <xf numFmtId="3" fontId="7" fillId="0" borderId="65" xfId="4" applyNumberFormat="1" applyFont="1" applyFill="1" applyBorder="1" applyAlignment="1">
      <alignment horizontal="right" vertical="center"/>
    </xf>
    <xf numFmtId="3" fontId="33" fillId="0" borderId="9" xfId="6" applyNumberFormat="1" applyFont="1" applyFill="1" applyBorder="1" applyAlignment="1">
      <alignment vertical="center"/>
    </xf>
    <xf numFmtId="3" fontId="32" fillId="0" borderId="29" xfId="6" applyNumberFormat="1" applyFont="1" applyFill="1" applyBorder="1" applyAlignment="1">
      <alignment vertical="center"/>
    </xf>
    <xf numFmtId="3" fontId="32" fillId="0" borderId="30" xfId="6" applyNumberFormat="1" applyFont="1" applyFill="1" applyBorder="1" applyAlignment="1">
      <alignment vertical="center"/>
    </xf>
    <xf numFmtId="0" fontId="31" fillId="0" borderId="83" xfId="4" applyFont="1" applyFill="1" applyBorder="1" applyAlignment="1">
      <alignment vertical="center"/>
    </xf>
    <xf numFmtId="3" fontId="7" fillId="0" borderId="12" xfId="4" applyNumberFormat="1" applyFont="1" applyFill="1" applyBorder="1" applyAlignment="1">
      <alignment horizontal="right" vertical="center"/>
    </xf>
    <xf numFmtId="3" fontId="7" fillId="0" borderId="74" xfId="4" applyNumberFormat="1" applyFont="1" applyFill="1" applyBorder="1" applyAlignment="1">
      <alignment horizontal="right" vertical="center"/>
    </xf>
    <xf numFmtId="0" fontId="24" fillId="8" borderId="14" xfId="4" applyFont="1" applyFill="1" applyBorder="1" applyAlignment="1">
      <alignment horizontal="center" vertical="center" wrapText="1"/>
    </xf>
    <xf numFmtId="3" fontId="7" fillId="8" borderId="4" xfId="4" applyNumberFormat="1" applyFont="1" applyFill="1" applyBorder="1" applyAlignment="1">
      <alignment horizontal="right" vertical="center"/>
    </xf>
    <xf numFmtId="3" fontId="7" fillId="8" borderId="17" xfId="4" applyNumberFormat="1" applyFont="1" applyFill="1" applyBorder="1" applyAlignment="1">
      <alignment horizontal="right" vertical="center"/>
    </xf>
    <xf numFmtId="3" fontId="7" fillId="8" borderId="70" xfId="4" applyNumberFormat="1" applyFont="1" applyFill="1" applyBorder="1" applyAlignment="1">
      <alignment horizontal="right" vertical="center"/>
    </xf>
    <xf numFmtId="3" fontId="24" fillId="23" borderId="3" xfId="4" applyNumberFormat="1" applyFont="1" applyFill="1" applyBorder="1" applyAlignment="1">
      <alignment horizontal="right" vertical="center"/>
    </xf>
    <xf numFmtId="3" fontId="25" fillId="6" borderId="29" xfId="4" applyNumberFormat="1" applyFont="1" applyFill="1" applyBorder="1" applyAlignment="1">
      <alignment horizontal="right" vertical="center"/>
    </xf>
    <xf numFmtId="3" fontId="25" fillId="6" borderId="30" xfId="4" applyNumberFormat="1" applyFont="1" applyFill="1" applyBorder="1" applyAlignment="1">
      <alignment horizontal="right" vertical="center"/>
    </xf>
    <xf numFmtId="3" fontId="25" fillId="22" borderId="30" xfId="4" applyNumberFormat="1" applyFont="1" applyFill="1" applyBorder="1" applyAlignment="1">
      <alignment horizontal="right" vertical="center"/>
    </xf>
    <xf numFmtId="3" fontId="27" fillId="0" borderId="29" xfId="4" applyNumberFormat="1" applyFont="1" applyFill="1" applyBorder="1" applyAlignment="1">
      <alignment horizontal="right" vertical="center"/>
    </xf>
    <xf numFmtId="3" fontId="27" fillId="25" borderId="30" xfId="4" applyNumberFormat="1" applyFont="1" applyFill="1" applyBorder="1" applyAlignment="1">
      <alignment horizontal="right" vertical="center"/>
    </xf>
    <xf numFmtId="3" fontId="27" fillId="25" borderId="0" xfId="4" applyNumberFormat="1" applyFont="1" applyFill="1" applyBorder="1" applyAlignment="1">
      <alignment horizontal="right" vertical="center"/>
    </xf>
    <xf numFmtId="3" fontId="31" fillId="25" borderId="0" xfId="4" applyNumberFormat="1" applyFont="1" applyFill="1" applyBorder="1" applyAlignment="1">
      <alignment horizontal="right" vertical="center"/>
    </xf>
    <xf numFmtId="3" fontId="31" fillId="0" borderId="63" xfId="4" applyNumberFormat="1" applyFont="1" applyFill="1" applyBorder="1" applyAlignment="1">
      <alignment horizontal="right" vertical="center"/>
    </xf>
    <xf numFmtId="0" fontId="7" fillId="0" borderId="83" xfId="4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right" vertical="center"/>
    </xf>
    <xf numFmtId="3" fontId="7" fillId="0" borderId="72" xfId="4" applyNumberFormat="1" applyFont="1" applyFill="1" applyBorder="1" applyAlignment="1">
      <alignment horizontal="right" vertical="center"/>
    </xf>
    <xf numFmtId="0" fontId="24" fillId="8" borderId="45" xfId="4" applyFont="1" applyFill="1" applyBorder="1" applyAlignment="1">
      <alignment vertical="center" wrapText="1"/>
    </xf>
    <xf numFmtId="3" fontId="31" fillId="0" borderId="30" xfId="4" applyNumberFormat="1" applyFont="1" applyFill="1" applyBorder="1" applyAlignment="1">
      <alignment horizontal="right" vertical="center"/>
    </xf>
    <xf numFmtId="0" fontId="7" fillId="0" borderId="77" xfId="4" applyFont="1" applyFill="1" applyBorder="1" applyAlignment="1">
      <alignment vertical="center"/>
    </xf>
    <xf numFmtId="3" fontId="31" fillId="0" borderId="47" xfId="4" applyNumberFormat="1" applyFont="1" applyFill="1" applyBorder="1" applyAlignment="1">
      <alignment horizontal="right" vertical="center"/>
    </xf>
    <xf numFmtId="3" fontId="27" fillId="0" borderId="27" xfId="4" applyNumberFormat="1" applyFont="1" applyFill="1" applyBorder="1" applyAlignment="1">
      <alignment horizontal="right" vertical="center"/>
    </xf>
    <xf numFmtId="3" fontId="27" fillId="25" borderId="29" xfId="4" applyNumberFormat="1" applyFont="1" applyFill="1" applyBorder="1" applyAlignment="1">
      <alignment horizontal="right" vertical="center"/>
    </xf>
    <xf numFmtId="0" fontId="24" fillId="6" borderId="32" xfId="4" applyFont="1" applyFill="1" applyBorder="1" applyAlignment="1">
      <alignment horizontal="left" vertical="center"/>
    </xf>
    <xf numFmtId="0" fontId="7" fillId="0" borderId="77" xfId="4" applyFont="1" applyFill="1" applyBorder="1" applyAlignment="1">
      <alignment vertical="top"/>
    </xf>
    <xf numFmtId="0" fontId="25" fillId="6" borderId="21" xfId="4" applyFont="1" applyFill="1" applyBorder="1" applyAlignment="1">
      <alignment horizontal="left" vertical="center"/>
    </xf>
    <xf numFmtId="0" fontId="27" fillId="2" borderId="32" xfId="4" applyFont="1" applyFill="1" applyBorder="1" applyAlignment="1">
      <alignment vertical="top"/>
    </xf>
    <xf numFmtId="3" fontId="7" fillId="8" borderId="9" xfId="4" applyNumberFormat="1" applyFont="1" applyFill="1" applyBorder="1" applyAlignment="1">
      <alignment horizontal="right" vertical="center"/>
    </xf>
    <xf numFmtId="3" fontId="7" fillId="8" borderId="35" xfId="4" applyNumberFormat="1" applyFont="1" applyFill="1" applyBorder="1" applyAlignment="1">
      <alignment horizontal="right" vertical="center"/>
    </xf>
    <xf numFmtId="3" fontId="24" fillId="8" borderId="35" xfId="4" applyNumberFormat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horizontal="right" vertical="center"/>
    </xf>
    <xf numFmtId="3" fontId="32" fillId="0" borderId="72" xfId="6" applyNumberFormat="1" applyFont="1" applyFill="1" applyBorder="1" applyAlignment="1">
      <alignment vertical="center"/>
    </xf>
    <xf numFmtId="3" fontId="32" fillId="0" borderId="47" xfId="6" applyNumberFormat="1" applyFont="1" applyFill="1" applyBorder="1" applyAlignment="1">
      <alignment vertical="center"/>
    </xf>
    <xf numFmtId="0" fontId="18" fillId="0" borderId="42" xfId="4" applyFont="1" applyFill="1" applyBorder="1" applyAlignment="1">
      <alignment vertical="center" wrapText="1"/>
    </xf>
    <xf numFmtId="0" fontId="25" fillId="6" borderId="20" xfId="4" applyFont="1" applyFill="1" applyBorder="1" applyAlignment="1">
      <alignment horizontal="left" vertical="center"/>
    </xf>
    <xf numFmtId="3" fontId="25" fillId="22" borderId="10" xfId="4" applyNumberFormat="1" applyFont="1" applyFill="1" applyBorder="1" applyAlignment="1">
      <alignment horizontal="right" vertical="center"/>
    </xf>
    <xf numFmtId="0" fontId="7" fillId="0" borderId="36" xfId="4" applyFont="1" applyFill="1" applyBorder="1" applyAlignment="1">
      <alignment horizontal="left" vertical="center"/>
    </xf>
    <xf numFmtId="0" fontId="25" fillId="6" borderId="36" xfId="4" applyFont="1" applyFill="1" applyBorder="1" applyAlignment="1">
      <alignment horizontal="left" vertical="center"/>
    </xf>
    <xf numFmtId="3" fontId="25" fillId="8" borderId="70" xfId="4" applyNumberFormat="1" applyFont="1" applyFill="1" applyBorder="1" applyAlignment="1">
      <alignment horizontal="right" vertical="center"/>
    </xf>
    <xf numFmtId="3" fontId="25" fillId="8" borderId="2" xfId="4" applyNumberFormat="1" applyFont="1" applyFill="1" applyBorder="1" applyAlignment="1">
      <alignment horizontal="right" vertical="center"/>
    </xf>
    <xf numFmtId="3" fontId="32" fillId="0" borderId="10" xfId="6" applyNumberFormat="1" applyFont="1" applyFill="1" applyBorder="1" applyAlignment="1">
      <alignment vertical="center"/>
    </xf>
    <xf numFmtId="3" fontId="27" fillId="0" borderId="30" xfId="4" applyNumberFormat="1" applyFont="1" applyFill="1" applyBorder="1" applyAlignment="1">
      <alignment horizontal="right" vertical="center"/>
    </xf>
    <xf numFmtId="3" fontId="24" fillId="8" borderId="4" xfId="4" applyNumberFormat="1" applyFont="1" applyFill="1" applyBorder="1" applyAlignment="1">
      <alignment horizontal="right" vertical="center"/>
    </xf>
    <xf numFmtId="3" fontId="24" fillId="8" borderId="15" xfId="4" applyNumberFormat="1" applyFont="1" applyFill="1" applyBorder="1" applyAlignment="1">
      <alignment horizontal="right" vertical="center"/>
    </xf>
    <xf numFmtId="3" fontId="27" fillId="0" borderId="63" xfId="4" applyNumberFormat="1" applyFont="1" applyFill="1" applyBorder="1" applyAlignment="1">
      <alignment horizontal="right" vertical="center"/>
    </xf>
    <xf numFmtId="3" fontId="27" fillId="0" borderId="65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vertical="center"/>
    </xf>
    <xf numFmtId="3" fontId="24" fillId="8" borderId="4" xfId="0" applyNumberFormat="1" applyFont="1" applyFill="1" applyBorder="1" applyAlignment="1">
      <alignment vertical="center"/>
    </xf>
    <xf numFmtId="3" fontId="24" fillId="8" borderId="70" xfId="0" applyNumberFormat="1" applyFont="1" applyFill="1" applyBorder="1" applyAlignment="1">
      <alignment vertical="center"/>
    </xf>
    <xf numFmtId="3" fontId="24" fillId="8" borderId="15" xfId="0" applyNumberFormat="1" applyFont="1" applyFill="1" applyBorder="1" applyAlignment="1">
      <alignment vertical="center"/>
    </xf>
    <xf numFmtId="3" fontId="24" fillId="6" borderId="30" xfId="0" applyNumberFormat="1" applyFont="1" applyFill="1" applyBorder="1" applyAlignment="1">
      <alignment horizontal="right" vertical="center"/>
    </xf>
    <xf numFmtId="3" fontId="27" fillId="0" borderId="30" xfId="0" applyNumberFormat="1" applyFont="1" applyFill="1" applyBorder="1" applyAlignment="1">
      <alignment horizontal="right" vertical="center"/>
    </xf>
    <xf numFmtId="3" fontId="29" fillId="0" borderId="30" xfId="0" applyNumberFormat="1" applyFont="1" applyFill="1" applyBorder="1" applyAlignment="1">
      <alignment horizontal="right" vertical="center"/>
    </xf>
    <xf numFmtId="3" fontId="27" fillId="0" borderId="29" xfId="0" applyNumberFormat="1" applyFont="1" applyFill="1" applyBorder="1" applyAlignment="1">
      <alignment horizontal="right" vertical="center"/>
    </xf>
    <xf numFmtId="3" fontId="29" fillId="25" borderId="29" xfId="4" applyNumberFormat="1" applyFont="1" applyFill="1" applyBorder="1" applyAlignment="1">
      <alignment horizontal="right" vertical="center"/>
    </xf>
    <xf numFmtId="3" fontId="27" fillId="0" borderId="27" xfId="0" applyNumberFormat="1" applyFont="1" applyFill="1" applyBorder="1" applyAlignment="1">
      <alignment horizontal="right" vertical="center"/>
    </xf>
    <xf numFmtId="3" fontId="7" fillId="0" borderId="35" xfId="0" applyNumberFormat="1" applyFont="1" applyFill="1" applyBorder="1" applyAlignment="1">
      <alignment horizontal="right" vertical="center"/>
    </xf>
    <xf numFmtId="3" fontId="31" fillId="0" borderId="27" xfId="0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horizontal="right" vertical="center"/>
    </xf>
    <xf numFmtId="0" fontId="24" fillId="13" borderId="19" xfId="4" applyFont="1" applyFill="1" applyBorder="1" applyAlignment="1">
      <alignment vertical="center" wrapText="1"/>
    </xf>
    <xf numFmtId="0" fontId="7" fillId="13" borderId="17" xfId="4" applyFont="1" applyFill="1" applyBorder="1" applyAlignment="1">
      <alignment horizontal="right" vertical="center"/>
    </xf>
    <xf numFmtId="3" fontId="7" fillId="13" borderId="70" xfId="4" applyNumberFormat="1" applyFont="1" applyFill="1" applyBorder="1" applyAlignment="1">
      <alignment horizontal="right" vertical="center"/>
    </xf>
    <xf numFmtId="3" fontId="7" fillId="24" borderId="3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horizontal="right" vertical="center"/>
    </xf>
    <xf numFmtId="0" fontId="29" fillId="13" borderId="36" xfId="4" applyFont="1" applyFill="1" applyBorder="1" applyAlignment="1">
      <alignment horizontal="left" vertical="center"/>
    </xf>
    <xf numFmtId="0" fontId="29" fillId="13" borderId="20" xfId="4" applyFont="1" applyFill="1" applyBorder="1" applyAlignment="1">
      <alignment horizontal="left" vertical="center"/>
    </xf>
    <xf numFmtId="3" fontId="27" fillId="13" borderId="29" xfId="4" applyNumberFormat="1" applyFont="1" applyFill="1" applyBorder="1" applyAlignment="1">
      <alignment horizontal="right" vertical="center"/>
    </xf>
    <xf numFmtId="3" fontId="18" fillId="13" borderId="43" xfId="4" applyNumberFormat="1" applyFont="1" applyFill="1" applyBorder="1" applyAlignment="1">
      <alignment horizontal="center" vertical="center" wrapText="1"/>
    </xf>
    <xf numFmtId="3" fontId="27" fillId="13" borderId="9" xfId="4" applyNumberFormat="1" applyFont="1" applyFill="1" applyBorder="1" applyAlignment="1">
      <alignment horizontal="right" vertical="center"/>
    </xf>
    <xf numFmtId="3" fontId="7" fillId="13" borderId="23" xfId="4" applyNumberFormat="1" applyFont="1" applyFill="1" applyBorder="1" applyAlignment="1">
      <alignment horizontal="right" vertical="center"/>
    </xf>
    <xf numFmtId="0" fontId="18" fillId="13" borderId="41" xfId="4" applyFont="1" applyFill="1" applyBorder="1" applyAlignment="1">
      <alignment horizontal="center" vertical="center" wrapText="1"/>
    </xf>
    <xf numFmtId="3" fontId="23" fillId="6" borderId="29" xfId="6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horizontal="right" vertical="center"/>
    </xf>
    <xf numFmtId="3" fontId="33" fillId="8" borderId="3" xfId="6" applyNumberFormat="1" applyFont="1" applyFill="1" applyBorder="1" applyAlignment="1">
      <alignment horizontal="right" vertical="center"/>
    </xf>
    <xf numFmtId="0" fontId="24" fillId="27" borderId="45" xfId="4" applyFont="1" applyFill="1" applyBorder="1" applyAlignment="1">
      <alignment vertical="center" wrapText="1"/>
    </xf>
    <xf numFmtId="3" fontId="24" fillId="6" borderId="29" xfId="0" applyNumberFormat="1" applyFont="1" applyFill="1" applyBorder="1" applyAlignment="1">
      <alignment horizontal="right" vertical="center"/>
    </xf>
    <xf numFmtId="3" fontId="25" fillId="25" borderId="29" xfId="4" applyNumberFormat="1" applyFont="1" applyFill="1" applyBorder="1" applyAlignment="1">
      <alignment horizontal="right" vertical="center"/>
    </xf>
    <xf numFmtId="0" fontId="7" fillId="13" borderId="28" xfId="4" applyFont="1" applyFill="1" applyBorder="1" applyAlignment="1">
      <alignment horizontal="left" vertical="center"/>
    </xf>
    <xf numFmtId="3" fontId="29" fillId="13" borderId="9" xfId="4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/>
    </xf>
    <xf numFmtId="3" fontId="31" fillId="0" borderId="13" xfId="0" applyNumberFormat="1" applyFont="1" applyFill="1" applyBorder="1" applyAlignment="1">
      <alignment horizontal="right" vertical="center"/>
    </xf>
    <xf numFmtId="0" fontId="25" fillId="6" borderId="84" xfId="4" applyFont="1" applyFill="1" applyBorder="1" applyAlignment="1">
      <alignment horizontal="left" vertical="center"/>
    </xf>
    <xf numFmtId="3" fontId="24" fillId="6" borderId="28" xfId="0" applyNumberFormat="1" applyFont="1" applyFill="1" applyBorder="1" applyAlignment="1">
      <alignment horizontal="right" vertical="center"/>
    </xf>
    <xf numFmtId="3" fontId="27" fillId="13" borderId="28" xfId="4" applyNumberFormat="1" applyFont="1" applyFill="1" applyBorder="1" applyAlignment="1">
      <alignment horizontal="right" vertical="center"/>
    </xf>
    <xf numFmtId="3" fontId="7" fillId="13" borderId="28" xfId="4" applyNumberFormat="1" applyFont="1" applyFill="1" applyBorder="1" applyAlignment="1">
      <alignment horizontal="right" vertical="center"/>
    </xf>
    <xf numFmtId="3" fontId="29" fillId="13" borderId="28" xfId="4" applyNumberFormat="1" applyFont="1" applyFill="1" applyBorder="1" applyAlignment="1">
      <alignment horizontal="right" vertical="center"/>
    </xf>
    <xf numFmtId="0" fontId="16" fillId="2" borderId="25" xfId="4" applyFont="1" applyFill="1" applyBorder="1" applyAlignment="1">
      <alignment vertical="center"/>
    </xf>
    <xf numFmtId="0" fontId="34" fillId="2" borderId="68" xfId="4" applyFont="1" applyFill="1" applyBorder="1" applyAlignment="1">
      <alignment vertical="center"/>
    </xf>
    <xf numFmtId="0" fontId="34" fillId="2" borderId="24" xfId="4" applyFont="1" applyFill="1" applyBorder="1" applyAlignment="1">
      <alignment vertical="center"/>
    </xf>
    <xf numFmtId="3" fontId="34" fillId="2" borderId="24" xfId="4" applyNumberFormat="1" applyFont="1" applyFill="1" applyBorder="1" applyAlignment="1">
      <alignment vertical="center"/>
    </xf>
    <xf numFmtId="0" fontId="34" fillId="2" borderId="69" xfId="4" applyFont="1" applyFill="1" applyBorder="1" applyAlignment="1">
      <alignment horizontal="right" vertical="center" wrapText="1"/>
    </xf>
    <xf numFmtId="3" fontId="32" fillId="8" borderId="29" xfId="6" applyNumberFormat="1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top"/>
    </xf>
    <xf numFmtId="0" fontId="20" fillId="2" borderId="11" xfId="0" applyFont="1" applyFill="1" applyBorder="1" applyAlignment="1">
      <alignment horizontal="center" vertical="top"/>
    </xf>
    <xf numFmtId="0" fontId="17" fillId="8" borderId="11" xfId="0" applyFont="1" applyFill="1" applyBorder="1" applyAlignment="1">
      <alignment vertical="center"/>
    </xf>
    <xf numFmtId="3" fontId="27" fillId="21" borderId="35" xfId="4" applyNumberFormat="1" applyFont="1" applyFill="1" applyBorder="1" applyAlignment="1">
      <alignment horizontal="right" vertical="center"/>
    </xf>
    <xf numFmtId="3" fontId="7" fillId="28" borderId="67" xfId="0" applyNumberFormat="1" applyFont="1" applyFill="1" applyBorder="1" applyAlignment="1">
      <alignment horizontal="center" vertical="top" wrapText="1"/>
    </xf>
    <xf numFmtId="3" fontId="27" fillId="21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top"/>
    </xf>
    <xf numFmtId="0" fontId="24" fillId="6" borderId="19" xfId="4" applyFont="1" applyFill="1" applyBorder="1" applyAlignment="1">
      <alignment horizontal="left" vertical="center"/>
    </xf>
    <xf numFmtId="0" fontId="24" fillId="6" borderId="16" xfId="4" applyFont="1" applyFill="1" applyBorder="1" applyAlignment="1">
      <alignment horizontal="left" vertical="center"/>
    </xf>
    <xf numFmtId="3" fontId="24" fillId="29" borderId="70" xfId="0" applyNumberFormat="1" applyFont="1" applyFill="1" applyBorder="1" applyAlignment="1">
      <alignment vertical="center"/>
    </xf>
    <xf numFmtId="0" fontId="29" fillId="8" borderId="36" xfId="4" applyFont="1" applyFill="1" applyBorder="1" applyAlignment="1">
      <alignment vertical="center"/>
    </xf>
    <xf numFmtId="0" fontId="7" fillId="8" borderId="28" xfId="0" applyFont="1" applyFill="1" applyBorder="1" applyAlignment="1">
      <alignment vertical="center" wrapText="1"/>
    </xf>
    <xf numFmtId="0" fontId="17" fillId="28" borderId="11" xfId="0" applyFont="1" applyFill="1" applyBorder="1" applyAlignment="1">
      <alignment vertical="top"/>
    </xf>
    <xf numFmtId="0" fontId="7" fillId="8" borderId="36" xfId="4" applyFont="1" applyFill="1" applyBorder="1" applyAlignment="1">
      <alignment vertical="center"/>
    </xf>
    <xf numFmtId="3" fontId="7" fillId="28" borderId="8" xfId="0" applyNumberFormat="1" applyFont="1" applyFill="1" applyBorder="1" applyAlignment="1">
      <alignment vertical="center" wrapText="1"/>
    </xf>
    <xf numFmtId="0" fontId="29" fillId="8" borderId="32" xfId="4" applyFont="1" applyFill="1" applyBorder="1" applyAlignment="1">
      <alignment vertical="center"/>
    </xf>
    <xf numFmtId="0" fontId="24" fillId="8" borderId="28" xfId="0" applyFont="1" applyFill="1" applyBorder="1" applyAlignment="1">
      <alignment vertical="center"/>
    </xf>
    <xf numFmtId="3" fontId="29" fillId="8" borderId="9" xfId="0" applyNumberFormat="1" applyFont="1" applyFill="1" applyBorder="1" applyAlignment="1">
      <alignment vertical="center"/>
    </xf>
    <xf numFmtId="0" fontId="17" fillId="8" borderId="11" xfId="0" applyFont="1" applyFill="1" applyBorder="1" applyAlignment="1">
      <alignment vertical="top"/>
    </xf>
    <xf numFmtId="0" fontId="17" fillId="8" borderId="25" xfId="0" applyFont="1" applyFill="1" applyBorder="1" applyAlignment="1">
      <alignment vertical="top"/>
    </xf>
    <xf numFmtId="0" fontId="7" fillId="8" borderId="37" xfId="0" applyFont="1" applyFill="1" applyBorder="1" applyAlignment="1">
      <alignment vertical="top" wrapText="1"/>
    </xf>
    <xf numFmtId="3" fontId="7" fillId="28" borderId="47" xfId="0" applyNumberFormat="1" applyFont="1" applyFill="1" applyBorder="1" applyAlignment="1">
      <alignment vertical="center"/>
    </xf>
    <xf numFmtId="0" fontId="25" fillId="8" borderId="5" xfId="0" applyFont="1" applyFill="1" applyBorder="1" applyAlignment="1">
      <alignment vertical="center" wrapText="1"/>
    </xf>
    <xf numFmtId="0" fontId="25" fillId="8" borderId="14" xfId="0" applyFont="1" applyFill="1" applyBorder="1" applyAlignment="1">
      <alignment horizontal="center" vertical="center" wrapText="1"/>
    </xf>
    <xf numFmtId="3" fontId="27" fillId="2" borderId="32" xfId="4" applyNumberFormat="1" applyFont="1" applyFill="1" applyBorder="1" applyAlignment="1">
      <alignment vertical="center" wrapText="1"/>
    </xf>
    <xf numFmtId="0" fontId="31" fillId="0" borderId="21" xfId="0" applyFont="1" applyFill="1" applyBorder="1" applyAlignment="1">
      <alignment vertical="top"/>
    </xf>
    <xf numFmtId="3" fontId="31" fillId="0" borderId="9" xfId="0" applyNumberFormat="1" applyFont="1" applyFill="1" applyBorder="1" applyAlignment="1">
      <alignment vertical="top"/>
    </xf>
    <xf numFmtId="0" fontId="7" fillId="6" borderId="28" xfId="0" applyFont="1" applyFill="1" applyBorder="1" applyAlignment="1">
      <alignment horizontal="left" vertical="center" wrapText="1"/>
    </xf>
    <xf numFmtId="3" fontId="27" fillId="2" borderId="84" xfId="4" applyNumberFormat="1" applyFont="1" applyFill="1" applyBorder="1" applyAlignment="1">
      <alignment vertical="center" wrapText="1"/>
    </xf>
    <xf numFmtId="0" fontId="31" fillId="0" borderId="85" xfId="0" applyFont="1" applyFill="1" applyBorder="1" applyAlignment="1">
      <alignment vertical="top"/>
    </xf>
    <xf numFmtId="3" fontId="31" fillId="0" borderId="47" xfId="0" applyNumberFormat="1" applyFont="1" applyFill="1" applyBorder="1" applyAlignment="1">
      <alignment horizontal="right" vertical="center"/>
    </xf>
    <xf numFmtId="0" fontId="7" fillId="6" borderId="2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vertical="top"/>
    </xf>
    <xf numFmtId="3" fontId="21" fillId="0" borderId="0" xfId="0" applyNumberFormat="1" applyFont="1" applyFill="1" applyBorder="1" applyAlignment="1">
      <alignment horizontal="right" vertical="center"/>
    </xf>
    <xf numFmtId="0" fontId="25" fillId="6" borderId="19" xfId="4" applyFont="1" applyFill="1" applyBorder="1" applyAlignment="1">
      <alignment horizontal="left" vertical="center"/>
    </xf>
    <xf numFmtId="0" fontId="25" fillId="6" borderId="16" xfId="4" applyFont="1" applyFill="1" applyBorder="1" applyAlignment="1">
      <alignment horizontal="left" vertical="center"/>
    </xf>
    <xf numFmtId="0" fontId="27" fillId="8" borderId="36" xfId="4" applyFont="1" applyFill="1" applyBorder="1" applyAlignment="1">
      <alignment vertical="center"/>
    </xf>
    <xf numFmtId="0" fontId="24" fillId="8" borderId="19" xfId="0" applyFont="1" applyFill="1" applyBorder="1" applyAlignment="1">
      <alignment vertical="center" wrapText="1"/>
    </xf>
    <xf numFmtId="0" fontId="7" fillId="8" borderId="18" xfId="0" applyFont="1" applyFill="1" applyBorder="1" applyAlignment="1">
      <alignment vertical="top"/>
    </xf>
    <xf numFmtId="3" fontId="7" fillId="8" borderId="79" xfId="0" applyNumberFormat="1" applyFont="1" applyFill="1" applyBorder="1" applyAlignment="1">
      <alignment vertical="top"/>
    </xf>
    <xf numFmtId="0" fontId="24" fillId="6" borderId="21" xfId="4" applyFont="1" applyFill="1" applyBorder="1" applyAlignment="1">
      <alignment horizontal="left" vertical="center"/>
    </xf>
    <xf numFmtId="0" fontId="25" fillId="6" borderId="9" xfId="4" applyFont="1" applyFill="1" applyBorder="1" applyAlignment="1">
      <alignment horizontal="left" vertical="center"/>
    </xf>
    <xf numFmtId="0" fontId="30" fillId="8" borderId="11" xfId="0" applyFont="1" applyFill="1" applyBorder="1" applyAlignment="1">
      <alignment vertical="top"/>
    </xf>
    <xf numFmtId="3" fontId="24" fillId="22" borderId="70" xfId="0" applyNumberFormat="1" applyFont="1" applyFill="1" applyBorder="1" applyAlignment="1">
      <alignment vertical="center"/>
    </xf>
    <xf numFmtId="0" fontId="16" fillId="2" borderId="87" xfId="0" applyFont="1" applyFill="1" applyBorder="1" applyAlignment="1">
      <alignment vertical="center"/>
    </xf>
    <xf numFmtId="0" fontId="34" fillId="2" borderId="51" xfId="0" applyFont="1" applyFill="1" applyBorder="1" applyAlignment="1">
      <alignment vertical="top"/>
    </xf>
    <xf numFmtId="0" fontId="34" fillId="0" borderId="80" xfId="0" applyFont="1" applyFill="1" applyBorder="1" applyAlignment="1">
      <alignment vertical="top"/>
    </xf>
    <xf numFmtId="3" fontId="24" fillId="29" borderId="35" xfId="0" applyNumberFormat="1" applyFont="1" applyFill="1" applyBorder="1" applyAlignment="1">
      <alignment vertical="center"/>
    </xf>
    <xf numFmtId="0" fontId="20" fillId="8" borderId="11" xfId="0" applyFont="1" applyFill="1" applyBorder="1" applyAlignment="1">
      <alignment vertical="center"/>
    </xf>
    <xf numFmtId="0" fontId="25" fillId="6" borderId="8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vertical="center"/>
    </xf>
    <xf numFmtId="3" fontId="24" fillId="6" borderId="30" xfId="4" applyNumberFormat="1" applyFont="1" applyFill="1" applyBorder="1" applyAlignment="1">
      <alignment vertical="center"/>
    </xf>
    <xf numFmtId="3" fontId="32" fillId="8" borderId="28" xfId="6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7" fillId="0" borderId="35" xfId="4" applyNumberFormat="1" applyFont="1" applyFill="1" applyBorder="1" applyAlignment="1">
      <alignment horizontal="right" vertical="center"/>
    </xf>
    <xf numFmtId="3" fontId="7" fillId="0" borderId="0" xfId="4" applyNumberFormat="1" applyFont="1" applyFill="1" applyBorder="1" applyAlignment="1">
      <alignment horizontal="right" vertical="center"/>
    </xf>
    <xf numFmtId="3" fontId="7" fillId="0" borderId="39" xfId="4" applyNumberFormat="1" applyFont="1" applyFill="1" applyBorder="1" applyAlignment="1">
      <alignment horizontal="right" vertical="center"/>
    </xf>
    <xf numFmtId="0" fontId="32" fillId="0" borderId="38" xfId="0" applyFont="1" applyBorder="1" applyAlignment="1">
      <alignment horizontal="center" vertical="center" wrapText="1"/>
    </xf>
    <xf numFmtId="3" fontId="7" fillId="0" borderId="50" xfId="4" applyNumberFormat="1" applyFont="1" applyFill="1" applyBorder="1" applyAlignment="1">
      <alignment horizontal="right" vertical="center"/>
    </xf>
    <xf numFmtId="3" fontId="25" fillId="6" borderId="9" xfId="4" applyNumberFormat="1" applyFont="1" applyFill="1" applyBorder="1" applyAlignment="1">
      <alignment horizontal="right" vertical="center"/>
    </xf>
    <xf numFmtId="0" fontId="24" fillId="27" borderId="5" xfId="4" applyFont="1" applyFill="1" applyBorder="1" applyAlignment="1">
      <alignment vertical="center" wrapText="1"/>
    </xf>
    <xf numFmtId="0" fontId="27" fillId="55" borderId="45" xfId="4" applyFont="1" applyFill="1" applyBorder="1" applyAlignment="1">
      <alignment horizontal="left" vertical="center"/>
    </xf>
    <xf numFmtId="0" fontId="27" fillId="55" borderId="16" xfId="4" applyFont="1" applyFill="1" applyBorder="1" applyAlignment="1">
      <alignment horizontal="left" vertical="center"/>
    </xf>
    <xf numFmtId="3" fontId="27" fillId="55" borderId="17" xfId="4" applyNumberFormat="1" applyFont="1" applyFill="1" applyBorder="1" applyAlignment="1">
      <alignment horizontal="right" vertical="center"/>
    </xf>
    <xf numFmtId="0" fontId="27" fillId="55" borderId="67" xfId="4" applyFont="1" applyFill="1" applyBorder="1" applyAlignment="1">
      <alignment horizontal="left" vertical="center"/>
    </xf>
    <xf numFmtId="0" fontId="27" fillId="55" borderId="6" xfId="4" applyFont="1" applyFill="1" applyBorder="1" applyAlignment="1">
      <alignment horizontal="left" vertical="center"/>
    </xf>
    <xf numFmtId="3" fontId="27" fillId="55" borderId="27" xfId="4" applyNumberFormat="1" applyFont="1" applyFill="1" applyBorder="1" applyAlignment="1">
      <alignment horizontal="right" vertical="center"/>
    </xf>
    <xf numFmtId="0" fontId="27" fillId="55" borderId="67" xfId="0" applyFont="1" applyFill="1" applyBorder="1" applyAlignment="1">
      <alignment horizontal="left" vertical="top"/>
    </xf>
    <xf numFmtId="0" fontId="28" fillId="55" borderId="6" xfId="0" quotePrefix="1" applyFont="1" applyFill="1" applyBorder="1" applyAlignment="1">
      <alignment horizontal="center" vertical="top"/>
    </xf>
    <xf numFmtId="3" fontId="27" fillId="55" borderId="27" xfId="0" quotePrefix="1" applyNumberFormat="1" applyFont="1" applyFill="1" applyBorder="1" applyAlignment="1">
      <alignment horizontal="right" vertical="top"/>
    </xf>
    <xf numFmtId="0" fontId="27" fillId="55" borderId="34" xfId="4" applyFont="1" applyFill="1" applyBorder="1" applyAlignment="1">
      <alignment horizontal="left" vertical="center"/>
    </xf>
    <xf numFmtId="3" fontId="27" fillId="55" borderId="29" xfId="4" applyNumberFormat="1" applyFont="1" applyFill="1" applyBorder="1" applyAlignment="1">
      <alignment horizontal="right" vertical="center"/>
    </xf>
    <xf numFmtId="0" fontId="27" fillId="55" borderId="36" xfId="4" applyFont="1" applyFill="1" applyBorder="1" applyAlignment="1">
      <alignment horizontal="left" vertical="center"/>
    </xf>
    <xf numFmtId="0" fontId="27" fillId="55" borderId="20" xfId="4" applyFont="1" applyFill="1" applyBorder="1" applyAlignment="1">
      <alignment horizontal="left" vertical="center"/>
    </xf>
    <xf numFmtId="3" fontId="27" fillId="55" borderId="9" xfId="4" applyNumberFormat="1" applyFont="1" applyFill="1" applyBorder="1" applyAlignment="1">
      <alignment horizontal="right" vertical="center"/>
    </xf>
    <xf numFmtId="0" fontId="27" fillId="55" borderId="46" xfId="0" applyFont="1" applyFill="1" applyBorder="1" applyAlignment="1">
      <alignment horizontal="left" vertical="top"/>
    </xf>
    <xf numFmtId="3" fontId="27" fillId="55" borderId="23" xfId="0" quotePrefix="1" applyNumberFormat="1" applyFont="1" applyFill="1" applyBorder="1" applyAlignment="1">
      <alignment horizontal="right" vertical="top"/>
    </xf>
    <xf numFmtId="0" fontId="27" fillId="55" borderId="11" xfId="4" applyFont="1" applyFill="1" applyBorder="1" applyAlignment="1">
      <alignment horizontal="left" vertical="center"/>
    </xf>
    <xf numFmtId="0" fontId="27" fillId="55" borderId="25" xfId="0" applyFont="1" applyFill="1" applyBorder="1" applyAlignment="1">
      <alignment horizontal="left" vertical="top"/>
    </xf>
    <xf numFmtId="3" fontId="29" fillId="2" borderId="32" xfId="4" applyNumberFormat="1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/>
    </xf>
    <xf numFmtId="3" fontId="31" fillId="0" borderId="13" xfId="0" applyNumberFormat="1" applyFont="1" applyFill="1" applyBorder="1" applyAlignment="1">
      <alignment vertical="top"/>
    </xf>
    <xf numFmtId="0" fontId="0" fillId="0" borderId="24" xfId="0" applyFont="1" applyBorder="1" applyAlignment="1">
      <alignment vertical="center"/>
    </xf>
    <xf numFmtId="3" fontId="0" fillId="0" borderId="0" xfId="0" applyNumberFormat="1" applyFont="1"/>
    <xf numFmtId="3" fontId="33" fillId="8" borderId="29" xfId="6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3" fontId="24" fillId="6" borderId="35" xfId="4" applyNumberFormat="1" applyFont="1" applyFill="1" applyBorder="1" applyAlignment="1">
      <alignment vertical="center"/>
    </xf>
    <xf numFmtId="3" fontId="25" fillId="6" borderId="30" xfId="4" applyNumberFormat="1" applyFont="1" applyFill="1" applyBorder="1" applyAlignment="1">
      <alignment vertical="center"/>
    </xf>
    <xf numFmtId="0" fontId="27" fillId="55" borderId="19" xfId="4" applyFont="1" applyFill="1" applyBorder="1" applyAlignment="1">
      <alignment horizontal="left" vertical="center"/>
    </xf>
    <xf numFmtId="3" fontId="24" fillId="8" borderId="3" xfId="4" applyNumberFormat="1" applyFont="1" applyFill="1" applyBorder="1" applyAlignment="1">
      <alignment horizontal="right" vertical="center"/>
    </xf>
    <xf numFmtId="3" fontId="31" fillId="0" borderId="72" xfId="4" applyNumberFormat="1" applyFont="1" applyFill="1" applyBorder="1" applyAlignment="1">
      <alignment horizontal="right" vertical="center"/>
    </xf>
    <xf numFmtId="3" fontId="25" fillId="22" borderId="71" xfId="4" applyNumberFormat="1" applyFont="1" applyFill="1" applyBorder="1" applyAlignment="1">
      <alignment horizontal="right" vertical="center"/>
    </xf>
    <xf numFmtId="3" fontId="27" fillId="25" borderId="31" xfId="4" applyNumberFormat="1" applyFont="1" applyFill="1" applyBorder="1" applyAlignment="1">
      <alignment horizontal="right" vertical="center"/>
    </xf>
    <xf numFmtId="3" fontId="31" fillId="25" borderId="64" xfId="4" applyNumberFormat="1" applyFont="1" applyFill="1" applyBorder="1" applyAlignment="1">
      <alignment horizontal="right" vertical="center"/>
    </xf>
    <xf numFmtId="3" fontId="24" fillId="8" borderId="2" xfId="0" applyNumberFormat="1" applyFont="1" applyFill="1" applyBorder="1" applyAlignment="1">
      <alignment vertical="center"/>
    </xf>
    <xf numFmtId="3" fontId="27" fillId="0" borderId="0" xfId="4" applyNumberFormat="1" applyFont="1" applyFill="1" applyBorder="1" applyAlignment="1">
      <alignment horizontal="right" vertical="center"/>
    </xf>
    <xf numFmtId="3" fontId="31" fillId="0" borderId="0" xfId="4" applyNumberFormat="1" applyFont="1" applyFill="1" applyBorder="1" applyAlignment="1">
      <alignment horizontal="right" vertical="center"/>
    </xf>
    <xf numFmtId="3" fontId="25" fillId="6" borderId="8" xfId="4" applyNumberFormat="1" applyFont="1" applyFill="1" applyBorder="1" applyAlignment="1">
      <alignment horizontal="right" vertical="center"/>
    </xf>
    <xf numFmtId="3" fontId="7" fillId="0" borderId="64" xfId="4" applyNumberFormat="1" applyFont="1" applyFill="1" applyBorder="1" applyAlignment="1">
      <alignment horizontal="right" vertical="center"/>
    </xf>
    <xf numFmtId="3" fontId="31" fillId="0" borderId="65" xfId="4" applyNumberFormat="1" applyFont="1" applyFill="1" applyBorder="1" applyAlignment="1">
      <alignment vertical="center"/>
    </xf>
    <xf numFmtId="3" fontId="32" fillId="8" borderId="72" xfId="6" applyNumberFormat="1" applyFont="1" applyFill="1" applyBorder="1" applyAlignment="1">
      <alignment vertical="center"/>
    </xf>
    <xf numFmtId="3" fontId="8" fillId="0" borderId="29" xfId="0" applyNumberFormat="1" applyFont="1" applyFill="1" applyBorder="1" applyAlignment="1">
      <alignment vertical="center" wrapText="1"/>
    </xf>
    <xf numFmtId="3" fontId="8" fillId="2" borderId="9" xfId="0" applyNumberFormat="1" applyFont="1" applyFill="1" applyBorder="1" applyAlignment="1">
      <alignment vertical="center" wrapText="1"/>
    </xf>
    <xf numFmtId="3" fontId="7" fillId="13" borderId="47" xfId="4" applyNumberFormat="1" applyFont="1" applyFill="1" applyBorder="1" applyAlignment="1">
      <alignment horizontal="right" vertical="center"/>
    </xf>
    <xf numFmtId="3" fontId="7" fillId="13" borderId="72" xfId="4" applyNumberFormat="1" applyFont="1" applyFill="1" applyBorder="1" applyAlignment="1">
      <alignment horizontal="right" vertical="center"/>
    </xf>
    <xf numFmtId="3" fontId="8" fillId="6" borderId="17" xfId="0" applyNumberFormat="1" applyFont="1" applyFill="1" applyBorder="1"/>
    <xf numFmtId="0" fontId="11" fillId="0" borderId="0" xfId="0" applyFont="1" applyFill="1" applyAlignment="1">
      <alignment vertical="center"/>
    </xf>
    <xf numFmtId="3" fontId="24" fillId="8" borderId="7" xfId="4" applyNumberFormat="1" applyFont="1" applyFill="1" applyBorder="1" applyAlignment="1">
      <alignment horizontal="right" vertical="center"/>
    </xf>
    <xf numFmtId="3" fontId="24" fillId="23" borderId="7" xfId="4" applyNumberFormat="1" applyFont="1" applyFill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7" fillId="8" borderId="17" xfId="0" applyFont="1" applyFill="1" applyBorder="1" applyAlignment="1">
      <alignment vertical="top"/>
    </xf>
    <xf numFmtId="0" fontId="24" fillId="8" borderId="6" xfId="0" applyFont="1" applyFill="1" applyBorder="1" applyAlignment="1">
      <alignment horizontal="center" vertical="center" wrapText="1"/>
    </xf>
    <xf numFmtId="3" fontId="8" fillId="6" borderId="63" xfId="0" applyNumberFormat="1" applyFont="1" applyFill="1" applyBorder="1"/>
    <xf numFmtId="0" fontId="32" fillId="0" borderId="20" xfId="0" applyFont="1" applyBorder="1" applyAlignment="1">
      <alignment vertical="center" wrapText="1"/>
    </xf>
    <xf numFmtId="0" fontId="7" fillId="27" borderId="32" xfId="4" applyFont="1" applyFill="1" applyBorder="1" applyAlignment="1">
      <alignment vertical="center" wrapText="1"/>
    </xf>
    <xf numFmtId="0" fontId="7" fillId="13" borderId="21" xfId="4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43" fontId="33" fillId="0" borderId="9" xfId="1" applyFont="1" applyFill="1" applyBorder="1" applyAlignment="1">
      <alignment vertical="center"/>
    </xf>
    <xf numFmtId="0" fontId="24" fillId="8" borderId="85" xfId="0" applyFont="1" applyFill="1" applyBorder="1" applyAlignment="1">
      <alignment vertical="center" wrapText="1"/>
    </xf>
    <xf numFmtId="0" fontId="25" fillId="6" borderId="30" xfId="4" applyFont="1" applyFill="1" applyBorder="1" applyAlignment="1">
      <alignment vertical="center"/>
    </xf>
    <xf numFmtId="0" fontId="25" fillId="6" borderId="31" xfId="4" applyFont="1" applyFill="1" applyBorder="1" applyAlignment="1">
      <alignment vertical="center"/>
    </xf>
    <xf numFmtId="3" fontId="33" fillId="32" borderId="30" xfId="6" applyNumberFormat="1" applyFont="1" applyFill="1" applyBorder="1" applyAlignment="1">
      <alignment horizontal="right" vertical="center"/>
    </xf>
    <xf numFmtId="3" fontId="27" fillId="32" borderId="30" xfId="4" applyNumberFormat="1" applyFont="1" applyFill="1" applyBorder="1" applyAlignment="1">
      <alignment horizontal="right" vertical="center"/>
    </xf>
    <xf numFmtId="3" fontId="27" fillId="32" borderId="65" xfId="4" applyNumberFormat="1" applyFont="1" applyFill="1" applyBorder="1" applyAlignment="1">
      <alignment horizontal="right" vertical="center"/>
    </xf>
    <xf numFmtId="0" fontId="0" fillId="0" borderId="84" xfId="0" applyFont="1" applyBorder="1" applyAlignment="1">
      <alignment vertical="center"/>
    </xf>
    <xf numFmtId="3" fontId="32" fillId="32" borderId="30" xfId="6" applyNumberFormat="1" applyFont="1" applyFill="1" applyBorder="1" applyAlignment="1">
      <alignment horizontal="right" vertical="center"/>
    </xf>
    <xf numFmtId="3" fontId="7" fillId="32" borderId="30" xfId="4" applyNumberFormat="1" applyFont="1" applyFill="1" applyBorder="1" applyAlignment="1">
      <alignment horizontal="right" vertical="center"/>
    </xf>
    <xf numFmtId="3" fontId="7" fillId="23" borderId="30" xfId="4" applyNumberFormat="1" applyFont="1" applyFill="1" applyBorder="1" applyAlignment="1">
      <alignment vertical="center"/>
    </xf>
    <xf numFmtId="0" fontId="25" fillId="6" borderId="85" xfId="4" applyFont="1" applyFill="1" applyBorder="1" applyAlignment="1">
      <alignment horizontal="left" vertical="center"/>
    </xf>
    <xf numFmtId="3" fontId="32" fillId="0" borderId="47" xfId="6" applyNumberFormat="1" applyFont="1" applyFill="1" applyBorder="1" applyAlignment="1">
      <alignment horizontal="right" vertical="center"/>
    </xf>
    <xf numFmtId="0" fontId="61" fillId="0" borderId="80" xfId="4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5" fillId="8" borderId="19" xfId="4" applyFont="1" applyFill="1" applyBorder="1" applyAlignment="1">
      <alignment horizontal="left" vertical="center" wrapText="1"/>
    </xf>
    <xf numFmtId="43" fontId="31" fillId="0" borderId="29" xfId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vertical="center"/>
    </xf>
    <xf numFmtId="43" fontId="33" fillId="0" borderId="30" xfId="1" applyFont="1" applyFill="1" applyBorder="1" applyAlignment="1">
      <alignment vertical="center"/>
    </xf>
    <xf numFmtId="43" fontId="7" fillId="0" borderId="47" xfId="1" applyFont="1" applyFill="1" applyBorder="1" applyAlignment="1">
      <alignment horizontal="right" vertical="center"/>
    </xf>
    <xf numFmtId="43" fontId="27" fillId="0" borderId="30" xfId="1" applyFont="1" applyFill="1" applyBorder="1" applyAlignment="1">
      <alignment horizontal="right" vertical="center"/>
    </xf>
    <xf numFmtId="3" fontId="24" fillId="8" borderId="0" xfId="4" applyNumberFormat="1" applyFont="1" applyFill="1" applyBorder="1" applyAlignment="1">
      <alignment horizontal="right" vertical="center"/>
    </xf>
    <xf numFmtId="3" fontId="24" fillId="23" borderId="0" xfId="4" applyNumberFormat="1" applyFont="1" applyFill="1" applyBorder="1" applyAlignment="1">
      <alignment horizontal="right" vertical="center"/>
    </xf>
    <xf numFmtId="0" fontId="0" fillId="0" borderId="52" xfId="0" applyFont="1" applyBorder="1" applyAlignment="1">
      <alignment horizontal="center" vertical="center"/>
    </xf>
    <xf numFmtId="3" fontId="25" fillId="26" borderId="51" xfId="4" applyNumberFormat="1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43" fontId="23" fillId="6" borderId="29" xfId="1" applyFont="1" applyFill="1" applyBorder="1" applyAlignment="1">
      <alignment horizontal="right" vertical="center"/>
    </xf>
    <xf numFmtId="43" fontId="33" fillId="0" borderId="29" xfId="1" applyFont="1" applyFill="1" applyBorder="1" applyAlignment="1">
      <alignment horizontal="right" vertical="center"/>
    </xf>
    <xf numFmtId="43" fontId="31" fillId="0" borderId="65" xfId="1" applyFont="1" applyFill="1" applyBorder="1" applyAlignment="1">
      <alignment horizontal="right" vertical="center"/>
    </xf>
    <xf numFmtId="43" fontId="31" fillId="0" borderId="30" xfId="1" applyFont="1" applyFill="1" applyBorder="1" applyAlignment="1">
      <alignment horizontal="right" vertical="center"/>
    </xf>
    <xf numFmtId="43" fontId="27" fillId="0" borderId="71" xfId="1" applyFont="1" applyFill="1" applyBorder="1" applyAlignment="1">
      <alignment horizontal="right" vertical="center"/>
    </xf>
    <xf numFmtId="43" fontId="31" fillId="0" borderId="47" xfId="1" applyFont="1" applyFill="1" applyBorder="1" applyAlignment="1">
      <alignment horizontal="right" vertical="center"/>
    </xf>
    <xf numFmtId="43" fontId="31" fillId="0" borderId="75" xfId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left" vertical="center"/>
    </xf>
    <xf numFmtId="3" fontId="33" fillId="0" borderId="13" xfId="6" applyNumberFormat="1" applyFont="1" applyFill="1" applyBorder="1" applyAlignment="1">
      <alignment vertical="center"/>
    </xf>
    <xf numFmtId="3" fontId="33" fillId="0" borderId="0" xfId="6" applyNumberFormat="1" applyFont="1" applyFill="1" applyBorder="1" applyAlignment="1">
      <alignment horizontal="right" vertical="center"/>
    </xf>
    <xf numFmtId="3" fontId="23" fillId="6" borderId="0" xfId="6" applyNumberFormat="1" applyFont="1" applyFill="1" applyBorder="1" applyAlignment="1">
      <alignment horizontal="right" vertical="center"/>
    </xf>
    <xf numFmtId="3" fontId="7" fillId="13" borderId="79" xfId="4" applyNumberFormat="1" applyFont="1" applyFill="1" applyBorder="1" applyAlignment="1">
      <alignment horizontal="right" vertical="center"/>
    </xf>
    <xf numFmtId="3" fontId="7" fillId="13" borderId="18" xfId="4" applyNumberFormat="1" applyFont="1" applyFill="1" applyBorder="1" applyAlignment="1">
      <alignment horizontal="right" vertical="center"/>
    </xf>
    <xf numFmtId="3" fontId="24" fillId="23" borderId="70" xfId="4" applyNumberFormat="1" applyFont="1" applyFill="1" applyBorder="1" applyAlignment="1">
      <alignment horizontal="right" vertical="center"/>
    </xf>
    <xf numFmtId="43" fontId="31" fillId="0" borderId="72" xfId="1" applyFont="1" applyFill="1" applyBorder="1" applyAlignment="1">
      <alignment horizontal="right" vertical="center"/>
    </xf>
    <xf numFmtId="3" fontId="27" fillId="25" borderId="92" xfId="4" applyNumberFormat="1" applyFont="1" applyFill="1" applyBorder="1" applyAlignment="1">
      <alignment horizontal="right" vertical="center"/>
    </xf>
    <xf numFmtId="3" fontId="25" fillId="22" borderId="90" xfId="4" applyNumberFormat="1" applyFont="1" applyFill="1" applyBorder="1" applyAlignment="1">
      <alignment horizontal="right" vertical="center"/>
    </xf>
    <xf numFmtId="3" fontId="7" fillId="0" borderId="94" xfId="4" applyNumberFormat="1" applyFont="1" applyFill="1" applyBorder="1" applyAlignment="1">
      <alignment horizontal="right" vertical="center"/>
    </xf>
    <xf numFmtId="3" fontId="33" fillId="0" borderId="92" xfId="6" applyNumberFormat="1" applyFont="1" applyFill="1" applyBorder="1" applyAlignment="1">
      <alignment vertical="center"/>
    </xf>
    <xf numFmtId="3" fontId="33" fillId="0" borderId="90" xfId="6" applyNumberFormat="1" applyFont="1" applyFill="1" applyBorder="1" applyAlignment="1">
      <alignment vertical="center"/>
    </xf>
    <xf numFmtId="0" fontId="25" fillId="6" borderId="93" xfId="4" applyFont="1" applyFill="1" applyBorder="1" applyAlignment="1">
      <alignment horizontal="left" vertical="center"/>
    </xf>
    <xf numFmtId="3" fontId="27" fillId="2" borderId="93" xfId="4" applyNumberFormat="1" applyFont="1" applyFill="1" applyBorder="1" applyAlignment="1">
      <alignment vertical="center" wrapText="1"/>
    </xf>
    <xf numFmtId="3" fontId="27" fillId="0" borderId="95" xfId="4" applyNumberFormat="1" applyFont="1" applyFill="1" applyBorder="1" applyAlignment="1">
      <alignment horizontal="right" vertical="center"/>
    </xf>
    <xf numFmtId="3" fontId="27" fillId="0" borderId="94" xfId="4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28" fillId="0" borderId="0" xfId="0" applyFont="1" applyFill="1" applyBorder="1" applyAlignment="1"/>
    <xf numFmtId="0" fontId="37" fillId="32" borderId="0" xfId="0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28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1" fillId="0" borderId="0" xfId="0" applyFont="1" applyBorder="1" applyAlignment="1">
      <alignment vertical="top"/>
    </xf>
    <xf numFmtId="0" fontId="25" fillId="0" borderId="23" xfId="4" applyFont="1" applyBorder="1" applyAlignment="1">
      <alignment horizontal="center" vertical="center" wrapText="1"/>
    </xf>
    <xf numFmtId="3" fontId="0" fillId="0" borderId="0" xfId="0" applyNumberFormat="1" applyFont="1" applyBorder="1"/>
    <xf numFmtId="3" fontId="57" fillId="0" borderId="0" xfId="0" applyNumberFormat="1" applyFont="1" applyBorder="1" applyAlignment="1">
      <alignment vertical="top"/>
    </xf>
    <xf numFmtId="3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vertical="top"/>
    </xf>
    <xf numFmtId="3" fontId="29" fillId="8" borderId="90" xfId="0" applyNumberFormat="1" applyFont="1" applyFill="1" applyBorder="1" applyAlignment="1">
      <alignment vertical="center"/>
    </xf>
    <xf numFmtId="3" fontId="29" fillId="23" borderId="90" xfId="0" applyNumberFormat="1" applyFont="1" applyFill="1" applyBorder="1" applyAlignment="1">
      <alignment vertical="center"/>
    </xf>
    <xf numFmtId="3" fontId="18" fillId="8" borderId="4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8" fillId="33" borderId="0" xfId="0" applyFont="1" applyFill="1" applyBorder="1" applyAlignment="1">
      <alignment vertical="center"/>
    </xf>
    <xf numFmtId="3" fontId="7" fillId="28" borderId="90" xfId="0" applyNumberFormat="1" applyFont="1" applyFill="1" applyBorder="1" applyAlignment="1">
      <alignment vertical="center"/>
    </xf>
    <xf numFmtId="3" fontId="7" fillId="23" borderId="90" xfId="0" applyNumberFormat="1" applyFont="1" applyFill="1" applyBorder="1" applyAlignment="1">
      <alignment vertical="center"/>
    </xf>
    <xf numFmtId="0" fontId="57" fillId="0" borderId="0" xfId="0" applyFont="1" applyBorder="1" applyAlignment="1">
      <alignment vertical="top"/>
    </xf>
    <xf numFmtId="0" fontId="7" fillId="8" borderId="36" xfId="4" applyFont="1" applyFill="1" applyBorder="1" applyAlignment="1">
      <alignment horizontal="left" vertical="center"/>
    </xf>
    <xf numFmtId="3" fontId="7" fillId="28" borderId="28" xfId="0" applyNumberFormat="1" applyFont="1" applyFill="1" applyBorder="1" applyAlignment="1">
      <alignment vertical="center" wrapText="1"/>
    </xf>
    <xf numFmtId="3" fontId="7" fillId="28" borderId="9" xfId="0" applyNumberFormat="1" applyFont="1" applyFill="1" applyBorder="1" applyAlignment="1">
      <alignment vertical="center"/>
    </xf>
    <xf numFmtId="43" fontId="7" fillId="23" borderId="90" xfId="1" applyFont="1" applyFill="1" applyBorder="1" applyAlignment="1">
      <alignment vertical="center"/>
    </xf>
    <xf numFmtId="0" fontId="7" fillId="8" borderId="97" xfId="0" applyFont="1" applyFill="1" applyBorder="1" applyAlignment="1">
      <alignment vertical="top" wrapText="1"/>
    </xf>
    <xf numFmtId="0" fontId="7" fillId="8" borderId="91" xfId="0" applyFont="1" applyFill="1" applyBorder="1" applyAlignment="1">
      <alignment vertical="top" wrapText="1"/>
    </xf>
    <xf numFmtId="3" fontId="18" fillId="8" borderId="43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/>
    </xf>
    <xf numFmtId="0" fontId="18" fillId="33" borderId="0" xfId="0" applyFont="1" applyFill="1" applyBorder="1" applyAlignment="1">
      <alignment vertical="top"/>
    </xf>
    <xf numFmtId="0" fontId="7" fillId="8" borderId="28" xfId="0" applyFont="1" applyFill="1" applyBorder="1" applyAlignment="1">
      <alignment vertical="top" wrapText="1"/>
    </xf>
    <xf numFmtId="0" fontId="7" fillId="8" borderId="77" xfId="0" applyFont="1" applyFill="1" applyBorder="1" applyAlignment="1">
      <alignment vertical="top" wrapText="1"/>
    </xf>
    <xf numFmtId="3" fontId="18" fillId="8" borderId="41" xfId="0" applyNumberFormat="1" applyFont="1" applyFill="1" applyBorder="1" applyAlignment="1">
      <alignment horizontal="center" vertical="top" wrapText="1"/>
    </xf>
    <xf numFmtId="3" fontId="18" fillId="0" borderId="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center"/>
    </xf>
    <xf numFmtId="3" fontId="25" fillId="6" borderId="92" xfId="0" applyNumberFormat="1" applyFont="1" applyFill="1" applyBorder="1" applyAlignment="1">
      <alignment vertical="top"/>
    </xf>
    <xf numFmtId="3" fontId="27" fillId="2" borderId="92" xfId="0" applyNumberFormat="1" applyFont="1" applyFill="1" applyBorder="1" applyAlignment="1">
      <alignment vertical="top"/>
    </xf>
    <xf numFmtId="3" fontId="25" fillId="25" borderId="90" xfId="0" applyNumberFormat="1" applyFont="1" applyFill="1" applyBorder="1" applyAlignment="1">
      <alignment vertical="top"/>
    </xf>
    <xf numFmtId="3" fontId="31" fillId="0" borderId="92" xfId="0" applyNumberFormat="1" applyFont="1" applyFill="1" applyBorder="1" applyAlignment="1">
      <alignment vertical="top"/>
    </xf>
    <xf numFmtId="3" fontId="27" fillId="0" borderId="92" xfId="0" applyNumberFormat="1" applyFont="1" applyFill="1" applyBorder="1" applyAlignment="1">
      <alignment vertical="top"/>
    </xf>
    <xf numFmtId="0" fontId="31" fillId="0" borderId="97" xfId="0" applyFont="1" applyFill="1" applyBorder="1" applyAlignment="1">
      <alignment horizontal="left" vertical="center" wrapText="1"/>
    </xf>
    <xf numFmtId="3" fontId="31" fillId="0" borderId="90" xfId="0" applyNumberFormat="1" applyFont="1" applyFill="1" applyBorder="1" applyAlignment="1">
      <alignment vertical="top"/>
    </xf>
    <xf numFmtId="0" fontId="27" fillId="2" borderId="96" xfId="4" applyFont="1" applyFill="1" applyBorder="1" applyAlignment="1">
      <alignment vertical="top"/>
    </xf>
    <xf numFmtId="0" fontId="31" fillId="0" borderId="77" xfId="4" applyFont="1" applyFill="1" applyBorder="1" applyAlignment="1">
      <alignment vertical="center"/>
    </xf>
    <xf numFmtId="3" fontId="25" fillId="6" borderId="90" xfId="0" applyNumberFormat="1" applyFont="1" applyFill="1" applyBorder="1" applyAlignment="1">
      <alignment vertical="top"/>
    </xf>
    <xf numFmtId="3" fontId="27" fillId="2" borderId="90" xfId="0" applyNumberFormat="1" applyFont="1" applyFill="1" applyBorder="1" applyAlignment="1">
      <alignment vertical="top"/>
    </xf>
    <xf numFmtId="3" fontId="27" fillId="0" borderId="9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top"/>
    </xf>
    <xf numFmtId="3" fontId="21" fillId="0" borderId="47" xfId="0" applyNumberFormat="1" applyFont="1" applyFill="1" applyBorder="1" applyAlignment="1">
      <alignment horizontal="right" vertical="center"/>
    </xf>
    <xf numFmtId="0" fontId="39" fillId="0" borderId="0" xfId="0" applyFont="1" applyBorder="1"/>
    <xf numFmtId="3" fontId="13" fillId="0" borderId="0" xfId="0" applyNumberFormat="1" applyFont="1" applyFill="1" applyBorder="1" applyAlignment="1">
      <alignment horizontal="right" vertical="center"/>
    </xf>
    <xf numFmtId="3" fontId="25" fillId="6" borderId="92" xfId="0" applyNumberFormat="1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8" fillId="57" borderId="6" xfId="0" applyFont="1" applyFill="1" applyBorder="1" applyAlignment="1">
      <alignment vertical="top"/>
    </xf>
    <xf numFmtId="3" fontId="25" fillId="6" borderId="9" xfId="0" applyNumberFormat="1" applyFont="1" applyFill="1" applyBorder="1" applyAlignment="1">
      <alignment vertical="center"/>
    </xf>
    <xf numFmtId="3" fontId="27" fillId="55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center"/>
    </xf>
    <xf numFmtId="3" fontId="25" fillId="22" borderId="35" xfId="0" applyNumberFormat="1" applyFont="1" applyFill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0" fontId="21" fillId="33" borderId="0" xfId="0" applyFont="1" applyFill="1" applyBorder="1" applyAlignment="1">
      <alignment vertical="center"/>
    </xf>
    <xf numFmtId="3" fontId="31" fillId="28" borderId="13" xfId="0" applyNumberFormat="1" applyFont="1" applyFill="1" applyBorder="1" applyAlignment="1">
      <alignment vertical="center"/>
    </xf>
    <xf numFmtId="0" fontId="25" fillId="8" borderId="19" xfId="0" applyFont="1" applyFill="1" applyBorder="1" applyAlignment="1">
      <alignment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3" fontId="37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19" fillId="0" borderId="1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/>
    </xf>
    <xf numFmtId="0" fontId="0" fillId="0" borderId="66" xfId="0" applyFont="1" applyBorder="1" applyAlignment="1">
      <alignment horizontal="center" vertical="top" wrapText="1"/>
    </xf>
    <xf numFmtId="0" fontId="19" fillId="0" borderId="26" xfId="0" applyFont="1" applyBorder="1" applyAlignment="1">
      <alignment vertical="top"/>
    </xf>
    <xf numFmtId="0" fontId="0" fillId="0" borderId="67" xfId="0" applyFont="1" applyBorder="1" applyAlignment="1">
      <alignment horizontal="center" vertical="top" wrapText="1"/>
    </xf>
    <xf numFmtId="0" fontId="19" fillId="0" borderId="68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0" fillId="0" borderId="69" xfId="0" applyFont="1" applyBorder="1" applyAlignment="1">
      <alignment horizontal="center" vertical="top" wrapText="1"/>
    </xf>
    <xf numFmtId="3" fontId="31" fillId="8" borderId="18" xfId="0" applyNumberFormat="1" applyFont="1" applyFill="1" applyBorder="1" applyAlignment="1">
      <alignment vertical="top"/>
    </xf>
    <xf numFmtId="3" fontId="31" fillId="8" borderId="79" xfId="0" applyNumberFormat="1" applyFont="1" applyFill="1" applyBorder="1" applyAlignment="1">
      <alignment vertical="top"/>
    </xf>
    <xf numFmtId="3" fontId="7" fillId="8" borderId="18" xfId="0" applyNumberFormat="1" applyFont="1" applyFill="1" applyBorder="1" applyAlignment="1">
      <alignment vertical="top"/>
    </xf>
    <xf numFmtId="0" fontId="0" fillId="0" borderId="35" xfId="0" applyFont="1" applyBorder="1"/>
    <xf numFmtId="0" fontId="0" fillId="0" borderId="103" xfId="0" applyFont="1" applyBorder="1"/>
    <xf numFmtId="0" fontId="0" fillId="0" borderId="102" xfId="0" applyFont="1" applyBorder="1"/>
    <xf numFmtId="3" fontId="0" fillId="0" borderId="102" xfId="0" applyNumberFormat="1" applyFont="1" applyBorder="1"/>
    <xf numFmtId="0" fontId="39" fillId="0" borderId="102" xfId="0" applyFont="1" applyBorder="1"/>
    <xf numFmtId="3" fontId="25" fillId="22" borderId="102" xfId="4" applyNumberFormat="1" applyFont="1" applyFill="1" applyBorder="1" applyAlignment="1">
      <alignment horizontal="right" vertical="center"/>
    </xf>
    <xf numFmtId="3" fontId="33" fillId="0" borderId="102" xfId="6" applyNumberFormat="1" applyFont="1" applyFill="1" applyBorder="1" applyAlignment="1">
      <alignment vertical="center"/>
    </xf>
    <xf numFmtId="3" fontId="32" fillId="0" borderId="102" xfId="6" applyNumberFormat="1" applyFont="1" applyFill="1" applyBorder="1" applyAlignment="1">
      <alignment vertical="center"/>
    </xf>
    <xf numFmtId="3" fontId="25" fillId="6" borderId="102" xfId="4" applyNumberFormat="1" applyFont="1" applyFill="1" applyBorder="1" applyAlignment="1">
      <alignment horizontal="right" vertical="center"/>
    </xf>
    <xf numFmtId="0" fontId="0" fillId="0" borderId="102" xfId="0" applyFont="1" applyFill="1" applyBorder="1"/>
    <xf numFmtId="0" fontId="0" fillId="0" borderId="102" xfId="0" applyFont="1" applyBorder="1" applyAlignment="1">
      <alignment vertical="center"/>
    </xf>
    <xf numFmtId="0" fontId="27" fillId="55" borderId="28" xfId="4" applyFont="1" applyFill="1" applyBorder="1" applyAlignment="1">
      <alignment horizontal="left" vertical="center"/>
    </xf>
    <xf numFmtId="3" fontId="27" fillId="55" borderId="92" xfId="4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vertical="top"/>
    </xf>
    <xf numFmtId="3" fontId="31" fillId="0" borderId="102" xfId="0" applyNumberFormat="1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7" fillId="6" borderId="28" xfId="0" applyFont="1" applyFill="1" applyBorder="1" applyAlignment="1">
      <alignment vertical="center" wrapText="1"/>
    </xf>
    <xf numFmtId="3" fontId="24" fillId="6" borderId="35" xfId="0" applyNumberFormat="1" applyFont="1" applyFill="1" applyBorder="1" applyAlignment="1">
      <alignment vertical="center"/>
    </xf>
    <xf numFmtId="3" fontId="25" fillId="6" borderId="103" xfId="4" applyNumberFormat="1" applyFont="1" applyFill="1" applyBorder="1" applyAlignment="1">
      <alignment horizontal="right" vertical="center"/>
    </xf>
    <xf numFmtId="3" fontId="27" fillId="0" borderId="103" xfId="4" applyNumberFormat="1" applyFont="1" applyFill="1" applyBorder="1" applyAlignment="1">
      <alignment horizontal="right" vertical="center"/>
    </xf>
    <xf numFmtId="3" fontId="27" fillId="25" borderId="103" xfId="4" applyNumberFormat="1" applyFont="1" applyFill="1" applyBorder="1" applyAlignment="1">
      <alignment horizontal="right" vertical="center"/>
    </xf>
    <xf numFmtId="3" fontId="7" fillId="0" borderId="103" xfId="4" applyNumberFormat="1" applyFont="1" applyFill="1" applyBorder="1" applyAlignment="1">
      <alignment horizontal="right" vertical="center"/>
    </xf>
    <xf numFmtId="3" fontId="31" fillId="0" borderId="103" xfId="4" applyNumberFormat="1" applyFont="1" applyFill="1" applyBorder="1" applyAlignment="1">
      <alignment horizontal="right" vertical="center"/>
    </xf>
    <xf numFmtId="3" fontId="31" fillId="25" borderId="103" xfId="4" applyNumberFormat="1" applyFont="1" applyFill="1" applyBorder="1" applyAlignment="1">
      <alignment horizontal="right" vertical="center"/>
    </xf>
    <xf numFmtId="3" fontId="33" fillId="0" borderId="103" xfId="6" applyNumberFormat="1" applyFont="1" applyFill="1" applyBorder="1" applyAlignment="1">
      <alignment vertical="center"/>
    </xf>
    <xf numFmtId="3" fontId="7" fillId="0" borderId="101" xfId="4" applyNumberFormat="1" applyFont="1" applyFill="1" applyBorder="1" applyAlignment="1">
      <alignment horizontal="right" vertical="center"/>
    </xf>
    <xf numFmtId="3" fontId="7" fillId="0" borderId="107" xfId="4" applyNumberFormat="1" applyFont="1" applyFill="1" applyBorder="1" applyAlignment="1">
      <alignment horizontal="right" vertical="center"/>
    </xf>
    <xf numFmtId="3" fontId="29" fillId="25" borderId="103" xfId="4" applyNumberFormat="1" applyFont="1" applyFill="1" applyBorder="1" applyAlignment="1">
      <alignment horizontal="right" vertical="center"/>
    </xf>
    <xf numFmtId="3" fontId="31" fillId="0" borderId="107" xfId="4" applyNumberFormat="1" applyFont="1" applyFill="1" applyBorder="1" applyAlignment="1">
      <alignment horizontal="right" vertical="center"/>
    </xf>
    <xf numFmtId="0" fontId="25" fillId="6" borderId="112" xfId="4" applyFont="1" applyFill="1" applyBorder="1" applyAlignment="1">
      <alignment horizontal="left" vertical="center"/>
    </xf>
    <xf numFmtId="3" fontId="23" fillId="6" borderId="103" xfId="6" applyNumberFormat="1" applyFont="1" applyFill="1" applyBorder="1" applyAlignment="1">
      <alignment horizontal="right" vertical="center"/>
    </xf>
    <xf numFmtId="3" fontId="33" fillId="0" borderId="103" xfId="6" applyNumberFormat="1" applyFont="1" applyFill="1" applyBorder="1" applyAlignment="1">
      <alignment horizontal="right" vertical="center"/>
    </xf>
    <xf numFmtId="3" fontId="25" fillId="6" borderId="103" xfId="0" applyNumberFormat="1" applyFont="1" applyFill="1" applyBorder="1" applyAlignment="1">
      <alignment vertical="top"/>
    </xf>
    <xf numFmtId="3" fontId="27" fillId="2" borderId="103" xfId="0" applyNumberFormat="1" applyFont="1" applyFill="1" applyBorder="1" applyAlignment="1">
      <alignment vertical="top"/>
    </xf>
    <xf numFmtId="3" fontId="27" fillId="0" borderId="103" xfId="0" applyNumberFormat="1" applyFont="1" applyFill="1" applyBorder="1" applyAlignment="1">
      <alignment vertical="top"/>
    </xf>
    <xf numFmtId="3" fontId="24" fillId="6" borderId="103" xfId="4" applyNumberFormat="1" applyFont="1" applyFill="1" applyBorder="1" applyAlignment="1">
      <alignment vertical="center"/>
    </xf>
    <xf numFmtId="0" fontId="15" fillId="2" borderId="9" xfId="0" applyFont="1" applyFill="1" applyBorder="1" applyAlignment="1">
      <alignment horizontal="right" vertical="center"/>
    </xf>
    <xf numFmtId="0" fontId="15" fillId="2" borderId="103" xfId="0" applyFont="1" applyFill="1" applyBorder="1" applyAlignment="1">
      <alignment horizontal="right" vertical="center"/>
    </xf>
    <xf numFmtId="0" fontId="24" fillId="8" borderId="19" xfId="4" applyFont="1" applyFill="1" applyBorder="1" applyAlignment="1">
      <alignment vertical="center" wrapText="1"/>
    </xf>
    <xf numFmtId="43" fontId="7" fillId="0" borderId="74" xfId="1" applyFont="1" applyFill="1" applyBorder="1" applyAlignment="1">
      <alignment horizontal="right" vertical="center"/>
    </xf>
    <xf numFmtId="3" fontId="24" fillId="8" borderId="79" xfId="4" applyNumberFormat="1" applyFont="1" applyFill="1" applyBorder="1" applyAlignment="1">
      <alignment horizontal="right" vertical="center"/>
    </xf>
    <xf numFmtId="3" fontId="63" fillId="8" borderId="17" xfId="6" applyNumberFormat="1" applyFont="1" applyFill="1" applyBorder="1" applyAlignment="1">
      <alignment vertical="center"/>
    </xf>
    <xf numFmtId="3" fontId="7" fillId="8" borderId="2" xfId="4" applyNumberFormat="1" applyFont="1" applyFill="1" applyBorder="1" applyAlignment="1">
      <alignment horizontal="right" vertical="center"/>
    </xf>
    <xf numFmtId="3" fontId="33" fillId="0" borderId="71" xfId="6" applyNumberFormat="1" applyFont="1" applyFill="1" applyBorder="1" applyAlignment="1">
      <alignment vertical="center"/>
    </xf>
    <xf numFmtId="0" fontId="17" fillId="8" borderId="6" xfId="4" applyFont="1" applyFill="1" applyBorder="1" applyAlignment="1">
      <alignment vertical="top"/>
    </xf>
    <xf numFmtId="0" fontId="27" fillId="55" borderId="93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vertical="center"/>
    </xf>
    <xf numFmtId="0" fontId="63" fillId="57" borderId="21" xfId="0" applyFont="1" applyFill="1" applyBorder="1"/>
    <xf numFmtId="0" fontId="39" fillId="59" borderId="0" xfId="0" applyFont="1" applyFill="1" applyBorder="1"/>
    <xf numFmtId="0" fontId="6" fillId="0" borderId="28" xfId="0" applyFont="1" applyFill="1" applyBorder="1" applyAlignment="1">
      <alignment vertical="center" wrapText="1"/>
    </xf>
    <xf numFmtId="0" fontId="31" fillId="6" borderId="28" xfId="0" applyFont="1" applyFill="1" applyBorder="1" applyAlignment="1">
      <alignment vertical="center"/>
    </xf>
    <xf numFmtId="3" fontId="25" fillId="22" borderId="92" xfId="0" applyNumberFormat="1" applyFont="1" applyFill="1" applyBorder="1" applyAlignment="1">
      <alignment vertical="center"/>
    </xf>
    <xf numFmtId="3" fontId="27" fillId="2" borderId="9" xfId="0" applyNumberFormat="1" applyFont="1" applyFill="1" applyBorder="1" applyAlignment="1">
      <alignment vertical="top"/>
    </xf>
    <xf numFmtId="3" fontId="7" fillId="23" borderId="102" xfId="0" applyNumberFormat="1" applyFont="1" applyFill="1" applyBorder="1" applyAlignment="1">
      <alignment horizontal="center" vertical="center"/>
    </xf>
    <xf numFmtId="3" fontId="31" fillId="0" borderId="35" xfId="0" applyNumberFormat="1" applyFont="1" applyFill="1" applyBorder="1" applyAlignment="1">
      <alignment vertical="top"/>
    </xf>
    <xf numFmtId="0" fontId="7" fillId="0" borderId="32" xfId="4" applyFont="1" applyFill="1" applyBorder="1" applyAlignment="1">
      <alignment vertical="center"/>
    </xf>
    <xf numFmtId="3" fontId="23" fillId="6" borderId="116" xfId="6" applyNumberFormat="1" applyFont="1" applyFill="1" applyBorder="1" applyAlignment="1">
      <alignment horizontal="right" vertical="center"/>
    </xf>
    <xf numFmtId="43" fontId="23" fillId="6" borderId="116" xfId="1" applyFont="1" applyFill="1" applyBorder="1" applyAlignment="1">
      <alignment horizontal="right" vertical="center"/>
    </xf>
    <xf numFmtId="3" fontId="27" fillId="55" borderId="6" xfId="4" applyNumberFormat="1" applyFont="1" applyFill="1" applyBorder="1" applyAlignment="1">
      <alignment horizontal="left" vertical="center"/>
    </xf>
    <xf numFmtId="3" fontId="29" fillId="8" borderId="30" xfId="4" applyNumberFormat="1" applyFont="1" applyFill="1" applyBorder="1" applyAlignment="1">
      <alignment horizontal="right" vertical="center"/>
    </xf>
    <xf numFmtId="3" fontId="7" fillId="8" borderId="29" xfId="4" applyNumberFormat="1" applyFont="1" applyFill="1" applyBorder="1" applyAlignment="1">
      <alignment horizontal="right" vertical="center"/>
    </xf>
    <xf numFmtId="0" fontId="7" fillId="8" borderId="73" xfId="4" applyFont="1" applyFill="1" applyBorder="1" applyAlignment="1">
      <alignment vertical="center"/>
    </xf>
    <xf numFmtId="0" fontId="24" fillId="8" borderId="36" xfId="4" applyFont="1" applyFill="1" applyBorder="1" applyAlignment="1">
      <alignment vertical="center" wrapText="1"/>
    </xf>
    <xf numFmtId="0" fontId="7" fillId="0" borderId="77" xfId="4" applyFont="1" applyFill="1" applyBorder="1" applyAlignment="1">
      <alignment horizontal="left" vertical="center"/>
    </xf>
    <xf numFmtId="0" fontId="7" fillId="0" borderId="32" xfId="4" applyFont="1" applyFill="1" applyBorder="1" applyAlignment="1">
      <alignment horizontal="left" vertical="center"/>
    </xf>
    <xf numFmtId="0" fontId="7" fillId="0" borderId="21" xfId="4" applyFont="1" applyFill="1" applyBorder="1" applyAlignment="1">
      <alignment horizontal="left" vertical="center"/>
    </xf>
    <xf numFmtId="0" fontId="31" fillId="0" borderId="77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horizontal="left" vertical="center"/>
    </xf>
    <xf numFmtId="0" fontId="23" fillId="0" borderId="73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3" fontId="25" fillId="22" borderId="115" xfId="4" applyNumberFormat="1" applyFont="1" applyFill="1" applyBorder="1" applyAlignment="1">
      <alignment horizontal="right" vertical="center"/>
    </xf>
    <xf numFmtId="3" fontId="27" fillId="25" borderId="116" xfId="4" applyNumberFormat="1" applyFont="1" applyFill="1" applyBorder="1" applyAlignment="1">
      <alignment horizontal="right" vertical="center"/>
    </xf>
    <xf numFmtId="3" fontId="27" fillId="2" borderId="112" xfId="4" applyNumberFormat="1" applyFont="1" applyFill="1" applyBorder="1" applyAlignment="1">
      <alignment vertical="center" wrapText="1"/>
    </xf>
    <xf numFmtId="3" fontId="33" fillId="0" borderId="116" xfId="6" applyNumberFormat="1" applyFont="1" applyFill="1" applyBorder="1" applyAlignment="1">
      <alignment horizontal="right" vertical="center"/>
    </xf>
    <xf numFmtId="43" fontId="33" fillId="0" borderId="116" xfId="1" applyFont="1" applyFill="1" applyBorder="1" applyAlignment="1">
      <alignment horizontal="right" vertical="center"/>
    </xf>
    <xf numFmtId="0" fontId="0" fillId="0" borderId="11" xfId="0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17" fillId="8" borderId="6" xfId="4" applyFont="1" applyFill="1" applyBorder="1" applyAlignment="1">
      <alignment vertical="center"/>
    </xf>
    <xf numFmtId="0" fontId="17" fillId="8" borderId="22" xfId="4" applyFont="1" applyFill="1" applyBorder="1" applyAlignment="1">
      <alignment vertical="top"/>
    </xf>
    <xf numFmtId="0" fontId="17" fillId="0" borderId="52" xfId="4" applyFont="1" applyFill="1" applyBorder="1" applyAlignment="1">
      <alignment horizontal="center" vertical="center"/>
    </xf>
    <xf numFmtId="3" fontId="27" fillId="2" borderId="38" xfId="4" applyNumberFormat="1" applyFont="1" applyFill="1" applyBorder="1" applyAlignment="1">
      <alignment horizontal="center" vertical="center" wrapText="1"/>
    </xf>
    <xf numFmtId="3" fontId="27" fillId="26" borderId="78" xfId="4" applyNumberFormat="1" applyFont="1" applyFill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3" fontId="31" fillId="0" borderId="107" xfId="4" applyNumberFormat="1" applyFont="1" applyFill="1" applyBorder="1" applyAlignment="1">
      <alignment vertical="center"/>
    </xf>
    <xf numFmtId="0" fontId="27" fillId="2" borderId="32" xfId="4" applyFont="1" applyFill="1" applyBorder="1" applyAlignment="1">
      <alignment vertical="center"/>
    </xf>
    <xf numFmtId="0" fontId="0" fillId="0" borderId="121" xfId="0" applyFont="1" applyBorder="1" applyAlignment="1">
      <alignment vertical="center"/>
    </xf>
    <xf numFmtId="0" fontId="39" fillId="0" borderId="121" xfId="0" applyFont="1" applyBorder="1"/>
    <xf numFmtId="0" fontId="64" fillId="8" borderId="20" xfId="4" applyFont="1" applyFill="1" applyBorder="1" applyAlignment="1">
      <alignment vertical="center" wrapText="1"/>
    </xf>
    <xf numFmtId="3" fontId="64" fillId="8" borderId="29" xfId="0" applyNumberFormat="1" applyFont="1" applyFill="1" applyBorder="1" applyAlignment="1">
      <alignment vertical="center" wrapText="1"/>
    </xf>
    <xf numFmtId="43" fontId="64" fillId="8" borderId="29" xfId="1" applyFont="1" applyFill="1" applyBorder="1" applyAlignment="1">
      <alignment vertical="center" wrapText="1"/>
    </xf>
    <xf numFmtId="3" fontId="8" fillId="0" borderId="0" xfId="0" applyNumberFormat="1" applyFont="1" applyFill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 wrapText="1"/>
    </xf>
    <xf numFmtId="43" fontId="8" fillId="0" borderId="35" xfId="1" applyFont="1" applyFill="1" applyBorder="1" applyAlignment="1">
      <alignment vertical="center" wrapText="1"/>
    </xf>
    <xf numFmtId="3" fontId="8" fillId="0" borderId="35" xfId="0" applyNumberFormat="1" applyFont="1" applyFill="1" applyBorder="1" applyAlignment="1">
      <alignment vertical="center" wrapText="1"/>
    </xf>
    <xf numFmtId="3" fontId="24" fillId="22" borderId="102" xfId="4" applyNumberFormat="1" applyFont="1" applyFill="1" applyBorder="1" applyAlignment="1">
      <alignment horizontal="right" vertical="center"/>
    </xf>
    <xf numFmtId="3" fontId="7" fillId="25" borderId="0" xfId="4" applyNumberFormat="1" applyFont="1" applyFill="1" applyBorder="1" applyAlignment="1">
      <alignment horizontal="right" vertical="center"/>
    </xf>
    <xf numFmtId="3" fontId="32" fillId="0" borderId="103" xfId="6" applyNumberFormat="1" applyFont="1" applyFill="1" applyBorder="1" applyAlignment="1">
      <alignment vertical="center"/>
    </xf>
    <xf numFmtId="43" fontId="33" fillId="0" borderId="103" xfId="1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center" vertical="center"/>
    </xf>
    <xf numFmtId="43" fontId="7" fillId="0" borderId="103" xfId="1" applyFont="1" applyFill="1" applyBorder="1" applyAlignment="1">
      <alignment horizontal="right" vertical="center"/>
    </xf>
    <xf numFmtId="43" fontId="31" fillId="25" borderId="103" xfId="1" applyFont="1" applyFill="1" applyBorder="1" applyAlignment="1">
      <alignment horizontal="right" vertical="center"/>
    </xf>
    <xf numFmtId="43" fontId="31" fillId="0" borderId="103" xfId="1" applyFont="1" applyFill="1" applyBorder="1" applyAlignment="1">
      <alignment horizontal="right" vertical="center"/>
    </xf>
    <xf numFmtId="0" fontId="31" fillId="0" borderId="106" xfId="4" applyFont="1" applyFill="1" applyBorder="1" applyAlignment="1">
      <alignment vertical="center"/>
    </xf>
    <xf numFmtId="43" fontId="24" fillId="6" borderId="103" xfId="1" applyFont="1" applyFill="1" applyBorder="1" applyAlignment="1">
      <alignment vertical="center"/>
    </xf>
    <xf numFmtId="3" fontId="29" fillId="2" borderId="103" xfId="4" applyNumberFormat="1" applyFont="1" applyFill="1" applyBorder="1" applyAlignment="1">
      <alignment vertical="center"/>
    </xf>
    <xf numFmtId="3" fontId="27" fillId="2" borderId="103" xfId="4" applyNumberFormat="1" applyFont="1" applyFill="1" applyBorder="1" applyAlignment="1">
      <alignment vertical="center"/>
    </xf>
    <xf numFmtId="43" fontId="29" fillId="2" borderId="103" xfId="1" applyFont="1" applyFill="1" applyBorder="1" applyAlignment="1">
      <alignment vertical="center"/>
    </xf>
    <xf numFmtId="3" fontId="31" fillId="2" borderId="74" xfId="4" applyNumberFormat="1" applyFont="1" applyFill="1" applyBorder="1" applyAlignment="1">
      <alignment vertical="center"/>
    </xf>
    <xf numFmtId="43" fontId="24" fillId="8" borderId="2" xfId="1" applyFont="1" applyFill="1" applyBorder="1" applyAlignment="1">
      <alignment horizontal="right" vertical="center"/>
    </xf>
    <xf numFmtId="43" fontId="31" fillId="0" borderId="27" xfId="1" applyFont="1" applyFill="1" applyBorder="1" applyAlignment="1">
      <alignment horizontal="right" vertical="center"/>
    </xf>
    <xf numFmtId="0" fontId="24" fillId="8" borderId="35" xfId="4" applyFont="1" applyFill="1" applyBorder="1" applyAlignment="1">
      <alignment vertical="center" wrapText="1"/>
    </xf>
    <xf numFmtId="0" fontId="24" fillId="8" borderId="35" xfId="4" applyFont="1" applyFill="1" applyBorder="1" applyAlignment="1">
      <alignment horizontal="center" vertical="center" wrapText="1"/>
    </xf>
    <xf numFmtId="3" fontId="24" fillId="22" borderId="35" xfId="4" applyNumberFormat="1" applyFont="1" applyFill="1" applyBorder="1" applyAlignment="1">
      <alignment horizontal="right" vertical="center"/>
    </xf>
    <xf numFmtId="3" fontId="7" fillId="0" borderId="127" xfId="4" applyNumberFormat="1" applyFont="1" applyFill="1" applyBorder="1" applyAlignment="1">
      <alignment horizontal="right" vertical="center"/>
    </xf>
    <xf numFmtId="3" fontId="31" fillId="0" borderId="127" xfId="4" applyNumberFormat="1" applyFont="1" applyFill="1" applyBorder="1" applyAlignment="1">
      <alignment horizontal="right" vertical="center"/>
    </xf>
    <xf numFmtId="0" fontId="18" fillId="0" borderId="42" xfId="0" applyFont="1" applyFill="1" applyBorder="1" applyAlignment="1">
      <alignment vertical="center" wrapText="1"/>
    </xf>
    <xf numFmtId="0" fontId="27" fillId="55" borderId="17" xfId="4" applyFont="1" applyFill="1" applyBorder="1" applyAlignment="1">
      <alignment horizontal="left" vertical="center"/>
    </xf>
    <xf numFmtId="3" fontId="32" fillId="8" borderId="37" xfId="6" applyNumberFormat="1" applyFont="1" applyFill="1" applyBorder="1" applyAlignment="1">
      <alignment vertical="center"/>
    </xf>
    <xf numFmtId="0" fontId="24" fillId="6" borderId="131" xfId="4" applyFont="1" applyFill="1" applyBorder="1" applyAlignment="1">
      <alignment horizontal="left" vertical="center"/>
    </xf>
    <xf numFmtId="3" fontId="25" fillId="8" borderId="70" xfId="0" applyNumberFormat="1" applyFont="1" applyFill="1" applyBorder="1" applyAlignment="1">
      <alignment vertical="top"/>
    </xf>
    <xf numFmtId="3" fontId="31" fillId="0" borderId="133" xfId="0" applyNumberFormat="1" applyFont="1" applyFill="1" applyBorder="1" applyAlignment="1">
      <alignment vertical="top"/>
    </xf>
    <xf numFmtId="0" fontId="24" fillId="6" borderId="138" xfId="4" applyFont="1" applyFill="1" applyBorder="1" applyAlignment="1">
      <alignment horizontal="left" vertical="center"/>
    </xf>
    <xf numFmtId="3" fontId="31" fillId="0" borderId="133" xfId="0" applyNumberFormat="1" applyFont="1" applyFill="1" applyBorder="1" applyAlignment="1">
      <alignment vertical="center"/>
    </xf>
    <xf numFmtId="3" fontId="31" fillId="2" borderId="133" xfId="0" applyNumberFormat="1" applyFont="1" applyFill="1" applyBorder="1" applyAlignment="1">
      <alignment vertical="center"/>
    </xf>
    <xf numFmtId="3" fontId="27" fillId="0" borderId="133" xfId="0" applyNumberFormat="1" applyFont="1" applyFill="1" applyBorder="1" applyAlignment="1">
      <alignment vertical="top"/>
    </xf>
    <xf numFmtId="3" fontId="25" fillId="6" borderId="133" xfId="0" applyNumberFormat="1" applyFont="1" applyFill="1" applyBorder="1" applyAlignment="1">
      <alignment vertical="center"/>
    </xf>
    <xf numFmtId="3" fontId="25" fillId="6" borderId="135" xfId="0" applyNumberFormat="1" applyFont="1" applyFill="1" applyBorder="1" applyAlignment="1">
      <alignment vertical="center"/>
    </xf>
    <xf numFmtId="3" fontId="7" fillId="0" borderId="135" xfId="4" applyNumberFormat="1" applyFont="1" applyFill="1" applyBorder="1" applyAlignment="1">
      <alignment horizontal="right" vertical="center"/>
    </xf>
    <xf numFmtId="0" fontId="0" fillId="0" borderId="135" xfId="0" applyFont="1" applyBorder="1"/>
    <xf numFmtId="3" fontId="0" fillId="0" borderId="135" xfId="0" applyNumberFormat="1" applyFont="1" applyBorder="1"/>
    <xf numFmtId="0" fontId="39" fillId="0" borderId="135" xfId="0" applyFont="1" applyBorder="1"/>
    <xf numFmtId="3" fontId="0" fillId="56" borderId="135" xfId="0" applyNumberFormat="1" applyFont="1" applyFill="1" applyBorder="1"/>
    <xf numFmtId="0" fontId="0" fillId="0" borderId="135" xfId="0" applyFont="1" applyBorder="1" applyAlignment="1">
      <alignment vertical="center"/>
    </xf>
    <xf numFmtId="0" fontId="17" fillId="8" borderId="137" xfId="4" applyFont="1" applyFill="1" applyBorder="1" applyAlignment="1">
      <alignment vertical="top"/>
    </xf>
    <xf numFmtId="0" fontId="25" fillId="6" borderId="133" xfId="4" applyFont="1" applyFill="1" applyBorder="1" applyAlignment="1">
      <alignment horizontal="left" vertical="center"/>
    </xf>
    <xf numFmtId="0" fontId="18" fillId="8" borderId="136" xfId="4" applyFont="1" applyFill="1" applyBorder="1" applyAlignment="1">
      <alignment horizontal="center" vertical="center"/>
    </xf>
    <xf numFmtId="0" fontId="7" fillId="8" borderId="127" xfId="4" applyFont="1" applyFill="1" applyBorder="1" applyAlignment="1">
      <alignment vertical="center"/>
    </xf>
    <xf numFmtId="3" fontId="32" fillId="8" borderId="127" xfId="6" applyNumberFormat="1" applyFont="1" applyFill="1" applyBorder="1" applyAlignment="1">
      <alignment vertical="center"/>
    </xf>
    <xf numFmtId="3" fontId="18" fillId="8" borderId="129" xfId="4" applyNumberFormat="1" applyFont="1" applyFill="1" applyBorder="1" applyAlignment="1">
      <alignment horizontal="center" vertical="top"/>
    </xf>
    <xf numFmtId="3" fontId="25" fillId="22" borderId="133" xfId="4" applyNumberFormat="1" applyFont="1" applyFill="1" applyBorder="1" applyAlignment="1">
      <alignment horizontal="right" vertical="center"/>
    </xf>
    <xf numFmtId="3" fontId="29" fillId="0" borderId="133" xfId="4" applyNumberFormat="1" applyFont="1" applyFill="1" applyBorder="1" applyAlignment="1">
      <alignment horizontal="right" vertical="center"/>
    </xf>
    <xf numFmtId="3" fontId="7" fillId="0" borderId="133" xfId="4" applyNumberFormat="1" applyFont="1" applyFill="1" applyBorder="1" applyAlignment="1">
      <alignment horizontal="right" vertical="center"/>
    </xf>
    <xf numFmtId="0" fontId="32" fillId="0" borderId="133" xfId="0" applyFont="1" applyBorder="1"/>
    <xf numFmtId="3" fontId="31" fillId="23" borderId="133" xfId="0" applyNumberFormat="1" applyFont="1" applyFill="1" applyBorder="1" applyAlignment="1">
      <alignment vertical="center"/>
    </xf>
    <xf numFmtId="3" fontId="24" fillId="6" borderId="133" xfId="4" applyNumberFormat="1" applyFont="1" applyFill="1" applyBorder="1" applyAlignment="1">
      <alignment vertical="center"/>
    </xf>
    <xf numFmtId="0" fontId="25" fillId="0" borderId="0" xfId="0" applyFont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0" fontId="59" fillId="0" borderId="0" xfId="0" applyFont="1" applyFill="1" applyBorder="1" applyAlignment="1">
      <alignment vertical="top"/>
    </xf>
    <xf numFmtId="0" fontId="59" fillId="30" borderId="0" xfId="0" applyFont="1" applyFill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3" fontId="29" fillId="0" borderId="135" xfId="4" applyNumberFormat="1" applyFont="1" applyFill="1" applyBorder="1" applyAlignment="1">
      <alignment horizontal="right" vertical="center"/>
    </xf>
    <xf numFmtId="3" fontId="29" fillId="25" borderId="133" xfId="4" applyNumberFormat="1" applyFont="1" applyFill="1" applyBorder="1" applyAlignment="1">
      <alignment horizontal="right" vertical="center"/>
    </xf>
    <xf numFmtId="3" fontId="7" fillId="0" borderId="144" xfId="4" applyNumberFormat="1" applyFont="1" applyFill="1" applyBorder="1" applyAlignment="1">
      <alignment horizontal="right" vertical="center"/>
    </xf>
    <xf numFmtId="3" fontId="25" fillId="22" borderId="133" xfId="0" applyNumberFormat="1" applyFont="1" applyFill="1" applyBorder="1" applyAlignment="1">
      <alignment vertical="center"/>
    </xf>
    <xf numFmtId="0" fontId="25" fillId="6" borderId="124" xfId="4" applyFont="1" applyFill="1" applyBorder="1" applyAlignment="1">
      <alignment horizontal="left" vertical="center"/>
    </xf>
    <xf numFmtId="0" fontId="21" fillId="0" borderId="67" xfId="0" applyFont="1" applyBorder="1" applyAlignment="1">
      <alignment vertical="top"/>
    </xf>
    <xf numFmtId="0" fontId="0" fillId="0" borderId="68" xfId="0" applyFont="1" applyBorder="1" applyAlignment="1">
      <alignment horizontal="center" vertical="center"/>
    </xf>
    <xf numFmtId="0" fontId="31" fillId="0" borderId="24" xfId="4" applyFont="1" applyFill="1" applyBorder="1" applyAlignment="1">
      <alignment vertical="center"/>
    </xf>
    <xf numFmtId="0" fontId="23" fillId="0" borderId="24" xfId="0" applyFont="1" applyBorder="1" applyAlignment="1">
      <alignment horizontal="center" vertical="center" wrapText="1"/>
    </xf>
    <xf numFmtId="3" fontId="31" fillId="0" borderId="24" xfId="0" applyNumberFormat="1" applyFont="1" applyFill="1" applyBorder="1" applyAlignment="1">
      <alignment vertical="top"/>
    </xf>
    <xf numFmtId="3" fontId="31" fillId="0" borderId="24" xfId="0" applyNumberFormat="1" applyFont="1" applyFill="1" applyBorder="1" applyAlignment="1">
      <alignment horizontal="right" vertical="center"/>
    </xf>
    <xf numFmtId="3" fontId="25" fillId="22" borderId="24" xfId="0" applyNumberFormat="1" applyFont="1" applyFill="1" applyBorder="1" applyAlignment="1">
      <alignment horizontal="center" vertical="center"/>
    </xf>
    <xf numFmtId="0" fontId="23" fillId="0" borderId="69" xfId="0" applyFont="1" applyBorder="1" applyAlignment="1">
      <alignment horizontal="center" wrapText="1"/>
    </xf>
    <xf numFmtId="0" fontId="59" fillId="2" borderId="0" xfId="0" applyFont="1" applyFill="1" applyBorder="1" applyAlignment="1">
      <alignment vertical="top"/>
    </xf>
    <xf numFmtId="0" fontId="59" fillId="2" borderId="0" xfId="0" applyFont="1" applyFill="1" applyBorder="1" applyAlignment="1"/>
    <xf numFmtId="0" fontId="40" fillId="2" borderId="0" xfId="0" applyFont="1" applyFill="1" applyBorder="1" applyAlignment="1"/>
    <xf numFmtId="3" fontId="59" fillId="2" borderId="0" xfId="0" applyNumberFormat="1" applyFont="1" applyFill="1" applyBorder="1" applyAlignment="1">
      <alignment vertical="top"/>
    </xf>
    <xf numFmtId="0" fontId="20" fillId="2" borderId="1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center" vertical="top"/>
    </xf>
    <xf numFmtId="0" fontId="21" fillId="8" borderId="43" xfId="0" quotePrefix="1" applyFont="1" applyFill="1" applyBorder="1" applyAlignment="1">
      <alignment horizontal="center" vertical="top"/>
    </xf>
    <xf numFmtId="3" fontId="31" fillId="23" borderId="133" xfId="0" applyNumberFormat="1" applyFont="1" applyFill="1" applyBorder="1" applyAlignment="1">
      <alignment vertical="top"/>
    </xf>
    <xf numFmtId="3" fontId="31" fillId="23" borderId="133" xfId="0" applyNumberFormat="1" applyFont="1" applyFill="1" applyBorder="1" applyAlignment="1">
      <alignment horizontal="center" vertical="top"/>
    </xf>
    <xf numFmtId="3" fontId="25" fillId="6" borderId="133" xfId="0" applyNumberFormat="1" applyFont="1" applyFill="1" applyBorder="1" applyAlignment="1">
      <alignment vertical="top"/>
    </xf>
    <xf numFmtId="3" fontId="31" fillId="8" borderId="35" xfId="0" applyNumberFormat="1" applyFont="1" applyFill="1" applyBorder="1" applyAlignment="1">
      <alignment vertical="top"/>
    </xf>
    <xf numFmtId="3" fontId="31" fillId="23" borderId="10" xfId="0" applyNumberFormat="1" applyFont="1" applyFill="1" applyBorder="1" applyAlignment="1">
      <alignment vertical="top"/>
    </xf>
    <xf numFmtId="3" fontId="25" fillId="22" borderId="133" xfId="0" applyNumberFormat="1" applyFont="1" applyFill="1" applyBorder="1" applyAlignment="1">
      <alignment vertical="top"/>
    </xf>
    <xf numFmtId="3" fontId="27" fillId="2" borderId="133" xfId="4" applyNumberFormat="1" applyFont="1" applyFill="1" applyBorder="1" applyAlignment="1">
      <alignment vertical="top" wrapText="1"/>
    </xf>
    <xf numFmtId="3" fontId="25" fillId="25" borderId="133" xfId="0" applyNumberFormat="1" applyFont="1" applyFill="1" applyBorder="1" applyAlignment="1">
      <alignment vertical="top"/>
    </xf>
    <xf numFmtId="3" fontId="31" fillId="0" borderId="127" xfId="0" applyNumberFormat="1" applyFont="1" applyFill="1" applyBorder="1" applyAlignment="1">
      <alignment vertical="top"/>
    </xf>
    <xf numFmtId="0" fontId="27" fillId="2" borderId="35" xfId="4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top"/>
    </xf>
    <xf numFmtId="0" fontId="31" fillId="0" borderId="127" xfId="4" applyFont="1" applyFill="1" applyBorder="1" applyAlignment="1">
      <alignment vertical="center"/>
    </xf>
    <xf numFmtId="0" fontId="20" fillId="0" borderId="0" xfId="0" applyFont="1" applyFill="1" applyBorder="1" applyAlignment="1">
      <alignment vertical="top"/>
    </xf>
    <xf numFmtId="0" fontId="25" fillId="8" borderId="70" xfId="0" applyFont="1" applyFill="1" applyBorder="1" applyAlignment="1">
      <alignment vertical="center" wrapText="1"/>
    </xf>
    <xf numFmtId="0" fontId="25" fillId="8" borderId="70" xfId="0" applyFont="1" applyFill="1" applyBorder="1" applyAlignment="1">
      <alignment horizontal="center" vertical="center" wrapText="1"/>
    </xf>
    <xf numFmtId="0" fontId="31" fillId="6" borderId="133" xfId="0" applyFont="1" applyFill="1" applyBorder="1" applyAlignment="1">
      <alignment vertical="top"/>
    </xf>
    <xf numFmtId="3" fontId="31" fillId="2" borderId="133" xfId="0" applyNumberFormat="1" applyFont="1" applyFill="1" applyBorder="1" applyAlignment="1">
      <alignment vertical="top"/>
    </xf>
    <xf numFmtId="3" fontId="27" fillId="25" borderId="35" xfId="0" applyNumberFormat="1" applyFont="1" applyFill="1" applyBorder="1" applyAlignment="1">
      <alignment horizontal="center" vertical="top"/>
    </xf>
    <xf numFmtId="0" fontId="32" fillId="0" borderId="133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3" fontId="27" fillId="0" borderId="133" xfId="4" applyNumberFormat="1" applyFont="1" applyFill="1" applyBorder="1" applyAlignment="1">
      <alignment vertical="center" wrapText="1"/>
    </xf>
    <xf numFmtId="3" fontId="20" fillId="0" borderId="0" xfId="0" applyNumberFormat="1" applyFont="1" applyFill="1" applyBorder="1" applyAlignment="1">
      <alignment vertical="center"/>
    </xf>
    <xf numFmtId="3" fontId="31" fillId="0" borderId="127" xfId="0" applyNumberFormat="1" applyFont="1" applyFill="1" applyBorder="1" applyAlignment="1">
      <alignment vertical="center"/>
    </xf>
    <xf numFmtId="0" fontId="31" fillId="8" borderId="70" xfId="0" applyFont="1" applyFill="1" applyBorder="1" applyAlignment="1">
      <alignment vertical="top"/>
    </xf>
    <xf numFmtId="3" fontId="31" fillId="8" borderId="70" xfId="0" applyNumberFormat="1" applyFont="1" applyFill="1" applyBorder="1" applyAlignment="1">
      <alignment vertical="top"/>
    </xf>
    <xf numFmtId="3" fontId="31" fillId="8" borderId="2" xfId="0" applyNumberFormat="1" applyFont="1" applyFill="1" applyBorder="1" applyAlignment="1">
      <alignment vertical="top"/>
    </xf>
    <xf numFmtId="3" fontId="25" fillId="22" borderId="2" xfId="0" applyNumberFormat="1" applyFont="1" applyFill="1" applyBorder="1" applyAlignment="1">
      <alignment vertical="top"/>
    </xf>
    <xf numFmtId="0" fontId="32" fillId="0" borderId="13" xfId="0" applyFont="1" applyBorder="1" applyAlignment="1">
      <alignment vertical="center"/>
    </xf>
    <xf numFmtId="3" fontId="31" fillId="23" borderId="35" xfId="0" applyNumberFormat="1" applyFont="1" applyFill="1" applyBorder="1" applyAlignment="1">
      <alignment horizontal="center" vertical="top"/>
    </xf>
    <xf numFmtId="3" fontId="27" fillId="2" borderId="133" xfId="4" applyNumberFormat="1" applyFont="1" applyFill="1" applyBorder="1" applyAlignment="1">
      <alignment vertical="center" wrapText="1"/>
    </xf>
    <xf numFmtId="3" fontId="31" fillId="25" borderId="133" xfId="0" applyNumberFormat="1" applyFont="1" applyFill="1" applyBorder="1" applyAlignment="1">
      <alignment horizontal="center" vertical="top"/>
    </xf>
    <xf numFmtId="3" fontId="25" fillId="0" borderId="133" xfId="0" applyNumberFormat="1" applyFont="1" applyFill="1" applyBorder="1" applyAlignment="1">
      <alignment vertical="top"/>
    </xf>
    <xf numFmtId="3" fontId="20" fillId="0" borderId="0" xfId="0" applyNumberFormat="1" applyFont="1" applyFill="1" applyBorder="1" applyAlignment="1">
      <alignment vertical="top"/>
    </xf>
    <xf numFmtId="0" fontId="32" fillId="0" borderId="127" xfId="0" applyFont="1" applyBorder="1" applyAlignment="1">
      <alignment vertical="center"/>
    </xf>
    <xf numFmtId="3" fontId="31" fillId="23" borderId="2" xfId="0" applyNumberFormat="1" applyFont="1" applyFill="1" applyBorder="1" applyAlignment="1">
      <alignment vertical="top"/>
    </xf>
    <xf numFmtId="3" fontId="27" fillId="25" borderId="133" xfId="0" applyNumberFormat="1" applyFont="1" applyFill="1" applyBorder="1" applyAlignment="1">
      <alignment vertical="top"/>
    </xf>
    <xf numFmtId="0" fontId="31" fillId="0" borderId="133" xfId="0" applyFont="1" applyFill="1" applyBorder="1" applyAlignment="1">
      <alignment vertical="top" wrapText="1"/>
    </xf>
    <xf numFmtId="3" fontId="25" fillId="0" borderId="35" xfId="0" applyNumberFormat="1" applyFont="1" applyFill="1" applyBorder="1" applyAlignment="1">
      <alignment vertical="top"/>
    </xf>
    <xf numFmtId="0" fontId="31" fillId="2" borderId="133" xfId="4" applyFont="1" applyFill="1" applyBorder="1" applyAlignment="1">
      <alignment vertical="center"/>
    </xf>
    <xf numFmtId="0" fontId="23" fillId="6" borderId="133" xfId="0" applyFont="1" applyFill="1" applyBorder="1" applyAlignment="1">
      <alignment horizontal="center" vertical="center"/>
    </xf>
    <xf numFmtId="0" fontId="27" fillId="2" borderId="35" xfId="4" applyFont="1" applyFill="1" applyBorder="1" applyAlignment="1">
      <alignment vertical="center"/>
    </xf>
    <xf numFmtId="0" fontId="31" fillId="2" borderId="127" xfId="4" applyFont="1" applyFill="1" applyBorder="1" applyAlignment="1">
      <alignment vertical="center"/>
    </xf>
    <xf numFmtId="0" fontId="31" fillId="0" borderId="133" xfId="0" applyFont="1" applyFill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 wrapText="1"/>
    </xf>
    <xf numFmtId="0" fontId="27" fillId="0" borderId="133" xfId="0" applyFont="1" applyFill="1" applyBorder="1" applyAlignment="1">
      <alignment vertical="top" wrapText="1"/>
    </xf>
    <xf numFmtId="3" fontId="25" fillId="2" borderId="133" xfId="0" applyNumberFormat="1" applyFont="1" applyFill="1" applyBorder="1" applyAlignment="1">
      <alignment vertical="top"/>
    </xf>
    <xf numFmtId="0" fontId="21" fillId="30" borderId="0" xfId="0" applyFont="1" applyFill="1" applyBorder="1" applyAlignment="1">
      <alignment vertical="top"/>
    </xf>
    <xf numFmtId="0" fontId="20" fillId="0" borderId="1" xfId="0" applyFont="1" applyBorder="1" applyAlignment="1">
      <alignment vertical="top"/>
    </xf>
    <xf numFmtId="0" fontId="21" fillId="0" borderId="3" xfId="0" applyFont="1" applyBorder="1" applyAlignment="1">
      <alignment vertical="top"/>
    </xf>
    <xf numFmtId="0" fontId="21" fillId="0" borderId="66" xfId="0" applyFont="1" applyBorder="1" applyAlignment="1">
      <alignment vertical="top"/>
    </xf>
    <xf numFmtId="0" fontId="21" fillId="0" borderId="66" xfId="0" applyFont="1" applyBorder="1" applyAlignment="1">
      <alignment horizontal="center" vertical="top" wrapText="1"/>
    </xf>
    <xf numFmtId="0" fontId="20" fillId="0" borderId="26" xfId="0" applyFont="1" applyBorder="1" applyAlignment="1">
      <alignment vertical="top"/>
    </xf>
    <xf numFmtId="0" fontId="21" fillId="0" borderId="67" xfId="0" applyFont="1" applyBorder="1" applyAlignment="1">
      <alignment horizontal="center" vertical="top" wrapText="1"/>
    </xf>
    <xf numFmtId="0" fontId="20" fillId="0" borderId="68" xfId="0" applyFont="1" applyBorder="1" applyAlignment="1">
      <alignment vertical="top"/>
    </xf>
    <xf numFmtId="0" fontId="21" fillId="0" borderId="24" xfId="0" applyFont="1" applyBorder="1" applyAlignment="1">
      <alignment vertical="top"/>
    </xf>
    <xf numFmtId="0" fontId="21" fillId="0" borderId="69" xfId="0" applyFont="1" applyBorder="1" applyAlignment="1">
      <alignment vertical="top"/>
    </xf>
    <xf numFmtId="0" fontId="21" fillId="0" borderId="69" xfId="0" applyFont="1" applyBorder="1" applyAlignment="1">
      <alignment horizontal="center" vertical="top" wrapText="1"/>
    </xf>
    <xf numFmtId="3" fontId="27" fillId="25" borderId="135" xfId="4" applyNumberFormat="1" applyFont="1" applyFill="1" applyBorder="1" applyAlignment="1">
      <alignment horizontal="right" vertical="center"/>
    </xf>
    <xf numFmtId="3" fontId="31" fillId="25" borderId="135" xfId="4" applyNumberFormat="1" applyFont="1" applyFill="1" applyBorder="1" applyAlignment="1">
      <alignment horizontal="right" vertical="center"/>
    </xf>
    <xf numFmtId="3" fontId="7" fillId="0" borderId="132" xfId="4" applyNumberFormat="1" applyFont="1" applyFill="1" applyBorder="1" applyAlignment="1">
      <alignment horizontal="right" vertical="center"/>
    </xf>
    <xf numFmtId="0" fontId="7" fillId="2" borderId="21" xfId="4" applyFont="1" applyFill="1" applyBorder="1" applyAlignment="1">
      <alignment vertical="center"/>
    </xf>
    <xf numFmtId="3" fontId="8" fillId="6" borderId="135" xfId="0" applyNumberFormat="1" applyFont="1" applyFill="1" applyBorder="1"/>
    <xf numFmtId="3" fontId="8" fillId="6" borderId="132" xfId="0" applyNumberFormat="1" applyFont="1" applyFill="1" applyBorder="1"/>
    <xf numFmtId="0" fontId="14" fillId="2" borderId="0" xfId="113" applyFont="1" applyFill="1" applyBorder="1" applyAlignment="1">
      <alignment horizontal="right" vertical="center"/>
    </xf>
    <xf numFmtId="0" fontId="15" fillId="2" borderId="0" xfId="112" applyFont="1" applyFill="1" applyBorder="1" applyAlignment="1">
      <alignment horizontal="right" vertical="center"/>
    </xf>
    <xf numFmtId="3" fontId="27" fillId="21" borderId="134" xfId="4" applyNumberFormat="1" applyFont="1" applyFill="1" applyBorder="1" applyAlignment="1">
      <alignment horizontal="right" vertical="center"/>
    </xf>
    <xf numFmtId="3" fontId="32" fillId="8" borderId="135" xfId="114" applyNumberFormat="1" applyFont="1" applyFill="1" applyBorder="1" applyAlignment="1">
      <alignment vertical="center"/>
    </xf>
    <xf numFmtId="0" fontId="31" fillId="8" borderId="131" xfId="4" applyFont="1" applyFill="1" applyBorder="1" applyAlignment="1">
      <alignment vertical="center"/>
    </xf>
    <xf numFmtId="3" fontId="24" fillId="6" borderId="135" xfId="4" applyNumberFormat="1" applyFont="1" applyFill="1" applyBorder="1" applyAlignment="1">
      <alignment horizontal="right" vertical="center"/>
    </xf>
    <xf numFmtId="0" fontId="27" fillId="8" borderId="138" xfId="4" applyFont="1" applyFill="1" applyBorder="1" applyAlignment="1">
      <alignment vertical="center"/>
    </xf>
    <xf numFmtId="0" fontId="27" fillId="8" borderId="124" xfId="4" applyFont="1" applyFill="1" applyBorder="1" applyAlignment="1">
      <alignment vertical="center"/>
    </xf>
    <xf numFmtId="3" fontId="33" fillId="8" borderId="135" xfId="114" applyNumberFormat="1" applyFont="1" applyFill="1" applyBorder="1" applyAlignment="1">
      <alignment vertical="center"/>
    </xf>
    <xf numFmtId="0" fontId="17" fillId="8" borderId="11" xfId="4" applyFont="1" applyFill="1" applyBorder="1" applyAlignment="1">
      <alignment horizontal="center" vertical="center"/>
    </xf>
    <xf numFmtId="0" fontId="31" fillId="8" borderId="124" xfId="4" applyFont="1" applyFill="1" applyBorder="1" applyAlignment="1">
      <alignment vertical="center"/>
    </xf>
    <xf numFmtId="3" fontId="31" fillId="8" borderId="133" xfId="112" applyNumberFormat="1" applyFont="1" applyFill="1" applyBorder="1" applyAlignment="1">
      <alignment vertical="center"/>
    </xf>
    <xf numFmtId="0" fontId="18" fillId="8" borderId="43" xfId="4" applyFont="1" applyFill="1" applyBorder="1" applyAlignment="1">
      <alignment vertical="center"/>
    </xf>
    <xf numFmtId="3" fontId="18" fillId="0" borderId="0" xfId="112" applyNumberFormat="1" applyFont="1" applyBorder="1" applyAlignment="1">
      <alignment vertical="center"/>
    </xf>
    <xf numFmtId="0" fontId="18" fillId="0" borderId="0" xfId="112" applyFont="1" applyBorder="1" applyAlignment="1">
      <alignment vertical="center"/>
    </xf>
    <xf numFmtId="0" fontId="17" fillId="8" borderId="11" xfId="4" applyFont="1" applyFill="1" applyBorder="1" applyAlignment="1">
      <alignment vertical="center"/>
    </xf>
    <xf numFmtId="0" fontId="27" fillId="8" borderId="20" xfId="4" applyFont="1" applyFill="1" applyBorder="1" applyAlignment="1">
      <alignment vertical="center"/>
    </xf>
    <xf numFmtId="3" fontId="33" fillId="8" borderId="9" xfId="114" applyNumberFormat="1" applyFont="1" applyFill="1" applyBorder="1" applyAlignment="1">
      <alignment vertical="center"/>
    </xf>
    <xf numFmtId="0" fontId="17" fillId="8" borderId="25" xfId="4" applyFont="1" applyFill="1" applyBorder="1" applyAlignment="1">
      <alignment vertical="center"/>
    </xf>
    <xf numFmtId="0" fontId="31" fillId="8" borderId="12" xfId="4" applyFont="1" applyFill="1" applyBorder="1" applyAlignment="1">
      <alignment vertical="center"/>
    </xf>
    <xf numFmtId="0" fontId="24" fillId="8" borderId="19" xfId="112" applyFont="1" applyFill="1" applyBorder="1" applyAlignment="1">
      <alignment vertical="center" wrapText="1"/>
    </xf>
    <xf numFmtId="0" fontId="24" fillId="8" borderId="14" xfId="112" applyFont="1" applyFill="1" applyBorder="1" applyAlignment="1">
      <alignment horizontal="center" vertical="center" wrapText="1"/>
    </xf>
    <xf numFmtId="3" fontId="27" fillId="0" borderId="134" xfId="4" applyNumberFormat="1" applyFont="1" applyFill="1" applyBorder="1" applyAlignment="1">
      <alignment horizontal="right" vertical="center"/>
    </xf>
    <xf numFmtId="3" fontId="29" fillId="0" borderId="132" xfId="4" applyNumberFormat="1" applyFont="1" applyFill="1" applyBorder="1" applyAlignment="1">
      <alignment horizontal="right" vertical="center"/>
    </xf>
    <xf numFmtId="3" fontId="29" fillId="0" borderId="134" xfId="4" applyNumberFormat="1" applyFont="1" applyFill="1" applyBorder="1" applyAlignment="1">
      <alignment horizontal="right" vertical="center"/>
    </xf>
    <xf numFmtId="3" fontId="33" fillId="0" borderId="133" xfId="114" applyNumberFormat="1" applyFont="1" applyFill="1" applyBorder="1" applyAlignment="1">
      <alignment vertical="center"/>
    </xf>
    <xf numFmtId="3" fontId="27" fillId="0" borderId="132" xfId="4" applyNumberFormat="1" applyFont="1" applyFill="1" applyBorder="1" applyAlignment="1">
      <alignment horizontal="right" vertical="center"/>
    </xf>
    <xf numFmtId="3" fontId="7" fillId="0" borderId="35" xfId="112" applyNumberFormat="1" applyFont="1" applyFill="1" applyBorder="1" applyAlignment="1">
      <alignment vertical="center"/>
    </xf>
    <xf numFmtId="3" fontId="29" fillId="2" borderId="133" xfId="4" applyNumberFormat="1" applyFont="1" applyFill="1" applyBorder="1" applyAlignment="1">
      <alignment horizontal="right" vertical="center"/>
    </xf>
    <xf numFmtId="3" fontId="27" fillId="2" borderId="133" xfId="4" applyNumberFormat="1" applyFont="1" applyFill="1" applyBorder="1" applyAlignment="1">
      <alignment horizontal="right" vertical="center"/>
    </xf>
    <xf numFmtId="3" fontId="33" fillId="0" borderId="135" xfId="114" applyNumberFormat="1" applyFont="1" applyFill="1" applyBorder="1" applyAlignment="1">
      <alignment vertical="center"/>
    </xf>
    <xf numFmtId="3" fontId="31" fillId="0" borderId="127" xfId="112" applyNumberFormat="1" applyFont="1" applyFill="1" applyBorder="1" applyAlignment="1">
      <alignment vertical="center"/>
    </xf>
    <xf numFmtId="3" fontId="32" fillId="0" borderId="133" xfId="114" applyNumberFormat="1" applyFont="1" applyFill="1" applyBorder="1" applyAlignment="1">
      <alignment vertical="center"/>
    </xf>
    <xf numFmtId="3" fontId="33" fillId="0" borderId="9" xfId="114" applyNumberFormat="1" applyFont="1" applyFill="1" applyBorder="1" applyAlignment="1">
      <alignment vertical="center"/>
    </xf>
    <xf numFmtId="0" fontId="24" fillId="32" borderId="138" xfId="4" applyFont="1" applyFill="1" applyBorder="1" applyAlignment="1">
      <alignment horizontal="left" vertical="center"/>
    </xf>
    <xf numFmtId="0" fontId="25" fillId="32" borderId="137" xfId="4" applyFont="1" applyFill="1" applyBorder="1" applyAlignment="1">
      <alignment horizontal="left" vertical="center"/>
    </xf>
    <xf numFmtId="3" fontId="27" fillId="8" borderId="133" xfId="0" applyNumberFormat="1" applyFont="1" applyFill="1" applyBorder="1" applyAlignment="1">
      <alignment vertical="center"/>
    </xf>
    <xf numFmtId="3" fontId="27" fillId="23" borderId="133" xfId="0" applyNumberFormat="1" applyFont="1" applyFill="1" applyBorder="1" applyAlignment="1">
      <alignment vertical="center"/>
    </xf>
    <xf numFmtId="3" fontId="31" fillId="28" borderId="133" xfId="0" applyNumberFormat="1" applyFont="1" applyFill="1" applyBorder="1" applyAlignment="1">
      <alignment vertical="center"/>
    </xf>
    <xf numFmtId="43" fontId="25" fillId="6" borderId="135" xfId="1" applyFont="1" applyFill="1" applyBorder="1" applyAlignment="1">
      <alignment vertical="center"/>
    </xf>
    <xf numFmtId="3" fontId="25" fillId="22" borderId="135" xfId="0" applyNumberFormat="1" applyFont="1" applyFill="1" applyBorder="1" applyAlignment="1">
      <alignment vertical="center"/>
    </xf>
    <xf numFmtId="3" fontId="27" fillId="2" borderId="131" xfId="4" applyNumberFormat="1" applyFont="1" applyFill="1" applyBorder="1" applyAlignment="1">
      <alignment vertical="center" wrapText="1"/>
    </xf>
    <xf numFmtId="3" fontId="27" fillId="0" borderId="135" xfId="0" applyNumberFormat="1" applyFont="1" applyFill="1" applyBorder="1" applyAlignment="1">
      <alignment vertical="center"/>
    </xf>
    <xf numFmtId="43" fontId="27" fillId="0" borderId="135" xfId="1" applyFont="1" applyFill="1" applyBorder="1" applyAlignment="1">
      <alignment vertical="center"/>
    </xf>
    <xf numFmtId="3" fontId="27" fillId="25" borderId="135" xfId="0" applyNumberFormat="1" applyFont="1" applyFill="1" applyBorder="1" applyAlignment="1">
      <alignment vertical="center"/>
    </xf>
    <xf numFmtId="0" fontId="31" fillId="0" borderId="77" xfId="0" applyFont="1" applyFill="1" applyBorder="1" applyAlignment="1">
      <alignment vertical="center"/>
    </xf>
    <xf numFmtId="43" fontId="31" fillId="0" borderId="127" xfId="1" applyFont="1" applyFill="1" applyBorder="1" applyAlignment="1">
      <alignment vertical="center"/>
    </xf>
    <xf numFmtId="0" fontId="0" fillId="0" borderId="24" xfId="0" applyFont="1" applyBorder="1"/>
    <xf numFmtId="3" fontId="27" fillId="2" borderId="34" xfId="4" applyNumberFormat="1" applyFont="1" applyFill="1" applyBorder="1" applyAlignment="1">
      <alignment vertical="center" wrapText="1"/>
    </xf>
    <xf numFmtId="0" fontId="20" fillId="6" borderId="20" xfId="4" applyFont="1" applyFill="1" applyBorder="1" applyAlignment="1">
      <alignment horizontal="center" vertical="center" wrapText="1"/>
    </xf>
    <xf numFmtId="43" fontId="23" fillId="6" borderId="103" xfId="1" applyFont="1" applyFill="1" applyBorder="1" applyAlignment="1">
      <alignment horizontal="right" vertical="center"/>
    </xf>
    <xf numFmtId="43" fontId="33" fillId="0" borderId="103" xfId="1" applyFont="1" applyFill="1" applyBorder="1" applyAlignment="1">
      <alignment horizontal="right" vertical="center"/>
    </xf>
    <xf numFmtId="43" fontId="24" fillId="8" borderId="70" xfId="1" applyFont="1" applyFill="1" applyBorder="1" applyAlignment="1">
      <alignment horizontal="right" vertical="center"/>
    </xf>
    <xf numFmtId="3" fontId="25" fillId="22" borderId="168" xfId="4" applyNumberFormat="1" applyFont="1" applyFill="1" applyBorder="1" applyAlignment="1">
      <alignment horizontal="right" vertical="center"/>
    </xf>
    <xf numFmtId="3" fontId="27" fillId="25" borderId="168" xfId="4" applyNumberFormat="1" applyFont="1" applyFill="1" applyBorder="1" applyAlignment="1">
      <alignment horizontal="right" vertical="center"/>
    </xf>
    <xf numFmtId="3" fontId="23" fillId="6" borderId="168" xfId="6" applyNumberFormat="1" applyFont="1" applyFill="1" applyBorder="1" applyAlignment="1">
      <alignment horizontal="right" vertical="center"/>
    </xf>
    <xf numFmtId="3" fontId="33" fillId="0" borderId="168" xfId="6" applyNumberFormat="1" applyFont="1" applyFill="1" applyBorder="1" applyAlignment="1">
      <alignment horizontal="right" vertical="center"/>
    </xf>
    <xf numFmtId="3" fontId="31" fillId="0" borderId="168" xfId="4" applyNumberFormat="1" applyFont="1" applyFill="1" applyBorder="1" applyAlignment="1">
      <alignment horizontal="right" vertical="center"/>
    </xf>
    <xf numFmtId="3" fontId="33" fillId="0" borderId="168" xfId="6" applyNumberFormat="1" applyFont="1" applyFill="1" applyBorder="1" applyAlignment="1">
      <alignment vertical="center"/>
    </xf>
    <xf numFmtId="0" fontId="24" fillId="8" borderId="19" xfId="0" applyFont="1" applyFill="1" applyBorder="1" applyAlignment="1">
      <alignment horizontal="left" vertical="center" wrapText="1"/>
    </xf>
    <xf numFmtId="3" fontId="24" fillId="8" borderId="3" xfId="0" applyNumberFormat="1" applyFont="1" applyFill="1" applyBorder="1" applyAlignment="1">
      <alignment vertical="center"/>
    </xf>
    <xf numFmtId="3" fontId="31" fillId="0" borderId="30" xfId="0" applyNumberFormat="1" applyFont="1" applyFill="1" applyBorder="1" applyAlignment="1">
      <alignment horizontal="right" vertical="center"/>
    </xf>
    <xf numFmtId="3" fontId="31" fillId="0" borderId="29" xfId="0" applyNumberFormat="1" applyFont="1" applyFill="1" applyBorder="1" applyAlignment="1">
      <alignment horizontal="right" vertical="center"/>
    </xf>
    <xf numFmtId="0" fontId="33" fillId="0" borderId="6" xfId="0" applyFont="1" applyBorder="1" applyAlignment="1">
      <alignment horizontal="center" vertical="center"/>
    </xf>
    <xf numFmtId="3" fontId="29" fillId="0" borderId="29" xfId="4" applyNumberFormat="1" applyFont="1" applyFill="1" applyBorder="1" applyAlignment="1">
      <alignment horizontal="right" vertical="center"/>
    </xf>
    <xf numFmtId="3" fontId="31" fillId="0" borderId="71" xfId="0" applyNumberFormat="1" applyFont="1" applyFill="1" applyBorder="1" applyAlignment="1">
      <alignment horizontal="right" vertical="center"/>
    </xf>
    <xf numFmtId="3" fontId="31" fillId="0" borderId="74" xfId="0" applyNumberFormat="1" applyFont="1" applyFill="1" applyBorder="1" applyAlignment="1">
      <alignment horizontal="right" vertical="center"/>
    </xf>
    <xf numFmtId="3" fontId="31" fillId="0" borderId="75" xfId="0" applyNumberFormat="1" applyFont="1" applyFill="1" applyBorder="1" applyAlignment="1">
      <alignment horizontal="right" vertical="center"/>
    </xf>
    <xf numFmtId="3" fontId="24" fillId="22" borderId="70" xfId="4" applyNumberFormat="1" applyFont="1" applyFill="1" applyBorder="1" applyAlignment="1">
      <alignment horizontal="right" vertical="center"/>
    </xf>
    <xf numFmtId="0" fontId="7" fillId="0" borderId="127" xfId="4" applyFont="1" applyFill="1" applyBorder="1" applyAlignment="1">
      <alignment vertical="top"/>
    </xf>
    <xf numFmtId="3" fontId="31" fillId="0" borderId="127" xfId="0" applyNumberFormat="1" applyFont="1" applyFill="1" applyBorder="1" applyAlignment="1">
      <alignment horizontal="right" vertical="center"/>
    </xf>
    <xf numFmtId="0" fontId="28" fillId="55" borderId="22" xfId="0" quotePrefix="1" applyFont="1" applyFill="1" applyBorder="1" applyAlignment="1">
      <alignment horizontal="center" vertical="top"/>
    </xf>
    <xf numFmtId="3" fontId="18" fillId="8" borderId="67" xfId="0" applyNumberFormat="1" applyFont="1" applyFill="1" applyBorder="1" applyAlignment="1">
      <alignment horizontal="center" vertical="top" wrapText="1"/>
    </xf>
    <xf numFmtId="3" fontId="18" fillId="8" borderId="67" xfId="0" applyNumberFormat="1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vertical="center"/>
    </xf>
    <xf numFmtId="0" fontId="25" fillId="6" borderId="131" xfId="4" applyFont="1" applyFill="1" applyBorder="1" applyAlignment="1">
      <alignment horizontal="left" vertical="center"/>
    </xf>
    <xf numFmtId="3" fontId="25" fillId="6" borderId="167" xfId="0" applyNumberFormat="1" applyFont="1" applyFill="1" applyBorder="1" applyAlignment="1">
      <alignment vertical="top"/>
    </xf>
    <xf numFmtId="43" fontId="25" fillId="6" borderId="167" xfId="1" applyFont="1" applyFill="1" applyBorder="1" applyAlignment="1">
      <alignment vertical="top"/>
    </xf>
    <xf numFmtId="0" fontId="24" fillId="8" borderId="17" xfId="0" applyFont="1" applyFill="1" applyBorder="1" applyAlignment="1">
      <alignment horizontal="center" vertical="center" wrapText="1"/>
    </xf>
    <xf numFmtId="0" fontId="24" fillId="6" borderId="173" xfId="4" applyFont="1" applyFill="1" applyBorder="1" applyAlignment="1">
      <alignment horizontal="left" vertical="center"/>
    </xf>
    <xf numFmtId="3" fontId="25" fillId="6" borderId="167" xfId="0" applyNumberFormat="1" applyFont="1" applyFill="1" applyBorder="1" applyAlignment="1"/>
    <xf numFmtId="3" fontId="29" fillId="2" borderId="131" xfId="4" applyNumberFormat="1" applyFont="1" applyFill="1" applyBorder="1" applyAlignment="1">
      <alignment vertical="center" wrapText="1"/>
    </xf>
    <xf numFmtId="3" fontId="31" fillId="0" borderId="167" xfId="0" applyNumberFormat="1" applyFont="1" applyFill="1" applyBorder="1" applyAlignment="1">
      <alignment vertical="top"/>
    </xf>
    <xf numFmtId="0" fontId="7" fillId="0" borderId="131" xfId="0" applyFont="1" applyFill="1" applyBorder="1" applyAlignment="1">
      <alignment vertical="center" wrapText="1"/>
    </xf>
    <xf numFmtId="0" fontId="29" fillId="2" borderId="131" xfId="4" applyFont="1" applyFill="1" applyBorder="1" applyAlignment="1">
      <alignment vertical="center"/>
    </xf>
    <xf numFmtId="3" fontId="27" fillId="0" borderId="167" xfId="0" applyNumberFormat="1" applyFont="1" applyFill="1" applyBorder="1" applyAlignment="1">
      <alignment vertical="top"/>
    </xf>
    <xf numFmtId="3" fontId="27" fillId="0" borderId="13" xfId="0" applyNumberFormat="1" applyFont="1" applyFill="1" applyBorder="1" applyAlignment="1">
      <alignment vertical="top"/>
    </xf>
    <xf numFmtId="43" fontId="31" fillId="0" borderId="167" xfId="1" applyFont="1" applyFill="1" applyBorder="1" applyAlignment="1">
      <alignment vertical="center"/>
    </xf>
    <xf numFmtId="43" fontId="31" fillId="0" borderId="168" xfId="1" applyFont="1" applyFill="1" applyBorder="1" applyAlignment="1">
      <alignment vertical="center"/>
    </xf>
    <xf numFmtId="0" fontId="29" fillId="2" borderId="173" xfId="4" applyFont="1" applyFill="1" applyBorder="1" applyAlignment="1">
      <alignment vertical="center"/>
    </xf>
    <xf numFmtId="0" fontId="7" fillId="0" borderId="139" xfId="4" applyFont="1" applyFill="1" applyBorder="1" applyAlignment="1">
      <alignment vertical="center"/>
    </xf>
    <xf numFmtId="43" fontId="31" fillId="0" borderId="144" xfId="1" applyFont="1" applyFill="1" applyBorder="1" applyAlignment="1">
      <alignment vertical="center"/>
    </xf>
    <xf numFmtId="3" fontId="25" fillId="6" borderId="167" xfId="0" applyNumberFormat="1" applyFont="1" applyFill="1" applyBorder="1" applyAlignment="1">
      <alignment vertical="center"/>
    </xf>
    <xf numFmtId="43" fontId="31" fillId="0" borderId="127" xfId="1" applyFont="1" applyFill="1" applyBorder="1" applyAlignment="1">
      <alignment vertical="top"/>
    </xf>
    <xf numFmtId="43" fontId="27" fillId="2" borderId="168" xfId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7" fillId="8" borderId="37" xfId="0" applyFont="1" applyFill="1" applyBorder="1" applyAlignment="1">
      <alignment vertical="center" wrapText="1"/>
    </xf>
    <xf numFmtId="3" fontId="25" fillId="6" borderId="168" xfId="0" applyNumberFormat="1" applyFont="1" applyFill="1" applyBorder="1" applyAlignment="1">
      <alignment vertical="top"/>
    </xf>
    <xf numFmtId="3" fontId="25" fillId="25" borderId="167" xfId="0" applyNumberFormat="1" applyFont="1" applyFill="1" applyBorder="1" applyAlignment="1">
      <alignment vertical="top"/>
    </xf>
    <xf numFmtId="0" fontId="27" fillId="2" borderId="131" xfId="4" applyFont="1" applyFill="1" applyBorder="1" applyAlignment="1">
      <alignment vertical="top"/>
    </xf>
    <xf numFmtId="0" fontId="31" fillId="0" borderId="141" xfId="0" applyFont="1" applyFill="1" applyBorder="1" applyAlignment="1">
      <alignment horizontal="left" vertical="center" wrapText="1"/>
    </xf>
    <xf numFmtId="0" fontId="7" fillId="6" borderId="172" xfId="0" applyFont="1" applyFill="1" applyBorder="1" applyAlignment="1">
      <alignment horizontal="left" vertical="center" wrapText="1"/>
    </xf>
    <xf numFmtId="3" fontId="27" fillId="2" borderId="174" xfId="4" applyNumberFormat="1" applyFont="1" applyFill="1" applyBorder="1" applyAlignment="1">
      <alignment vertical="center" wrapText="1"/>
    </xf>
    <xf numFmtId="3" fontId="27" fillId="2" borderId="167" xfId="0" applyNumberFormat="1" applyFont="1" applyFill="1" applyBorder="1" applyAlignment="1">
      <alignment vertical="top"/>
    </xf>
    <xf numFmtId="0" fontId="27" fillId="2" borderId="140" xfId="4" applyFont="1" applyFill="1" applyBorder="1" applyAlignment="1">
      <alignment vertical="top"/>
    </xf>
    <xf numFmtId="0" fontId="31" fillId="6" borderId="172" xfId="0" applyFont="1" applyFill="1" applyBorder="1" applyAlignment="1">
      <alignment vertical="top"/>
    </xf>
    <xf numFmtId="43" fontId="25" fillId="6" borderId="168" xfId="1" applyFont="1" applyFill="1" applyBorder="1" applyAlignment="1">
      <alignment vertical="top"/>
    </xf>
    <xf numFmtId="3" fontId="31" fillId="0" borderId="144" xfId="0" applyNumberFormat="1" applyFont="1" applyFill="1" applyBorder="1" applyAlignment="1">
      <alignment vertical="top"/>
    </xf>
    <xf numFmtId="3" fontId="25" fillId="6" borderId="167" xfId="4" applyNumberFormat="1" applyFont="1" applyFill="1" applyBorder="1" applyAlignment="1">
      <alignment horizontal="right" vertical="center"/>
    </xf>
    <xf numFmtId="3" fontId="31" fillId="25" borderId="133" xfId="0" applyNumberFormat="1" applyFont="1" applyFill="1" applyBorder="1" applyAlignment="1">
      <alignment vertical="top"/>
    </xf>
    <xf numFmtId="43" fontId="27" fillId="2" borderId="35" xfId="1" applyFont="1" applyFill="1" applyBorder="1" applyAlignment="1">
      <alignment vertical="center"/>
    </xf>
    <xf numFmtId="43" fontId="27" fillId="2" borderId="9" xfId="1" applyFont="1" applyFill="1" applyBorder="1" applyAlignment="1">
      <alignment vertical="center"/>
    </xf>
    <xf numFmtId="43" fontId="32" fillId="0" borderId="127" xfId="1" applyFont="1" applyBorder="1"/>
    <xf numFmtId="43" fontId="32" fillId="0" borderId="12" xfId="1" applyFont="1" applyBorder="1"/>
    <xf numFmtId="0" fontId="20" fillId="2" borderId="6" xfId="0" applyFont="1" applyFill="1" applyBorder="1" applyAlignment="1">
      <alignment vertical="top"/>
    </xf>
    <xf numFmtId="0" fontId="20" fillId="2" borderId="22" xfId="0" applyFont="1" applyFill="1" applyBorder="1" applyAlignment="1">
      <alignment vertical="top"/>
    </xf>
    <xf numFmtId="3" fontId="31" fillId="2" borderId="35" xfId="0" applyNumberFormat="1" applyFont="1" applyFill="1" applyBorder="1" applyAlignment="1">
      <alignment vertical="top"/>
    </xf>
    <xf numFmtId="3" fontId="31" fillId="0" borderId="35" xfId="0" applyNumberFormat="1" applyFont="1" applyFill="1" applyBorder="1" applyAlignment="1">
      <alignment vertical="center"/>
    </xf>
    <xf numFmtId="9" fontId="25" fillId="2" borderId="46" xfId="2" applyFont="1" applyFill="1" applyBorder="1" applyAlignment="1">
      <alignment horizontal="center" vertical="top"/>
    </xf>
    <xf numFmtId="0" fontId="27" fillId="55" borderId="21" xfId="4" applyFont="1" applyFill="1" applyBorder="1" applyAlignment="1">
      <alignment horizontal="left" vertical="center"/>
    </xf>
    <xf numFmtId="0" fontId="29" fillId="8" borderId="131" xfId="4" applyFont="1" applyFill="1" applyBorder="1" applyAlignment="1">
      <alignment vertical="top"/>
    </xf>
    <xf numFmtId="0" fontId="7" fillId="8" borderId="131" xfId="4" applyFont="1" applyFill="1" applyBorder="1" applyAlignment="1">
      <alignment vertical="top"/>
    </xf>
    <xf numFmtId="0" fontId="7" fillId="8" borderId="131" xfId="4" applyFont="1" applyFill="1" applyBorder="1" applyAlignment="1">
      <alignment vertical="top" wrapText="1"/>
    </xf>
    <xf numFmtId="0" fontId="7" fillId="8" borderId="172" xfId="4" applyFont="1" applyFill="1" applyBorder="1" applyAlignment="1">
      <alignment vertical="top"/>
    </xf>
    <xf numFmtId="0" fontId="7" fillId="8" borderId="11" xfId="4" applyFont="1" applyFill="1" applyBorder="1" applyAlignment="1">
      <alignment vertical="top"/>
    </xf>
    <xf numFmtId="3" fontId="24" fillId="6" borderId="168" xfId="4" applyNumberFormat="1" applyFont="1" applyFill="1" applyBorder="1" applyAlignment="1">
      <alignment vertical="center"/>
    </xf>
    <xf numFmtId="3" fontId="24" fillId="6" borderId="167" xfId="4" applyNumberFormat="1" applyFont="1" applyFill="1" applyBorder="1" applyAlignment="1">
      <alignment vertical="center"/>
    </xf>
    <xf numFmtId="3" fontId="24" fillId="22" borderId="167" xfId="4" applyNumberFormat="1" applyFont="1" applyFill="1" applyBorder="1" applyAlignment="1">
      <alignment vertical="center"/>
    </xf>
    <xf numFmtId="0" fontId="29" fillId="0" borderId="131" xfId="4" applyFont="1" applyFill="1" applyBorder="1" applyAlignment="1">
      <alignment vertical="top"/>
    </xf>
    <xf numFmtId="3" fontId="29" fillId="0" borderId="168" xfId="4" applyNumberFormat="1" applyFont="1" applyFill="1" applyBorder="1" applyAlignment="1">
      <alignment horizontal="right" vertical="center"/>
    </xf>
    <xf numFmtId="3" fontId="29" fillId="0" borderId="167" xfId="4" applyNumberFormat="1" applyFont="1" applyFill="1" applyBorder="1" applyAlignment="1">
      <alignment horizontal="right" vertical="center"/>
    </xf>
    <xf numFmtId="0" fontId="7" fillId="0" borderId="131" xfId="4" applyFont="1" applyFill="1" applyBorder="1" applyAlignment="1">
      <alignment vertical="top"/>
    </xf>
    <xf numFmtId="3" fontId="7" fillId="0" borderId="167" xfId="0" applyNumberFormat="1" applyFont="1" applyFill="1" applyBorder="1" applyAlignment="1">
      <alignment vertical="top"/>
    </xf>
    <xf numFmtId="3" fontId="7" fillId="0" borderId="167" xfId="4" applyNumberFormat="1" applyFont="1" applyFill="1" applyBorder="1" applyAlignment="1">
      <alignment vertical="top"/>
    </xf>
    <xf numFmtId="3" fontId="7" fillId="0" borderId="171" xfId="4" applyNumberFormat="1" applyFont="1" applyFill="1" applyBorder="1" applyAlignment="1">
      <alignment vertical="top"/>
    </xf>
    <xf numFmtId="3" fontId="7" fillId="25" borderId="167" xfId="4" applyNumberFormat="1" applyFont="1" applyFill="1" applyBorder="1" applyAlignment="1">
      <alignment vertical="top"/>
    </xf>
    <xf numFmtId="0" fontId="29" fillId="0" borderId="131" xfId="4" applyFont="1" applyFill="1" applyBorder="1" applyAlignment="1">
      <alignment horizontal="left" vertical="center"/>
    </xf>
    <xf numFmtId="3" fontId="7" fillId="0" borderId="168" xfId="4" applyNumberFormat="1" applyFont="1" applyFill="1" applyBorder="1" applyAlignment="1">
      <alignment horizontal="right" vertical="center"/>
    </xf>
    <xf numFmtId="3" fontId="7" fillId="0" borderId="167" xfId="4" applyNumberFormat="1" applyFont="1" applyFill="1" applyBorder="1" applyAlignment="1">
      <alignment horizontal="right" vertical="center"/>
    </xf>
    <xf numFmtId="3" fontId="31" fillId="0" borderId="167" xfId="4" applyNumberFormat="1" applyFont="1" applyFill="1" applyBorder="1" applyAlignment="1">
      <alignment horizontal="right" vertical="center"/>
    </xf>
    <xf numFmtId="3" fontId="7" fillId="0" borderId="127" xfId="0" applyNumberFormat="1" applyFont="1" applyFill="1" applyBorder="1" applyAlignment="1">
      <alignment vertical="top"/>
    </xf>
    <xf numFmtId="3" fontId="7" fillId="0" borderId="127" xfId="4" applyNumberFormat="1" applyFont="1" applyFill="1" applyBorder="1" applyAlignment="1">
      <alignment vertical="top"/>
    </xf>
    <xf numFmtId="0" fontId="24" fillId="8" borderId="21" xfId="4" applyFont="1" applyFill="1" applyBorder="1" applyAlignment="1">
      <alignment horizontal="left" vertical="center" wrapText="1"/>
    </xf>
    <xf numFmtId="3" fontId="7" fillId="23" borderId="35" xfId="4" applyNumberFormat="1" applyFont="1" applyFill="1" applyBorder="1" applyAlignment="1">
      <alignment horizontal="right" vertical="center"/>
    </xf>
    <xf numFmtId="43" fontId="24" fillId="6" borderId="167" xfId="1" applyFont="1" applyFill="1" applyBorder="1" applyAlignment="1">
      <alignment vertical="center"/>
    </xf>
    <xf numFmtId="43" fontId="29" fillId="0" borderId="168" xfId="1" applyFont="1" applyFill="1" applyBorder="1" applyAlignment="1">
      <alignment horizontal="right" vertical="center"/>
    </xf>
    <xf numFmtId="43" fontId="29" fillId="0" borderId="167" xfId="1" applyFont="1" applyFill="1" applyBorder="1" applyAlignment="1">
      <alignment horizontal="right" vertical="center"/>
    </xf>
    <xf numFmtId="43" fontId="7" fillId="0" borderId="167" xfId="1" applyFont="1" applyFill="1" applyBorder="1" applyAlignment="1">
      <alignment horizontal="right" vertical="center"/>
    </xf>
    <xf numFmtId="3" fontId="7" fillId="8" borderId="167" xfId="4" applyNumberFormat="1" applyFont="1" applyFill="1" applyBorder="1" applyAlignment="1">
      <alignment horizontal="right" vertical="center"/>
    </xf>
    <xf numFmtId="3" fontId="7" fillId="23" borderId="167" xfId="4" applyNumberFormat="1" applyFont="1" applyFill="1" applyBorder="1" applyAlignment="1">
      <alignment horizontal="right" vertical="center"/>
    </xf>
    <xf numFmtId="0" fontId="31" fillId="0" borderId="0" xfId="0" applyFont="1" applyBorder="1" applyAlignment="1">
      <alignment vertical="top"/>
    </xf>
    <xf numFmtId="3" fontId="25" fillId="6" borderId="168" xfId="4" applyNumberFormat="1" applyFont="1" applyFill="1" applyBorder="1" applyAlignment="1">
      <alignment vertical="center"/>
    </xf>
    <xf numFmtId="3" fontId="25" fillId="6" borderId="167" xfId="4" applyNumberFormat="1" applyFont="1" applyFill="1" applyBorder="1" applyAlignment="1">
      <alignment vertical="center"/>
    </xf>
    <xf numFmtId="3" fontId="25" fillId="22" borderId="167" xfId="4" applyNumberFormat="1" applyFont="1" applyFill="1" applyBorder="1" applyAlignment="1">
      <alignment vertical="center"/>
    </xf>
    <xf numFmtId="3" fontId="27" fillId="25" borderId="167" xfId="4" applyNumberFormat="1" applyFont="1" applyFill="1" applyBorder="1" applyAlignment="1">
      <alignment horizontal="right" vertical="center"/>
    </xf>
    <xf numFmtId="0" fontId="7" fillId="0" borderId="131" xfId="4" applyFont="1" applyFill="1" applyBorder="1" applyAlignment="1">
      <alignment vertical="center"/>
    </xf>
    <xf numFmtId="3" fontId="27" fillId="0" borderId="167" xfId="4" applyNumberFormat="1" applyFont="1" applyFill="1" applyBorder="1" applyAlignment="1">
      <alignment horizontal="right" vertical="center"/>
    </xf>
    <xf numFmtId="0" fontId="31" fillId="0" borderId="0" xfId="0" applyFont="1" applyBorder="1" applyAlignment="1"/>
    <xf numFmtId="3" fontId="27" fillId="0" borderId="168" xfId="4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top"/>
    </xf>
    <xf numFmtId="3" fontId="25" fillId="8" borderId="9" xfId="4" applyNumberFormat="1" applyFont="1" applyFill="1" applyBorder="1" applyAlignment="1">
      <alignment horizontal="center" vertical="center"/>
    </xf>
    <xf numFmtId="3" fontId="25" fillId="6" borderId="172" xfId="4" applyNumberFormat="1" applyFont="1" applyFill="1" applyBorder="1" applyAlignment="1">
      <alignment vertical="center"/>
    </xf>
    <xf numFmtId="3" fontId="7" fillId="8" borderId="7" xfId="4" applyNumberFormat="1" applyFont="1" applyFill="1" applyBorder="1" applyAlignment="1">
      <alignment horizontal="right" vertical="center"/>
    </xf>
    <xf numFmtId="3" fontId="29" fillId="25" borderId="168" xfId="4" applyNumberFormat="1" applyFont="1" applyFill="1" applyBorder="1" applyAlignment="1">
      <alignment horizontal="right" vertical="center"/>
    </xf>
    <xf numFmtId="0" fontId="24" fillId="0" borderId="43" xfId="4" applyFont="1" applyFill="1" applyBorder="1" applyAlignment="1">
      <alignment vertical="center"/>
    </xf>
    <xf numFmtId="0" fontId="7" fillId="0" borderId="11" xfId="4" applyFont="1" applyFill="1" applyBorder="1" applyAlignment="1">
      <alignment vertical="top"/>
    </xf>
    <xf numFmtId="0" fontId="0" fillId="0" borderId="6" xfId="0" applyFont="1" applyBorder="1" applyAlignment="1">
      <alignment wrapText="1" shrinkToFit="1"/>
    </xf>
    <xf numFmtId="3" fontId="18" fillId="0" borderId="13" xfId="4" applyNumberFormat="1" applyFont="1" applyFill="1" applyBorder="1" applyAlignment="1">
      <alignment horizontal="right" vertical="center"/>
    </xf>
    <xf numFmtId="3" fontId="18" fillId="25" borderId="10" xfId="4" applyNumberFormat="1" applyFont="1" applyFill="1" applyBorder="1" applyAlignment="1">
      <alignment vertical="top"/>
    </xf>
    <xf numFmtId="0" fontId="18" fillId="0" borderId="13" xfId="4" applyFont="1" applyFill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3" fontId="25" fillId="6" borderId="140" xfId="0" applyNumberFormat="1" applyFont="1" applyFill="1" applyBorder="1" applyAlignment="1">
      <alignment vertical="center"/>
    </xf>
    <xf numFmtId="3" fontId="25" fillId="6" borderId="171" xfId="0" applyNumberFormat="1" applyFont="1" applyFill="1" applyBorder="1" applyAlignment="1">
      <alignment vertical="center"/>
    </xf>
    <xf numFmtId="0" fontId="25" fillId="6" borderId="172" xfId="4" applyFont="1" applyFill="1" applyBorder="1" applyAlignment="1">
      <alignment horizontal="left" vertical="center"/>
    </xf>
    <xf numFmtId="43" fontId="24" fillId="6" borderId="168" xfId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3" fontId="18" fillId="8" borderId="43" xfId="4" applyNumberFormat="1" applyFont="1" applyFill="1" applyBorder="1" applyAlignment="1">
      <alignment vertical="center" wrapText="1"/>
    </xf>
    <xf numFmtId="3" fontId="27" fillId="55" borderId="23" xfId="0" quotePrefix="1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horizontal="center" vertical="center"/>
    </xf>
    <xf numFmtId="3" fontId="29" fillId="8" borderId="31" xfId="4" applyNumberFormat="1" applyFont="1" applyFill="1" applyBorder="1" applyAlignment="1">
      <alignment vertical="center" wrapText="1"/>
    </xf>
    <xf numFmtId="0" fontId="18" fillId="8" borderId="43" xfId="4" applyFont="1" applyFill="1" applyBorder="1" applyAlignment="1">
      <alignment horizontal="center" vertical="center"/>
    </xf>
    <xf numFmtId="3" fontId="31" fillId="23" borderId="30" xfId="4" applyNumberFormat="1" applyFont="1" applyFill="1" applyBorder="1" applyAlignment="1">
      <alignment vertical="center"/>
    </xf>
    <xf numFmtId="0" fontId="17" fillId="8" borderId="25" xfId="4" applyFont="1" applyFill="1" applyBorder="1" applyAlignment="1">
      <alignment horizontal="center" vertical="center"/>
    </xf>
    <xf numFmtId="3" fontId="7" fillId="8" borderId="76" xfId="4" applyNumberFormat="1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/>
    </xf>
    <xf numFmtId="0" fontId="7" fillId="8" borderId="79" xfId="0" applyFont="1" applyFill="1" applyBorder="1" applyAlignment="1">
      <alignment vertical="center"/>
    </xf>
    <xf numFmtId="3" fontId="7" fillId="8" borderId="79" xfId="0" applyNumberFormat="1" applyFont="1" applyFill="1" applyBorder="1" applyAlignment="1">
      <alignment vertical="center"/>
    </xf>
    <xf numFmtId="3" fontId="7" fillId="23" borderId="70" xfId="0" applyNumberFormat="1" applyFont="1" applyFill="1" applyBorder="1" applyAlignment="1">
      <alignment vertical="center"/>
    </xf>
    <xf numFmtId="3" fontId="27" fillId="2" borderId="29" xfId="4" applyNumberFormat="1" applyFont="1" applyFill="1" applyBorder="1" applyAlignment="1">
      <alignment vertical="center"/>
    </xf>
    <xf numFmtId="0" fontId="7" fillId="0" borderId="34" xfId="4" applyFont="1" applyFill="1" applyBorder="1" applyAlignment="1">
      <alignment vertical="center"/>
    </xf>
    <xf numFmtId="3" fontId="27" fillId="2" borderId="30" xfId="4" applyNumberFormat="1" applyFont="1" applyFill="1" applyBorder="1" applyAlignment="1">
      <alignment vertical="center"/>
    </xf>
    <xf numFmtId="3" fontId="24" fillId="6" borderId="92" xfId="4" applyNumberFormat="1" applyFont="1" applyFill="1" applyBorder="1" applyAlignment="1">
      <alignment vertical="center"/>
    </xf>
    <xf numFmtId="3" fontId="27" fillId="2" borderId="96" xfId="4" applyNumberFormat="1" applyFont="1" applyFill="1" applyBorder="1" applyAlignment="1">
      <alignment vertical="center" wrapText="1"/>
    </xf>
    <xf numFmtId="0" fontId="7" fillId="0" borderId="96" xfId="4" applyFont="1" applyFill="1" applyBorder="1" applyAlignment="1">
      <alignment vertical="center"/>
    </xf>
    <xf numFmtId="0" fontId="34" fillId="2" borderId="51" xfId="0" applyFont="1" applyFill="1" applyBorder="1" applyAlignment="1">
      <alignment vertical="center"/>
    </xf>
    <xf numFmtId="0" fontId="34" fillId="0" borderId="51" xfId="0" applyFont="1" applyFill="1" applyBorder="1" applyAlignment="1">
      <alignment vertical="center"/>
    </xf>
    <xf numFmtId="0" fontId="34" fillId="0" borderId="80" xfId="0" applyFont="1" applyFill="1" applyBorder="1" applyAlignment="1">
      <alignment vertical="center"/>
    </xf>
    <xf numFmtId="0" fontId="30" fillId="8" borderId="5" xfId="0" applyFont="1" applyFill="1" applyBorder="1" applyAlignment="1">
      <alignment vertical="center"/>
    </xf>
    <xf numFmtId="0" fontId="27" fillId="55" borderId="25" xfId="0" applyFont="1" applyFill="1" applyBorder="1" applyAlignment="1">
      <alignment horizontal="left" vertical="center"/>
    </xf>
    <xf numFmtId="0" fontId="17" fillId="28" borderId="11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3" fontId="7" fillId="8" borderId="7" xfId="0" applyNumberFormat="1" applyFont="1" applyFill="1" applyBorder="1" applyAlignment="1">
      <alignment vertical="center"/>
    </xf>
    <xf numFmtId="3" fontId="7" fillId="23" borderId="35" xfId="0" applyNumberFormat="1" applyFont="1" applyFill="1" applyBorder="1" applyAlignment="1">
      <alignment vertical="center"/>
    </xf>
    <xf numFmtId="3" fontId="24" fillId="6" borderId="27" xfId="4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112" applyFont="1" applyBorder="1" applyAlignment="1">
      <alignment vertical="center"/>
    </xf>
    <xf numFmtId="0" fontId="11" fillId="0" borderId="0" xfId="112" applyFont="1" applyFill="1" applyBorder="1" applyAlignment="1">
      <alignment vertical="center"/>
    </xf>
    <xf numFmtId="0" fontId="20" fillId="2" borderId="5" xfId="112" applyFont="1" applyFill="1" applyBorder="1" applyAlignment="1">
      <alignment horizontal="center" vertical="center"/>
    </xf>
    <xf numFmtId="0" fontId="20" fillId="2" borderId="11" xfId="112" applyFont="1" applyFill="1" applyBorder="1" applyAlignment="1">
      <alignment horizontal="center" vertical="center"/>
    </xf>
    <xf numFmtId="3" fontId="4" fillId="0" borderId="0" xfId="112" applyNumberFormat="1" applyFont="1" applyBorder="1" applyAlignment="1">
      <alignment vertical="center"/>
    </xf>
    <xf numFmtId="0" fontId="4" fillId="0" borderId="0" xfId="112" applyFont="1" applyBorder="1" applyAlignment="1">
      <alignment vertical="center"/>
    </xf>
    <xf numFmtId="0" fontId="27" fillId="55" borderId="25" xfId="112" applyFont="1" applyFill="1" applyBorder="1" applyAlignment="1">
      <alignment horizontal="left" vertical="center"/>
    </xf>
    <xf numFmtId="0" fontId="28" fillId="55" borderId="22" xfId="112" quotePrefix="1" applyFont="1" applyFill="1" applyBorder="1" applyAlignment="1">
      <alignment horizontal="center" vertical="center"/>
    </xf>
    <xf numFmtId="3" fontId="27" fillId="55" borderId="23" xfId="112" quotePrefix="1" applyNumberFormat="1" applyFont="1" applyFill="1" applyBorder="1" applyAlignment="1">
      <alignment horizontal="right" vertical="center"/>
    </xf>
    <xf numFmtId="3" fontId="29" fillId="8" borderId="138" xfId="4" applyNumberFormat="1" applyFont="1" applyFill="1" applyBorder="1" applyAlignment="1">
      <alignment vertical="center" wrapText="1"/>
    </xf>
    <xf numFmtId="3" fontId="29" fillId="8" borderId="124" xfId="4" applyNumberFormat="1" applyFont="1" applyFill="1" applyBorder="1" applyAlignment="1">
      <alignment vertical="center" wrapText="1"/>
    </xf>
    <xf numFmtId="3" fontId="27" fillId="8" borderId="133" xfId="112" applyNumberFormat="1" applyFont="1" applyFill="1" applyBorder="1" applyAlignment="1">
      <alignment vertical="center"/>
    </xf>
    <xf numFmtId="3" fontId="27" fillId="23" borderId="133" xfId="112" applyNumberFormat="1" applyFont="1" applyFill="1" applyBorder="1" applyAlignment="1">
      <alignment vertical="center"/>
    </xf>
    <xf numFmtId="3" fontId="7" fillId="8" borderId="138" xfId="4" applyNumberFormat="1" applyFont="1" applyFill="1" applyBorder="1" applyAlignment="1">
      <alignment vertical="center" wrapText="1"/>
    </xf>
    <xf numFmtId="3" fontId="7" fillId="8" borderId="124" xfId="4" applyNumberFormat="1" applyFont="1" applyFill="1" applyBorder="1" applyAlignment="1">
      <alignment vertical="center" wrapText="1"/>
    </xf>
    <xf numFmtId="3" fontId="7" fillId="8" borderId="133" xfId="112" applyNumberFormat="1" applyFont="1" applyFill="1" applyBorder="1" applyAlignment="1">
      <alignment vertical="center"/>
    </xf>
    <xf numFmtId="0" fontId="29" fillId="8" borderId="138" xfId="4" applyFont="1" applyFill="1" applyBorder="1" applyAlignment="1">
      <alignment vertical="center"/>
    </xf>
    <xf numFmtId="0" fontId="29" fillId="8" borderId="124" xfId="4" applyFont="1" applyFill="1" applyBorder="1" applyAlignment="1">
      <alignment vertical="center"/>
    </xf>
    <xf numFmtId="0" fontId="7" fillId="8" borderId="124" xfId="4" applyFont="1" applyFill="1" applyBorder="1" applyAlignment="1">
      <alignment vertical="center" wrapText="1"/>
    </xf>
    <xf numFmtId="0" fontId="27" fillId="8" borderId="6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/>
    </xf>
    <xf numFmtId="0" fontId="7" fillId="8" borderId="3" xfId="112" applyFont="1" applyFill="1" applyBorder="1" applyAlignment="1">
      <alignment vertical="center"/>
    </xf>
    <xf numFmtId="0" fontId="7" fillId="8" borderId="79" xfId="112" applyFont="1" applyFill="1" applyBorder="1" applyAlignment="1">
      <alignment vertical="center"/>
    </xf>
    <xf numFmtId="3" fontId="7" fillId="8" borderId="79" xfId="112" applyNumberFormat="1" applyFont="1" applyFill="1" applyBorder="1" applyAlignment="1">
      <alignment vertical="center"/>
    </xf>
    <xf numFmtId="3" fontId="7" fillId="23" borderId="70" xfId="112" applyNumberFormat="1" applyFont="1" applyFill="1" applyBorder="1" applyAlignment="1">
      <alignment vertical="center"/>
    </xf>
    <xf numFmtId="3" fontId="29" fillId="2" borderId="138" xfId="4" applyNumberFormat="1" applyFont="1" applyFill="1" applyBorder="1" applyAlignment="1">
      <alignment vertical="center" wrapText="1"/>
    </xf>
    <xf numFmtId="0" fontId="7" fillId="0" borderId="138" xfId="4" applyFont="1" applyFill="1" applyBorder="1" applyAlignment="1">
      <alignment vertical="center"/>
    </xf>
    <xf numFmtId="0" fontId="29" fillId="2" borderId="138" xfId="4" applyFont="1" applyFill="1" applyBorder="1" applyAlignment="1">
      <alignment vertical="center"/>
    </xf>
    <xf numFmtId="0" fontId="31" fillId="0" borderId="139" xfId="4" applyFont="1" applyFill="1" applyBorder="1" applyAlignment="1">
      <alignment vertical="center"/>
    </xf>
    <xf numFmtId="3" fontId="24" fillId="6" borderId="135" xfId="4" applyNumberFormat="1" applyFont="1" applyFill="1" applyBorder="1" applyAlignment="1">
      <alignment vertical="center"/>
    </xf>
    <xf numFmtId="3" fontId="7" fillId="23" borderId="2" xfId="112" applyNumberFormat="1" applyFont="1" applyFill="1" applyBorder="1" applyAlignment="1">
      <alignment vertical="center"/>
    </xf>
    <xf numFmtId="3" fontId="27" fillId="2" borderId="135" xfId="4" applyNumberFormat="1" applyFont="1" applyFill="1" applyBorder="1" applyAlignment="1">
      <alignment vertical="center"/>
    </xf>
    <xf numFmtId="0" fontId="4" fillId="0" borderId="127" xfId="112" applyFont="1" applyBorder="1" applyAlignment="1">
      <alignment vertical="center"/>
    </xf>
    <xf numFmtId="0" fontId="4" fillId="0" borderId="27" xfId="112" applyFont="1" applyBorder="1" applyAlignment="1">
      <alignment vertical="center"/>
    </xf>
    <xf numFmtId="0" fontId="4" fillId="0" borderId="24" xfId="112" applyFont="1" applyBorder="1" applyAlignment="1">
      <alignment vertical="center"/>
    </xf>
    <xf numFmtId="3" fontId="24" fillId="32" borderId="9" xfId="4" applyNumberFormat="1" applyFont="1" applyFill="1" applyBorder="1" applyAlignment="1">
      <alignment vertical="center"/>
    </xf>
    <xf numFmtId="3" fontId="24" fillId="32" borderId="135" xfId="4" applyNumberFormat="1" applyFont="1" applyFill="1" applyBorder="1" applyAlignment="1">
      <alignment vertical="center"/>
    </xf>
    <xf numFmtId="3" fontId="24" fillId="32" borderId="133" xfId="4" applyNumberFormat="1" applyFont="1" applyFill="1" applyBorder="1" applyAlignment="1">
      <alignment vertical="center"/>
    </xf>
    <xf numFmtId="3" fontId="24" fillId="8" borderId="4" xfId="4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39" fillId="0" borderId="0" xfId="0" applyNumberFormat="1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1" fillId="0" borderId="146" xfId="4" applyFont="1" applyFill="1" applyBorder="1" applyAlignment="1">
      <alignment vertical="center"/>
    </xf>
    <xf numFmtId="0" fontId="27" fillId="55" borderId="46" xfId="0" applyFont="1" applyFill="1" applyBorder="1" applyAlignment="1">
      <alignment horizontal="left" vertical="center"/>
    </xf>
    <xf numFmtId="3" fontId="31" fillId="8" borderId="17" xfId="0" applyNumberFormat="1" applyFont="1" applyFill="1" applyBorder="1" applyAlignment="1">
      <alignment vertical="center"/>
    </xf>
    <xf numFmtId="0" fontId="31" fillId="8" borderId="2" xfId="0" applyFont="1" applyFill="1" applyBorder="1" applyAlignment="1">
      <alignment vertical="center"/>
    </xf>
    <xf numFmtId="0" fontId="31" fillId="6" borderId="124" xfId="0" applyFont="1" applyFill="1" applyBorder="1" applyAlignment="1">
      <alignment vertical="center"/>
    </xf>
    <xf numFmtId="0" fontId="18" fillId="0" borderId="0" xfId="112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7" fillId="0" borderId="69" xfId="4" applyFont="1" applyBorder="1" applyAlignment="1">
      <alignment horizontal="center" vertical="center"/>
    </xf>
    <xf numFmtId="0" fontId="0" fillId="0" borderId="66" xfId="0" applyFont="1" applyBorder="1" applyAlignment="1">
      <alignment vertical="center"/>
    </xf>
    <xf numFmtId="3" fontId="18" fillId="8" borderId="67" xfId="4" applyNumberFormat="1" applyFont="1" applyFill="1" applyBorder="1" applyAlignment="1">
      <alignment vertical="center" wrapText="1"/>
    </xf>
    <xf numFmtId="0" fontId="27" fillId="55" borderId="67" xfId="0" applyFont="1" applyFill="1" applyBorder="1" applyAlignment="1">
      <alignment horizontal="left" vertical="center"/>
    </xf>
    <xf numFmtId="0" fontId="28" fillId="55" borderId="6" xfId="0" quotePrefix="1" applyFont="1" applyFill="1" applyBorder="1" applyAlignment="1">
      <alignment horizontal="center" vertical="center"/>
    </xf>
    <xf numFmtId="3" fontId="27" fillId="55" borderId="27" xfId="0" quotePrefix="1" applyNumberFormat="1" applyFont="1" applyFill="1" applyBorder="1" applyAlignment="1">
      <alignment horizontal="right" vertical="center"/>
    </xf>
    <xf numFmtId="3" fontId="24" fillId="6" borderId="70" xfId="4" applyNumberFormat="1" applyFont="1" applyFill="1" applyBorder="1" applyAlignment="1">
      <alignment vertical="center"/>
    </xf>
    <xf numFmtId="3" fontId="24" fillId="22" borderId="70" xfId="4" applyNumberFormat="1" applyFont="1" applyFill="1" applyBorder="1" applyAlignment="1">
      <alignment vertical="center"/>
    </xf>
    <xf numFmtId="3" fontId="39" fillId="0" borderId="0" xfId="0" applyNumberFormat="1" applyFont="1" applyAlignment="1">
      <alignment vertical="center"/>
    </xf>
    <xf numFmtId="3" fontId="30" fillId="8" borderId="43" xfId="4" applyNumberFormat="1" applyFont="1" applyFill="1" applyBorder="1" applyAlignment="1">
      <alignment vertical="center" wrapText="1"/>
    </xf>
    <xf numFmtId="3" fontId="60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7" fillId="8" borderId="20" xfId="4" applyFont="1" applyFill="1" applyBorder="1" applyAlignment="1">
      <alignment vertical="center"/>
    </xf>
    <xf numFmtId="3" fontId="7" fillId="8" borderId="34" xfId="4" applyNumberFormat="1" applyFont="1" applyFill="1" applyBorder="1" applyAlignment="1">
      <alignment vertical="center" wrapText="1"/>
    </xf>
    <xf numFmtId="3" fontId="7" fillId="8" borderId="28" xfId="4" applyNumberFormat="1" applyFont="1" applyFill="1" applyBorder="1" applyAlignment="1">
      <alignment vertical="center" wrapText="1"/>
    </xf>
    <xf numFmtId="0" fontId="18" fillId="8" borderId="43" xfId="4" applyFont="1" applyFill="1" applyBorder="1" applyAlignment="1">
      <alignment vertical="center" wrapText="1"/>
    </xf>
    <xf numFmtId="0" fontId="29" fillId="8" borderId="20" xfId="4" applyFont="1" applyFill="1" applyBorder="1" applyAlignment="1">
      <alignment vertical="center"/>
    </xf>
    <xf numFmtId="0" fontId="30" fillId="8" borderId="43" xfId="4" applyFont="1" applyFill="1" applyBorder="1" applyAlignment="1">
      <alignment vertical="center" wrapText="1"/>
    </xf>
    <xf numFmtId="3" fontId="27" fillId="8" borderId="20" xfId="4" applyNumberFormat="1" applyFont="1" applyFill="1" applyBorder="1" applyAlignment="1">
      <alignment vertical="center" wrapText="1"/>
    </xf>
    <xf numFmtId="0" fontId="27" fillId="8" borderId="28" xfId="4" applyFont="1" applyFill="1" applyBorder="1" applyAlignment="1">
      <alignment vertical="center"/>
    </xf>
    <xf numFmtId="3" fontId="7" fillId="8" borderId="12" xfId="4" applyNumberFormat="1" applyFont="1" applyFill="1" applyBorder="1" applyAlignment="1">
      <alignment vertical="center"/>
    </xf>
    <xf numFmtId="0" fontId="17" fillId="13" borderId="11" xfId="4" applyFont="1" applyFill="1" applyBorder="1" applyAlignment="1">
      <alignment horizontal="center" vertical="center"/>
    </xf>
    <xf numFmtId="0" fontId="24" fillId="13" borderId="6" xfId="4" applyFont="1" applyFill="1" applyBorder="1" applyAlignment="1">
      <alignment vertical="center" wrapText="1"/>
    </xf>
    <xf numFmtId="3" fontId="18" fillId="13" borderId="43" xfId="4" applyNumberFormat="1" applyFont="1" applyFill="1" applyBorder="1" applyAlignment="1">
      <alignment horizontal="center" vertical="center"/>
    </xf>
    <xf numFmtId="3" fontId="7" fillId="13" borderId="34" xfId="4" applyNumberFormat="1" applyFont="1" applyFill="1" applyBorder="1" applyAlignment="1">
      <alignment vertical="center" wrapText="1"/>
    </xf>
    <xf numFmtId="3" fontId="7" fillId="13" borderId="28" xfId="4" applyNumberFormat="1" applyFont="1" applyFill="1" applyBorder="1" applyAlignment="1">
      <alignment vertical="center" wrapText="1"/>
    </xf>
    <xf numFmtId="0" fontId="18" fillId="13" borderId="43" xfId="4" applyFont="1" applyFill="1" applyBorder="1" applyAlignment="1">
      <alignment horizontal="center" vertical="center"/>
    </xf>
    <xf numFmtId="0" fontId="29" fillId="13" borderId="34" xfId="4" applyFont="1" applyFill="1" applyBorder="1" applyAlignment="1">
      <alignment vertical="center"/>
    </xf>
    <xf numFmtId="3" fontId="7" fillId="13" borderId="81" xfId="4" applyNumberFormat="1" applyFont="1" applyFill="1" applyBorder="1" applyAlignment="1">
      <alignment vertical="center" wrapText="1"/>
    </xf>
    <xf numFmtId="3" fontId="27" fillId="13" borderId="20" xfId="4" applyNumberFormat="1" applyFont="1" applyFill="1" applyBorder="1" applyAlignment="1">
      <alignment vertical="center" wrapText="1"/>
    </xf>
    <xf numFmtId="0" fontId="17" fillId="13" borderId="25" xfId="4" applyFont="1" applyFill="1" applyBorder="1" applyAlignment="1">
      <alignment horizontal="center" vertical="center"/>
    </xf>
    <xf numFmtId="3" fontId="18" fillId="13" borderId="41" xfId="4" applyNumberFormat="1" applyFont="1" applyFill="1" applyBorder="1" applyAlignment="1">
      <alignment horizontal="center" vertical="center"/>
    </xf>
    <xf numFmtId="3" fontId="29" fillId="2" borderId="34" xfId="4" applyNumberFormat="1" applyFont="1" applyFill="1" applyBorder="1" applyAlignment="1">
      <alignment vertical="center" wrapText="1"/>
    </xf>
    <xf numFmtId="0" fontId="29" fillId="2" borderId="32" xfId="4" applyFont="1" applyFill="1" applyBorder="1" applyAlignment="1">
      <alignment vertical="center"/>
    </xf>
    <xf numFmtId="3" fontId="29" fillId="2" borderId="29" xfId="4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7" fillId="0" borderId="33" xfId="4" applyFont="1" applyFill="1" applyBorder="1" applyAlignment="1">
      <alignment vertical="center"/>
    </xf>
    <xf numFmtId="3" fontId="25" fillId="8" borderId="4" xfId="4" applyNumberFormat="1" applyFont="1" applyFill="1" applyBorder="1" applyAlignment="1">
      <alignment vertical="center"/>
    </xf>
    <xf numFmtId="3" fontId="31" fillId="0" borderId="72" xfId="4" applyNumberFormat="1" applyFont="1" applyFill="1" applyBorder="1" applyAlignment="1">
      <alignment vertical="center"/>
    </xf>
    <xf numFmtId="0" fontId="31" fillId="0" borderId="81" xfId="4" applyFont="1" applyFill="1" applyBorder="1" applyAlignment="1">
      <alignment vertical="center"/>
    </xf>
    <xf numFmtId="43" fontId="24" fillId="6" borderId="29" xfId="1" applyFont="1" applyFill="1" applyBorder="1" applyAlignment="1">
      <alignment vertical="center"/>
    </xf>
    <xf numFmtId="3" fontId="28" fillId="0" borderId="50" xfId="4" applyNumberFormat="1" applyFont="1" applyFill="1" applyBorder="1" applyAlignment="1">
      <alignment vertical="center"/>
    </xf>
    <xf numFmtId="3" fontId="28" fillId="2" borderId="78" xfId="4" applyNumberFormat="1" applyFont="1" applyFill="1" applyBorder="1" applyAlignment="1">
      <alignment vertical="center"/>
    </xf>
    <xf numFmtId="0" fontId="31" fillId="0" borderId="112" xfId="4" applyFont="1" applyFill="1" applyBorder="1" applyAlignment="1">
      <alignment vertical="center"/>
    </xf>
    <xf numFmtId="3" fontId="0" fillId="2" borderId="0" xfId="0" applyNumberFormat="1" applyFont="1" applyFill="1" applyAlignment="1">
      <alignment vertical="center"/>
    </xf>
    <xf numFmtId="43" fontId="24" fillId="6" borderId="9" xfId="1" applyFont="1" applyFill="1" applyBorder="1" applyAlignment="1">
      <alignment vertical="center"/>
    </xf>
    <xf numFmtId="3" fontId="24" fillId="32" borderId="103" xfId="4" applyNumberFormat="1" applyFont="1" applyFill="1" applyBorder="1" applyAlignment="1">
      <alignment vertical="center"/>
    </xf>
    <xf numFmtId="0" fontId="24" fillId="13" borderId="16" xfId="4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27" fillId="13" borderId="20" xfId="4" applyFont="1" applyFill="1" applyBorder="1" applyAlignment="1">
      <alignment vertical="center"/>
    </xf>
    <xf numFmtId="0" fontId="7" fillId="13" borderId="25" xfId="4" applyFont="1" applyFill="1" applyBorder="1" applyAlignment="1">
      <alignment vertical="center"/>
    </xf>
    <xf numFmtId="0" fontId="7" fillId="13" borderId="22" xfId="4" applyFont="1" applyFill="1" applyBorder="1" applyAlignment="1">
      <alignment vertical="center"/>
    </xf>
    <xf numFmtId="3" fontId="31" fillId="0" borderId="51" xfId="4" applyNumberFormat="1" applyFont="1" applyFill="1" applyBorder="1" applyAlignment="1">
      <alignment vertical="center"/>
    </xf>
    <xf numFmtId="3" fontId="7" fillId="0" borderId="78" xfId="4" applyNumberFormat="1" applyFont="1" applyFill="1" applyBorder="1" applyAlignment="1">
      <alignment horizontal="right" vertical="center"/>
    </xf>
    <xf numFmtId="3" fontId="7" fillId="0" borderId="51" xfId="4" applyNumberFormat="1" applyFont="1" applyFill="1" applyBorder="1" applyAlignment="1">
      <alignment horizontal="right" vertical="center"/>
    </xf>
    <xf numFmtId="0" fontId="31" fillId="0" borderId="113" xfId="4" applyFont="1" applyFill="1" applyBorder="1" applyAlignment="1">
      <alignment vertical="center"/>
    </xf>
    <xf numFmtId="3" fontId="27" fillId="2" borderId="168" xfId="4" applyNumberFormat="1" applyFont="1" applyFill="1" applyBorder="1" applyAlignment="1">
      <alignment vertical="center"/>
    </xf>
    <xf numFmtId="0" fontId="24" fillId="27" borderId="14" xfId="4" applyFont="1" applyFill="1" applyBorder="1" applyAlignment="1">
      <alignment vertical="center" wrapText="1"/>
    </xf>
    <xf numFmtId="0" fontId="7" fillId="27" borderId="4" xfId="4" applyFont="1" applyFill="1" applyBorder="1" applyAlignment="1">
      <alignment vertical="center"/>
    </xf>
    <xf numFmtId="3" fontId="7" fillId="27" borderId="70" xfId="4" applyNumberFormat="1" applyFont="1" applyFill="1" applyBorder="1" applyAlignment="1">
      <alignment vertical="center"/>
    </xf>
    <xf numFmtId="3" fontId="7" fillId="27" borderId="2" xfId="4" applyNumberFormat="1" applyFont="1" applyFill="1" applyBorder="1" applyAlignment="1">
      <alignment vertical="center"/>
    </xf>
    <xf numFmtId="3" fontId="7" fillId="24" borderId="2" xfId="4" applyNumberFormat="1" applyFont="1" applyFill="1" applyBorder="1" applyAlignment="1">
      <alignment vertical="center"/>
    </xf>
    <xf numFmtId="0" fontId="29" fillId="27" borderId="34" xfId="4" applyFont="1" applyFill="1" applyBorder="1" applyAlignment="1">
      <alignment vertical="center" wrapText="1"/>
    </xf>
    <xf numFmtId="3" fontId="29" fillId="27" borderId="28" xfId="4" applyNumberFormat="1" applyFont="1" applyFill="1" applyBorder="1" applyAlignment="1">
      <alignment vertical="center" wrapText="1"/>
    </xf>
    <xf numFmtId="0" fontId="7" fillId="27" borderId="34" xfId="4" applyFont="1" applyFill="1" applyBorder="1" applyAlignment="1">
      <alignment vertical="center" wrapText="1"/>
    </xf>
    <xf numFmtId="0" fontId="7" fillId="27" borderId="28" xfId="4" applyFont="1" applyFill="1" applyBorder="1" applyAlignment="1">
      <alignment vertical="center" wrapText="1"/>
    </xf>
    <xf numFmtId="0" fontId="7" fillId="13" borderId="36" xfId="4" applyFont="1" applyFill="1" applyBorder="1" applyAlignment="1">
      <alignment vertical="center"/>
    </xf>
    <xf numFmtId="0" fontId="7" fillId="13" borderId="20" xfId="4" applyFont="1" applyFill="1" applyBorder="1" applyAlignment="1">
      <alignment vertical="center"/>
    </xf>
    <xf numFmtId="0" fontId="29" fillId="13" borderId="20" xfId="4" applyFont="1" applyFill="1" applyBorder="1" applyAlignment="1">
      <alignment vertical="center"/>
    </xf>
    <xf numFmtId="0" fontId="60" fillId="0" borderId="0" xfId="0" applyFont="1" applyAlignment="1">
      <alignment vertical="center"/>
    </xf>
    <xf numFmtId="3" fontId="27" fillId="13" borderId="32" xfId="4" applyNumberFormat="1" applyFont="1" applyFill="1" applyBorder="1" applyAlignment="1">
      <alignment vertical="center" wrapText="1"/>
    </xf>
    <xf numFmtId="3" fontId="27" fillId="13" borderId="28" xfId="4" applyNumberFormat="1" applyFont="1" applyFill="1" applyBorder="1" applyAlignment="1">
      <alignment vertical="center" wrapText="1"/>
    </xf>
    <xf numFmtId="0" fontId="7" fillId="13" borderId="32" xfId="4" applyFont="1" applyFill="1" applyBorder="1" applyAlignment="1">
      <alignment vertical="center"/>
    </xf>
    <xf numFmtId="0" fontId="29" fillId="13" borderId="36" xfId="4" applyFont="1" applyFill="1" applyBorder="1" applyAlignment="1">
      <alignment vertical="center"/>
    </xf>
    <xf numFmtId="3" fontId="7" fillId="13" borderId="32" xfId="4" applyNumberFormat="1" applyFont="1" applyFill="1" applyBorder="1" applyAlignment="1">
      <alignment vertical="center" wrapText="1"/>
    </xf>
    <xf numFmtId="3" fontId="7" fillId="13" borderId="69" xfId="4" applyNumberFormat="1" applyFont="1" applyFill="1" applyBorder="1" applyAlignment="1">
      <alignment vertical="center" wrapText="1"/>
    </xf>
    <xf numFmtId="3" fontId="18" fillId="27" borderId="41" xfId="4" applyNumberFormat="1" applyFont="1" applyFill="1" applyBorder="1" applyAlignment="1">
      <alignment horizontal="center" vertical="center" wrapText="1"/>
    </xf>
    <xf numFmtId="0" fontId="60" fillId="2" borderId="0" xfId="0" applyFont="1" applyFill="1" applyAlignment="1">
      <alignment vertical="center"/>
    </xf>
    <xf numFmtId="3" fontId="31" fillId="2" borderId="65" xfId="4" applyNumberFormat="1" applyFont="1" applyFill="1" applyBorder="1" applyAlignment="1">
      <alignment vertical="center"/>
    </xf>
    <xf numFmtId="0" fontId="31" fillId="2" borderId="36" xfId="4" applyFont="1" applyFill="1" applyBorder="1" applyAlignment="1">
      <alignment vertical="center"/>
    </xf>
    <xf numFmtId="0" fontId="27" fillId="2" borderId="36" xfId="4" applyFont="1" applyFill="1" applyBorder="1" applyAlignment="1">
      <alignment vertical="center"/>
    </xf>
    <xf numFmtId="3" fontId="27" fillId="2" borderId="71" xfId="4" applyNumberFormat="1" applyFont="1" applyFill="1" applyBorder="1" applyAlignment="1">
      <alignment vertical="center"/>
    </xf>
    <xf numFmtId="0" fontId="7" fillId="27" borderId="14" xfId="4" applyFont="1" applyFill="1" applyBorder="1" applyAlignment="1">
      <alignment vertical="center"/>
    </xf>
    <xf numFmtId="3" fontId="29" fillId="27" borderId="32" xfId="4" applyNumberFormat="1" applyFont="1" applyFill="1" applyBorder="1" applyAlignment="1">
      <alignment vertical="center" wrapText="1"/>
    </xf>
    <xf numFmtId="3" fontId="29" fillId="13" borderId="32" xfId="4" applyNumberFormat="1" applyFont="1" applyFill="1" applyBorder="1" applyAlignment="1">
      <alignment vertical="center" wrapText="1"/>
    </xf>
    <xf numFmtId="0" fontId="27" fillId="13" borderId="21" xfId="4" applyFont="1" applyFill="1" applyBorder="1" applyAlignment="1">
      <alignment vertical="center"/>
    </xf>
    <xf numFmtId="43" fontId="31" fillId="2" borderId="74" xfId="1" applyFont="1" applyFill="1" applyBorder="1" applyAlignment="1">
      <alignment vertical="center"/>
    </xf>
    <xf numFmtId="3" fontId="7" fillId="8" borderId="43" xfId="4" applyNumberFormat="1" applyFont="1" applyFill="1" applyBorder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28" fillId="55" borderId="20" xfId="0" quotePrefix="1" applyFont="1" applyFill="1" applyBorder="1" applyAlignment="1">
      <alignment horizontal="center" vertical="center"/>
    </xf>
    <xf numFmtId="3" fontId="27" fillId="55" borderId="9" xfId="0" quotePrefix="1" applyNumberFormat="1" applyFont="1" applyFill="1" applyBorder="1" applyAlignment="1">
      <alignment horizontal="right" vertical="center"/>
    </xf>
    <xf numFmtId="3" fontId="7" fillId="8" borderId="43" xfId="4" applyNumberFormat="1" applyFont="1" applyFill="1" applyBorder="1" applyAlignment="1">
      <alignment horizontal="center" vertical="center"/>
    </xf>
    <xf numFmtId="3" fontId="29" fillId="8" borderId="34" xfId="4" applyNumberFormat="1" applyFont="1" applyFill="1" applyBorder="1" applyAlignment="1">
      <alignment vertical="center" wrapText="1"/>
    </xf>
    <xf numFmtId="3" fontId="29" fillId="8" borderId="28" xfId="4" applyNumberFormat="1" applyFont="1" applyFill="1" applyBorder="1" applyAlignment="1">
      <alignment vertical="center" wrapText="1"/>
    </xf>
    <xf numFmtId="3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24" fillId="8" borderId="6" xfId="4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32" fillId="0" borderId="3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3" fontId="62" fillId="6" borderId="30" xfId="0" applyNumberFormat="1" applyFont="1" applyFill="1" applyBorder="1" applyAlignment="1">
      <alignment vertical="center" wrapText="1"/>
    </xf>
    <xf numFmtId="3" fontId="65" fillId="8" borderId="29" xfId="0" applyNumberFormat="1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/>
    </xf>
    <xf numFmtId="3" fontId="65" fillId="8" borderId="30" xfId="0" applyNumberFormat="1" applyFont="1" applyFill="1" applyBorder="1" applyAlignment="1">
      <alignment vertical="center" wrapText="1"/>
    </xf>
    <xf numFmtId="3" fontId="31" fillId="0" borderId="167" xfId="4" applyNumberFormat="1" applyFont="1" applyFill="1" applyBorder="1" applyAlignment="1">
      <alignment vertical="center"/>
    </xf>
    <xf numFmtId="3" fontId="29" fillId="55" borderId="27" xfId="4" applyNumberFormat="1" applyFont="1" applyFill="1" applyBorder="1" applyAlignment="1">
      <alignment horizontal="right" vertical="center"/>
    </xf>
    <xf numFmtId="3" fontId="31" fillId="0" borderId="127" xfId="4" applyNumberFormat="1" applyFont="1" applyFill="1" applyBorder="1" applyAlignment="1">
      <alignment vertical="center"/>
    </xf>
    <xf numFmtId="3" fontId="31" fillId="0" borderId="144" xfId="4" applyNumberFormat="1" applyFont="1" applyFill="1" applyBorder="1" applyAlignment="1">
      <alignment vertical="center"/>
    </xf>
    <xf numFmtId="0" fontId="40" fillId="2" borderId="24" xfId="0" applyFont="1" applyFill="1" applyBorder="1" applyAlignment="1"/>
    <xf numFmtId="0" fontId="59" fillId="2" borderId="24" xfId="0" applyFont="1" applyFill="1" applyBorder="1" applyAlignment="1"/>
    <xf numFmtId="3" fontId="31" fillId="0" borderId="127" xfId="4" applyNumberFormat="1" applyFont="1" applyFill="1" applyBorder="1" applyAlignment="1"/>
    <xf numFmtId="0" fontId="17" fillId="32" borderId="12" xfId="4" applyFont="1" applyFill="1" applyBorder="1" applyAlignment="1">
      <alignment horizontal="center" vertical="center" wrapText="1"/>
    </xf>
    <xf numFmtId="3" fontId="29" fillId="55" borderId="17" xfId="4" applyNumberFormat="1" applyFont="1" applyFill="1" applyBorder="1" applyAlignment="1">
      <alignment horizontal="right" vertical="center"/>
    </xf>
    <xf numFmtId="3" fontId="29" fillId="55" borderId="23" xfId="112" quotePrefix="1" applyNumberFormat="1" applyFont="1" applyFill="1" applyBorder="1" applyAlignment="1">
      <alignment horizontal="right" vertical="center"/>
    </xf>
    <xf numFmtId="3" fontId="31" fillId="0" borderId="169" xfId="4" applyNumberFormat="1" applyFont="1" applyFill="1" applyBorder="1" applyAlignment="1">
      <alignment vertical="center"/>
    </xf>
    <xf numFmtId="3" fontId="25" fillId="6" borderId="135" xfId="0" applyNumberFormat="1" applyFont="1" applyFill="1" applyBorder="1" applyAlignment="1">
      <alignment vertical="top"/>
    </xf>
    <xf numFmtId="3" fontId="25" fillId="22" borderId="135" xfId="0" applyNumberFormat="1" applyFont="1" applyFill="1" applyBorder="1" applyAlignment="1">
      <alignment vertical="top"/>
    </xf>
    <xf numFmtId="3" fontId="27" fillId="2" borderId="135" xfId="0" applyNumberFormat="1" applyFont="1" applyFill="1" applyBorder="1" applyAlignment="1">
      <alignment vertical="top"/>
    </xf>
    <xf numFmtId="3" fontId="27" fillId="0" borderId="135" xfId="0" applyNumberFormat="1" applyFont="1" applyFill="1" applyBorder="1" applyAlignment="1">
      <alignment vertical="top"/>
    </xf>
    <xf numFmtId="3" fontId="24" fillId="22" borderId="167" xfId="4" applyNumberFormat="1" applyFont="1" applyFill="1" applyBorder="1" applyAlignment="1">
      <alignment horizontal="right" vertical="center"/>
    </xf>
    <xf numFmtId="0" fontId="24" fillId="6" borderId="167" xfId="4" applyFont="1" applyFill="1" applyBorder="1" applyAlignment="1">
      <alignment horizontal="left" vertical="center"/>
    </xf>
    <xf numFmtId="0" fontId="25" fillId="6" borderId="167" xfId="4" applyFont="1" applyFill="1" applyBorder="1" applyAlignment="1">
      <alignment horizontal="left" vertical="center"/>
    </xf>
    <xf numFmtId="3" fontId="25" fillId="22" borderId="167" xfId="4" applyNumberFormat="1" applyFont="1" applyFill="1" applyBorder="1" applyAlignment="1">
      <alignment horizontal="right" vertical="center"/>
    </xf>
    <xf numFmtId="3" fontId="29" fillId="2" borderId="167" xfId="4" applyNumberFormat="1" applyFont="1" applyFill="1" applyBorder="1" applyAlignment="1">
      <alignment vertical="top" wrapText="1"/>
    </xf>
    <xf numFmtId="0" fontId="7" fillId="0" borderId="167" xfId="4" applyFont="1" applyFill="1" applyBorder="1" applyAlignment="1">
      <alignment vertical="top"/>
    </xf>
    <xf numFmtId="3" fontId="7" fillId="25" borderId="167" xfId="4" applyNumberFormat="1" applyFont="1" applyFill="1" applyBorder="1" applyAlignment="1">
      <alignment horizontal="right" vertical="center"/>
    </xf>
    <xf numFmtId="3" fontId="32" fillId="0" borderId="167" xfId="6" applyNumberFormat="1" applyFont="1" applyFill="1" applyBorder="1" applyAlignment="1">
      <alignment vertical="center"/>
    </xf>
    <xf numFmtId="0" fontId="29" fillId="2" borderId="167" xfId="4" applyFont="1" applyFill="1" applyBorder="1" applyAlignment="1">
      <alignment vertical="top"/>
    </xf>
    <xf numFmtId="3" fontId="33" fillId="0" borderId="167" xfId="6" applyNumberFormat="1" applyFont="1" applyFill="1" applyBorder="1" applyAlignment="1">
      <alignment vertical="center"/>
    </xf>
    <xf numFmtId="3" fontId="33" fillId="25" borderId="167" xfId="6" applyNumberFormat="1" applyFont="1" applyFill="1" applyBorder="1" applyAlignment="1">
      <alignment vertical="center"/>
    </xf>
    <xf numFmtId="3" fontId="24" fillId="6" borderId="167" xfId="4" applyNumberFormat="1" applyFont="1" applyFill="1" applyBorder="1" applyAlignment="1"/>
    <xf numFmtId="3" fontId="31" fillId="0" borderId="167" xfId="0" applyNumberFormat="1" applyFont="1" applyFill="1" applyBorder="1" applyAlignment="1">
      <alignment horizontal="right"/>
    </xf>
    <xf numFmtId="3" fontId="31" fillId="0" borderId="167" xfId="0" applyNumberFormat="1" applyFont="1" applyFill="1" applyBorder="1" applyAlignment="1">
      <alignment horizontal="right" vertical="center"/>
    </xf>
    <xf numFmtId="3" fontId="31" fillId="0" borderId="168" xfId="4" applyNumberFormat="1" applyFont="1" applyFill="1" applyBorder="1" applyAlignment="1">
      <alignment vertical="center"/>
    </xf>
    <xf numFmtId="3" fontId="24" fillId="6" borderId="168" xfId="4" applyNumberFormat="1" applyFont="1" applyFill="1" applyBorder="1" applyAlignment="1">
      <alignment horizontal="right" vertical="center"/>
    </xf>
    <xf numFmtId="3" fontId="27" fillId="13" borderId="173" xfId="4" applyNumberFormat="1" applyFont="1" applyFill="1" applyBorder="1" applyAlignment="1">
      <alignment vertical="center" wrapText="1"/>
    </xf>
    <xf numFmtId="3" fontId="32" fillId="13" borderId="168" xfId="6" applyNumberFormat="1" applyFont="1" applyFill="1" applyBorder="1" applyAlignment="1">
      <alignment vertical="center"/>
    </xf>
    <xf numFmtId="0" fontId="7" fillId="13" borderId="173" xfId="4" applyFont="1" applyFill="1" applyBorder="1" applyAlignment="1">
      <alignment vertical="center"/>
    </xf>
    <xf numFmtId="0" fontId="27" fillId="13" borderId="173" xfId="4" applyFont="1" applyFill="1" applyBorder="1" applyAlignment="1">
      <alignment vertical="center"/>
    </xf>
    <xf numFmtId="0" fontId="27" fillId="13" borderId="172" xfId="4" applyFont="1" applyFill="1" applyBorder="1" applyAlignment="1">
      <alignment vertical="center"/>
    </xf>
    <xf numFmtId="3" fontId="33" fillId="13" borderId="168" xfId="6" applyNumberFormat="1" applyFont="1" applyFill="1" applyBorder="1" applyAlignment="1">
      <alignment vertical="center"/>
    </xf>
    <xf numFmtId="0" fontId="7" fillId="13" borderId="172" xfId="4" applyFont="1" applyFill="1" applyBorder="1" applyAlignment="1">
      <alignment vertical="center"/>
    </xf>
    <xf numFmtId="3" fontId="32" fillId="13" borderId="144" xfId="6" applyNumberFormat="1" applyFont="1" applyFill="1" applyBorder="1" applyAlignment="1">
      <alignment vertical="center"/>
    </xf>
    <xf numFmtId="3" fontId="25" fillId="6" borderId="168" xfId="4" applyNumberFormat="1" applyFont="1" applyFill="1" applyBorder="1" applyAlignment="1">
      <alignment horizontal="right" vertical="center"/>
    </xf>
    <xf numFmtId="0" fontId="7" fillId="0" borderId="173" xfId="4" applyFont="1" applyFill="1" applyBorder="1" applyAlignment="1">
      <alignment vertical="center"/>
    </xf>
    <xf numFmtId="3" fontId="31" fillId="25" borderId="168" xfId="4" applyNumberFormat="1" applyFont="1" applyFill="1" applyBorder="1" applyAlignment="1">
      <alignment horizontal="right" vertical="center"/>
    </xf>
    <xf numFmtId="0" fontId="25" fillId="6" borderId="172" xfId="4" applyFont="1" applyFill="1" applyBorder="1" applyAlignment="1">
      <alignment horizontal="center" vertical="center"/>
    </xf>
    <xf numFmtId="43" fontId="27" fillId="0" borderId="168" xfId="1" applyFont="1" applyFill="1" applyBorder="1" applyAlignment="1">
      <alignment horizontal="right" vertical="center"/>
    </xf>
    <xf numFmtId="43" fontId="7" fillId="0" borderId="168" xfId="1" applyFont="1" applyFill="1" applyBorder="1" applyAlignment="1">
      <alignment horizontal="right" vertical="center"/>
    </xf>
    <xf numFmtId="0" fontId="27" fillId="2" borderId="131" xfId="4" applyFont="1" applyFill="1" applyBorder="1" applyAlignment="1">
      <alignment vertical="center"/>
    </xf>
    <xf numFmtId="43" fontId="33" fillId="0" borderId="168" xfId="1" applyFont="1" applyFill="1" applyBorder="1" applyAlignment="1">
      <alignment vertical="center"/>
    </xf>
    <xf numFmtId="3" fontId="27" fillId="2" borderId="173" xfId="4" applyNumberFormat="1" applyFont="1" applyFill="1" applyBorder="1" applyAlignment="1">
      <alignment vertical="center" wrapText="1"/>
    </xf>
    <xf numFmtId="0" fontId="7" fillId="0" borderId="146" xfId="4" applyFont="1" applyFill="1" applyBorder="1" applyAlignment="1">
      <alignment vertical="center"/>
    </xf>
    <xf numFmtId="0" fontId="31" fillId="0" borderId="131" xfId="4" applyFont="1" applyFill="1" applyBorder="1" applyAlignment="1">
      <alignment vertical="center"/>
    </xf>
    <xf numFmtId="3" fontId="7" fillId="0" borderId="177" xfId="4" applyNumberFormat="1" applyFont="1" applyFill="1" applyBorder="1" applyAlignment="1">
      <alignment horizontal="right" vertical="center"/>
    </xf>
    <xf numFmtId="43" fontId="33" fillId="0" borderId="167" xfId="1" applyFont="1" applyFill="1" applyBorder="1" applyAlignment="1">
      <alignment vertical="center"/>
    </xf>
    <xf numFmtId="43" fontId="7" fillId="0" borderId="127" xfId="1" applyFont="1" applyFill="1" applyBorder="1" applyAlignment="1">
      <alignment horizontal="right" vertical="center"/>
    </xf>
    <xf numFmtId="43" fontId="33" fillId="0" borderId="168" xfId="1" applyFont="1" applyFill="1" applyBorder="1" applyAlignment="1">
      <alignment horizontal="right" vertical="center"/>
    </xf>
    <xf numFmtId="3" fontId="31" fillId="0" borderId="144" xfId="4" applyNumberFormat="1" applyFont="1" applyFill="1" applyBorder="1" applyAlignment="1">
      <alignment horizontal="right" vertical="center"/>
    </xf>
    <xf numFmtId="43" fontId="23" fillId="6" borderId="168" xfId="1" applyFont="1" applyFill="1" applyBorder="1" applyAlignment="1">
      <alignment horizontal="right" vertical="center"/>
    </xf>
    <xf numFmtId="3" fontId="7" fillId="0" borderId="169" xfId="4" applyNumberFormat="1" applyFont="1" applyFill="1" applyBorder="1" applyAlignment="1">
      <alignment horizontal="right" vertical="center"/>
    </xf>
    <xf numFmtId="43" fontId="31" fillId="0" borderId="144" xfId="1" applyFont="1" applyFill="1" applyBorder="1" applyAlignment="1">
      <alignment horizontal="right" vertical="center"/>
    </xf>
    <xf numFmtId="0" fontId="25" fillId="2" borderId="42" xfId="0" applyFont="1" applyFill="1" applyBorder="1" applyAlignment="1">
      <alignment horizontal="center" vertical="top"/>
    </xf>
    <xf numFmtId="3" fontId="27" fillId="2" borderId="176" xfId="4" applyNumberFormat="1" applyFont="1" applyFill="1" applyBorder="1" applyAlignment="1">
      <alignment vertical="center" wrapText="1"/>
    </xf>
    <xf numFmtId="0" fontId="7" fillId="0" borderId="167" xfId="4" applyFont="1" applyFill="1" applyBorder="1" applyAlignment="1">
      <alignment vertical="center"/>
    </xf>
    <xf numFmtId="0" fontId="32" fillId="62" borderId="167" xfId="0" applyFont="1" applyFill="1" applyBorder="1" applyAlignment="1">
      <alignment horizontal="center" vertical="center" wrapText="1"/>
    </xf>
    <xf numFmtId="3" fontId="37" fillId="0" borderId="0" xfId="0" applyNumberFormat="1" applyFont="1" applyAlignment="1">
      <alignment vertical="center"/>
    </xf>
    <xf numFmtId="0" fontId="7" fillId="8" borderId="77" xfId="4" applyFont="1" applyFill="1" applyBorder="1" applyAlignment="1">
      <alignment vertical="top"/>
    </xf>
    <xf numFmtId="3" fontId="25" fillId="8" borderId="35" xfId="4" applyNumberFormat="1" applyFont="1" applyFill="1" applyBorder="1" applyAlignment="1">
      <alignment horizontal="center" vertical="center"/>
    </xf>
    <xf numFmtId="0" fontId="7" fillId="0" borderId="36" xfId="4" applyFont="1" applyFill="1" applyBorder="1" applyAlignment="1">
      <alignment vertical="center"/>
    </xf>
    <xf numFmtId="3" fontId="7" fillId="0" borderId="9" xfId="4" applyNumberFormat="1" applyFont="1" applyFill="1" applyBorder="1" applyAlignment="1">
      <alignment horizontal="right" vertical="center"/>
    </xf>
    <xf numFmtId="0" fontId="25" fillId="6" borderId="173" xfId="4" applyFont="1" applyFill="1" applyBorder="1" applyAlignment="1">
      <alignment horizontal="left" vertical="center"/>
    </xf>
    <xf numFmtId="43" fontId="31" fillId="0" borderId="168" xfId="1" applyFont="1" applyFill="1" applyBorder="1" applyAlignment="1">
      <alignment horizontal="right" vertical="center"/>
    </xf>
    <xf numFmtId="3" fontId="29" fillId="13" borderId="168" xfId="4" applyNumberFormat="1" applyFont="1" applyFill="1" applyBorder="1" applyAlignment="1">
      <alignment horizontal="right" vertical="center"/>
    </xf>
    <xf numFmtId="3" fontId="7" fillId="13" borderId="168" xfId="4" applyNumberFormat="1" applyFont="1" applyFill="1" applyBorder="1" applyAlignment="1">
      <alignment horizontal="right" vertical="center"/>
    </xf>
    <xf numFmtId="0" fontId="29" fillId="13" borderId="173" xfId="4" applyFont="1" applyFill="1" applyBorder="1" applyAlignment="1">
      <alignment vertical="center"/>
    </xf>
    <xf numFmtId="0" fontId="29" fillId="13" borderId="172" xfId="4" applyFont="1" applyFill="1" applyBorder="1" applyAlignment="1">
      <alignment vertical="center"/>
    </xf>
    <xf numFmtId="3" fontId="27" fillId="13" borderId="168" xfId="4" applyNumberFormat="1" applyFont="1" applyFill="1" applyBorder="1" applyAlignment="1">
      <alignment horizontal="right" vertical="center"/>
    </xf>
    <xf numFmtId="0" fontId="27" fillId="13" borderId="131" xfId="4" applyFont="1" applyFill="1" applyBorder="1" applyAlignment="1">
      <alignment vertical="center"/>
    </xf>
    <xf numFmtId="0" fontId="31" fillId="6" borderId="168" xfId="0" applyFont="1" applyFill="1" applyBorder="1" applyAlignment="1">
      <alignment vertical="top"/>
    </xf>
    <xf numFmtId="3" fontId="27" fillId="2" borderId="168" xfId="0" applyNumberFormat="1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25" fillId="2" borderId="20" xfId="0" applyFont="1" applyFill="1" applyBorder="1" applyAlignment="1">
      <alignment vertical="center" wrapText="1"/>
    </xf>
    <xf numFmtId="3" fontId="31" fillId="0" borderId="27" xfId="4" applyNumberFormat="1" applyFont="1" applyFill="1" applyBorder="1" applyAlignment="1">
      <alignment vertical="center"/>
    </xf>
    <xf numFmtId="3" fontId="31" fillId="0" borderId="9" xfId="4" applyNumberFormat="1" applyFont="1" applyFill="1" applyBorder="1" applyAlignment="1">
      <alignment vertical="center"/>
    </xf>
    <xf numFmtId="43" fontId="32" fillId="0" borderId="35" xfId="1" applyFont="1" applyBorder="1"/>
    <xf numFmtId="0" fontId="17" fillId="0" borderId="5" xfId="4" applyFont="1" applyBorder="1" applyAlignment="1">
      <alignment horizontal="center" vertical="center"/>
    </xf>
    <xf numFmtId="0" fontId="17" fillId="0" borderId="66" xfId="4" applyFont="1" applyBorder="1" applyAlignment="1">
      <alignment horizontal="center" vertical="center"/>
    </xf>
    <xf numFmtId="3" fontId="27" fillId="21" borderId="177" xfId="4" applyNumberFormat="1" applyFont="1" applyFill="1" applyBorder="1" applyAlignment="1">
      <alignment horizontal="right" vertical="center"/>
    </xf>
    <xf numFmtId="0" fontId="29" fillId="8" borderId="172" xfId="4" applyFont="1" applyFill="1" applyBorder="1" applyAlignment="1">
      <alignment vertical="center"/>
    </xf>
    <xf numFmtId="3" fontId="29" fillId="8" borderId="168" xfId="4" applyNumberFormat="1" applyFont="1" applyFill="1" applyBorder="1" applyAlignment="1">
      <alignment vertical="center"/>
    </xf>
    <xf numFmtId="3" fontId="29" fillId="23" borderId="167" xfId="4" applyNumberFormat="1" applyFont="1" applyFill="1" applyBorder="1" applyAlignment="1">
      <alignment vertical="center"/>
    </xf>
    <xf numFmtId="3" fontId="7" fillId="8" borderId="168" xfId="4" applyNumberFormat="1" applyFont="1" applyFill="1" applyBorder="1" applyAlignment="1">
      <alignment vertical="center"/>
    </xf>
    <xf numFmtId="3" fontId="31" fillId="23" borderId="167" xfId="4" applyNumberFormat="1" applyFont="1" applyFill="1" applyBorder="1" applyAlignment="1">
      <alignment horizontal="right" vertical="center"/>
    </xf>
    <xf numFmtId="3" fontId="7" fillId="8" borderId="173" xfId="4" applyNumberFormat="1" applyFont="1" applyFill="1" applyBorder="1" applyAlignment="1">
      <alignment vertical="center" wrapText="1"/>
    </xf>
    <xf numFmtId="3" fontId="7" fillId="8" borderId="172" xfId="4" applyNumberFormat="1" applyFont="1" applyFill="1" applyBorder="1" applyAlignment="1">
      <alignment vertical="center" wrapText="1"/>
    </xf>
    <xf numFmtId="3" fontId="27" fillId="23" borderId="167" xfId="4" applyNumberFormat="1" applyFont="1" applyFill="1" applyBorder="1" applyAlignment="1">
      <alignment vertical="center"/>
    </xf>
    <xf numFmtId="0" fontId="7" fillId="8" borderId="173" xfId="4" applyFont="1" applyFill="1" applyBorder="1" applyAlignment="1">
      <alignment vertical="center" wrapText="1"/>
    </xf>
    <xf numFmtId="0" fontId="7" fillId="8" borderId="172" xfId="4" applyFont="1" applyFill="1" applyBorder="1" applyAlignment="1">
      <alignment vertical="center" wrapText="1"/>
    </xf>
    <xf numFmtId="0" fontId="7" fillId="8" borderId="131" xfId="4" applyFont="1" applyFill="1" applyBorder="1" applyAlignment="1">
      <alignment vertical="center" wrapText="1"/>
    </xf>
    <xf numFmtId="3" fontId="27" fillId="8" borderId="131" xfId="4" applyNumberFormat="1" applyFont="1" applyFill="1" applyBorder="1" applyAlignment="1">
      <alignment vertical="center" wrapText="1"/>
    </xf>
    <xf numFmtId="3" fontId="27" fillId="8" borderId="172" xfId="4" applyNumberFormat="1" applyFont="1" applyFill="1" applyBorder="1" applyAlignment="1">
      <alignment vertical="center" wrapText="1"/>
    </xf>
    <xf numFmtId="3" fontId="27" fillId="8" borderId="168" xfId="4" applyNumberFormat="1" applyFont="1" applyFill="1" applyBorder="1" applyAlignment="1">
      <alignment vertical="center"/>
    </xf>
    <xf numFmtId="3" fontId="31" fillId="8" borderId="168" xfId="4" applyNumberFormat="1" applyFont="1" applyFill="1" applyBorder="1" applyAlignment="1">
      <alignment vertical="center"/>
    </xf>
    <xf numFmtId="0" fontId="27" fillId="8" borderId="131" xfId="4" applyFont="1" applyFill="1" applyBorder="1" applyAlignment="1">
      <alignment vertical="center"/>
    </xf>
    <xf numFmtId="0" fontId="27" fillId="8" borderId="172" xfId="4" applyFont="1" applyFill="1" applyBorder="1" applyAlignment="1">
      <alignment vertical="center"/>
    </xf>
    <xf numFmtId="0" fontId="7" fillId="8" borderId="173" xfId="4" applyFont="1" applyFill="1" applyBorder="1" applyAlignment="1">
      <alignment vertical="center"/>
    </xf>
    <xf numFmtId="0" fontId="7" fillId="8" borderId="172" xfId="4" applyFont="1" applyFill="1" applyBorder="1" applyAlignment="1">
      <alignment vertical="center"/>
    </xf>
    <xf numFmtId="3" fontId="7" fillId="8" borderId="167" xfId="4" applyNumberFormat="1" applyFont="1" applyFill="1" applyBorder="1" applyAlignment="1">
      <alignment vertical="center"/>
    </xf>
    <xf numFmtId="3" fontId="29" fillId="13" borderId="173" xfId="4" applyNumberFormat="1" applyFont="1" applyFill="1" applyBorder="1" applyAlignment="1">
      <alignment vertical="center" wrapText="1"/>
    </xf>
    <xf numFmtId="3" fontId="29" fillId="13" borderId="172" xfId="4" applyNumberFormat="1" applyFont="1" applyFill="1" applyBorder="1" applyAlignment="1">
      <alignment vertical="center" wrapText="1"/>
    </xf>
    <xf numFmtId="3" fontId="29" fillId="24" borderId="168" xfId="4" applyNumberFormat="1" applyFont="1" applyFill="1" applyBorder="1" applyAlignment="1">
      <alignment horizontal="right" vertical="center"/>
    </xf>
    <xf numFmtId="3" fontId="7" fillId="13" borderId="173" xfId="4" applyNumberFormat="1" applyFont="1" applyFill="1" applyBorder="1" applyAlignment="1">
      <alignment vertical="center" wrapText="1"/>
    </xf>
    <xf numFmtId="3" fontId="7" fillId="13" borderId="172" xfId="4" applyNumberFormat="1" applyFont="1" applyFill="1" applyBorder="1" applyAlignment="1">
      <alignment vertical="center" wrapText="1"/>
    </xf>
    <xf numFmtId="3" fontId="29" fillId="24" borderId="167" xfId="4" applyNumberFormat="1" applyFont="1" applyFill="1" applyBorder="1" applyAlignment="1">
      <alignment horizontal="right" vertical="center"/>
    </xf>
    <xf numFmtId="3" fontId="7" fillId="13" borderId="139" xfId="4" applyNumberFormat="1" applyFont="1" applyFill="1" applyBorder="1" applyAlignment="1">
      <alignment vertical="center" wrapText="1"/>
    </xf>
    <xf numFmtId="3" fontId="7" fillId="13" borderId="137" xfId="4" applyNumberFormat="1" applyFont="1" applyFill="1" applyBorder="1" applyAlignment="1">
      <alignment vertical="center" wrapText="1"/>
    </xf>
    <xf numFmtId="3" fontId="32" fillId="13" borderId="169" xfId="6" applyNumberFormat="1" applyFont="1" applyFill="1" applyBorder="1" applyAlignment="1">
      <alignment vertical="center"/>
    </xf>
    <xf numFmtId="0" fontId="21" fillId="2" borderId="172" xfId="0" applyFont="1" applyFill="1" applyBorder="1" applyAlignment="1">
      <alignment horizontal="center" vertical="top"/>
    </xf>
    <xf numFmtId="0" fontId="21" fillId="2" borderId="167" xfId="0" applyFont="1" applyFill="1" applyBorder="1" applyAlignment="1">
      <alignment horizontal="center" vertical="top"/>
    </xf>
    <xf numFmtId="0" fontId="21" fillId="2" borderId="167" xfId="0" quotePrefix="1" applyFont="1" applyFill="1" applyBorder="1" applyAlignment="1">
      <alignment horizontal="center" vertical="top"/>
    </xf>
    <xf numFmtId="0" fontId="21" fillId="26" borderId="167" xfId="0" quotePrefix="1" applyFont="1" applyFill="1" applyBorder="1" applyAlignment="1">
      <alignment horizontal="center" vertical="top"/>
    </xf>
    <xf numFmtId="0" fontId="21" fillId="2" borderId="170" xfId="0" quotePrefix="1" applyFont="1" applyFill="1" applyBorder="1" applyAlignment="1">
      <alignment horizontal="center" vertical="top"/>
    </xf>
    <xf numFmtId="0" fontId="27" fillId="55" borderId="167" xfId="4" applyFont="1" applyFill="1" applyBorder="1" applyAlignment="1">
      <alignment horizontal="left" vertical="center"/>
    </xf>
    <xf numFmtId="3" fontId="27" fillId="55" borderId="167" xfId="4" applyNumberFormat="1" applyFont="1" applyFill="1" applyBorder="1" applyAlignment="1">
      <alignment horizontal="right" vertical="center"/>
    </xf>
    <xf numFmtId="3" fontId="27" fillId="21" borderId="167" xfId="4" applyNumberFormat="1" applyFont="1" applyFill="1" applyBorder="1" applyAlignment="1">
      <alignment horizontal="right" vertical="center"/>
    </xf>
    <xf numFmtId="0" fontId="18" fillId="8" borderId="170" xfId="4" applyFont="1" applyFill="1" applyBorder="1" applyAlignment="1">
      <alignment horizontal="center" vertical="top"/>
    </xf>
    <xf numFmtId="0" fontId="27" fillId="55" borderId="167" xfId="0" applyFont="1" applyFill="1" applyBorder="1" applyAlignment="1">
      <alignment horizontal="left" vertical="top"/>
    </xf>
    <xf numFmtId="0" fontId="28" fillId="55" borderId="167" xfId="0" quotePrefix="1" applyFont="1" applyFill="1" applyBorder="1" applyAlignment="1">
      <alignment horizontal="center" vertical="top"/>
    </xf>
    <xf numFmtId="3" fontId="27" fillId="55" borderId="167" xfId="0" quotePrefix="1" applyNumberFormat="1" applyFont="1" applyFill="1" applyBorder="1" applyAlignment="1">
      <alignment horizontal="right" vertical="top"/>
    </xf>
    <xf numFmtId="3" fontId="24" fillId="6" borderId="167" xfId="4" applyNumberFormat="1" applyFont="1" applyFill="1" applyBorder="1" applyAlignment="1">
      <alignment horizontal="right" vertical="center"/>
    </xf>
    <xf numFmtId="3" fontId="18" fillId="8" borderId="170" xfId="4" applyNumberFormat="1" applyFont="1" applyFill="1" applyBorder="1" applyAlignment="1">
      <alignment horizontal="center" vertical="top"/>
    </xf>
    <xf numFmtId="3" fontId="29" fillId="8" borderId="167" xfId="4" applyNumberFormat="1" applyFont="1" applyFill="1" applyBorder="1" applyAlignment="1">
      <alignment vertical="top" wrapText="1"/>
    </xf>
    <xf numFmtId="3" fontId="29" fillId="8" borderId="167" xfId="4" applyNumberFormat="1" applyFont="1" applyFill="1" applyBorder="1" applyAlignment="1">
      <alignment horizontal="right" vertical="center"/>
    </xf>
    <xf numFmtId="3" fontId="29" fillId="23" borderId="167" xfId="4" applyNumberFormat="1" applyFont="1" applyFill="1" applyBorder="1" applyAlignment="1">
      <alignment horizontal="right" vertical="center"/>
    </xf>
    <xf numFmtId="3" fontId="7" fillId="8" borderId="167" xfId="4" applyNumberFormat="1" applyFont="1" applyFill="1" applyBorder="1" applyAlignment="1">
      <alignment vertical="top" wrapText="1"/>
    </xf>
    <xf numFmtId="3" fontId="32" fillId="8" borderId="167" xfId="0" applyNumberFormat="1" applyFont="1" applyFill="1" applyBorder="1"/>
    <xf numFmtId="3" fontId="28" fillId="23" borderId="167" xfId="4" applyNumberFormat="1" applyFont="1" applyFill="1" applyBorder="1" applyAlignment="1">
      <alignment horizontal="right" vertical="center"/>
    </xf>
    <xf numFmtId="0" fontId="29" fillId="8" borderId="167" xfId="4" applyFont="1" applyFill="1" applyBorder="1" applyAlignment="1">
      <alignment vertical="top"/>
    </xf>
    <xf numFmtId="0" fontId="7" fillId="8" borderId="176" xfId="4" applyFont="1" applyFill="1" applyBorder="1" applyAlignment="1">
      <alignment vertical="top" wrapText="1"/>
    </xf>
    <xf numFmtId="3" fontId="7" fillId="8" borderId="171" xfId="4" applyNumberFormat="1" applyFont="1" applyFill="1" applyBorder="1" applyAlignment="1">
      <alignment vertical="top" wrapText="1"/>
    </xf>
    <xf numFmtId="3" fontId="32" fillId="8" borderId="167" xfId="6" applyNumberFormat="1" applyFont="1" applyFill="1" applyBorder="1" applyAlignment="1">
      <alignment vertical="center"/>
    </xf>
    <xf numFmtId="0" fontId="25" fillId="6" borderId="171" xfId="4" applyFont="1" applyFill="1" applyBorder="1" applyAlignment="1">
      <alignment horizontal="left" vertical="center"/>
    </xf>
    <xf numFmtId="3" fontId="29" fillId="8" borderId="171" xfId="4" applyNumberFormat="1" applyFont="1" applyFill="1" applyBorder="1" applyAlignment="1">
      <alignment vertical="top" wrapText="1"/>
    </xf>
    <xf numFmtId="3" fontId="27" fillId="8" borderId="167" xfId="4" applyNumberFormat="1" applyFont="1" applyFill="1" applyBorder="1" applyAlignment="1">
      <alignment vertical="top" wrapText="1"/>
    </xf>
    <xf numFmtId="3" fontId="33" fillId="8" borderId="167" xfId="6" applyNumberFormat="1" applyFont="1" applyFill="1" applyBorder="1" applyAlignment="1">
      <alignment vertical="center"/>
    </xf>
    <xf numFmtId="0" fontId="7" fillId="8" borderId="171" xfId="4" applyFont="1" applyFill="1" applyBorder="1" applyAlignment="1">
      <alignment vertical="top" wrapText="1"/>
    </xf>
    <xf numFmtId="0" fontId="7" fillId="8" borderId="167" xfId="4" applyFont="1" applyFill="1" applyBorder="1" applyAlignment="1">
      <alignment horizontal="left" vertical="center"/>
    </xf>
    <xf numFmtId="0" fontId="27" fillId="8" borderId="171" xfId="4" applyFont="1" applyFill="1" applyBorder="1" applyAlignment="1">
      <alignment vertical="center"/>
    </xf>
    <xf numFmtId="0" fontId="27" fillId="8" borderId="167" xfId="4" applyFont="1" applyFill="1" applyBorder="1" applyAlignment="1">
      <alignment vertical="center"/>
    </xf>
    <xf numFmtId="0" fontId="18" fillId="8" borderId="170" xfId="4" applyFont="1" applyFill="1" applyBorder="1" applyAlignment="1">
      <alignment horizontal="center" vertical="center"/>
    </xf>
    <xf numFmtId="3" fontId="27" fillId="23" borderId="167" xfId="4" applyNumberFormat="1" applyFont="1" applyFill="1" applyBorder="1" applyAlignment="1">
      <alignment horizontal="right" vertical="center"/>
    </xf>
    <xf numFmtId="3" fontId="33" fillId="23" borderId="167" xfId="6" applyNumberFormat="1" applyFont="1" applyFill="1" applyBorder="1" applyAlignment="1">
      <alignment vertical="center"/>
    </xf>
    <xf numFmtId="0" fontId="34" fillId="0" borderId="51" xfId="0" applyFont="1" applyFill="1" applyBorder="1" applyAlignment="1">
      <alignment vertical="top"/>
    </xf>
    <xf numFmtId="3" fontId="27" fillId="8" borderId="167" xfId="0" applyNumberFormat="1" applyFont="1" applyFill="1" applyBorder="1" applyAlignment="1">
      <alignment vertical="center"/>
    </xf>
    <xf numFmtId="3" fontId="31" fillId="28" borderId="167" xfId="0" applyNumberFormat="1" applyFont="1" applyFill="1" applyBorder="1" applyAlignment="1">
      <alignment vertical="center"/>
    </xf>
    <xf numFmtId="0" fontId="69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11" fillId="0" borderId="0" xfId="0" applyFont="1" applyFill="1" applyAlignment="1"/>
    <xf numFmtId="0" fontId="0" fillId="0" borderId="0" xfId="0" applyFont="1"/>
    <xf numFmtId="0" fontId="13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71" fillId="2" borderId="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/>
    </xf>
    <xf numFmtId="3" fontId="8" fillId="0" borderId="0" xfId="0" applyNumberFormat="1" applyFont="1" applyBorder="1"/>
    <xf numFmtId="0" fontId="19" fillId="2" borderId="6" xfId="0" applyFont="1" applyFill="1" applyBorder="1" applyAlignment="1">
      <alignment horizontal="center"/>
    </xf>
    <xf numFmtId="0" fontId="36" fillId="0" borderId="13" xfId="4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3" fontId="8" fillId="0" borderId="0" xfId="0" applyNumberFormat="1" applyFont="1"/>
    <xf numFmtId="0" fontId="7" fillId="0" borderId="14" xfId="0" applyFont="1" applyBorder="1" applyAlignment="1">
      <alignment horizontal="center"/>
    </xf>
    <xf numFmtId="3" fontId="7" fillId="0" borderId="15" xfId="0" quotePrefix="1" applyNumberFormat="1" applyFont="1" applyBorder="1" applyAlignment="1">
      <alignment horizontal="center"/>
    </xf>
    <xf numFmtId="3" fontId="7" fillId="0" borderId="2" xfId="0" quotePrefix="1" applyNumberFormat="1" applyFont="1" applyBorder="1" applyAlignment="1">
      <alignment horizontal="center"/>
    </xf>
    <xf numFmtId="3" fontId="7" fillId="0" borderId="39" xfId="0" quotePrefix="1" applyNumberFormat="1" applyFont="1" applyBorder="1" applyAlignment="1">
      <alignment horizontal="center"/>
    </xf>
    <xf numFmtId="3" fontId="7" fillId="0" borderId="50" xfId="0" quotePrefix="1" applyNumberFormat="1" applyFont="1" applyBorder="1" applyAlignment="1">
      <alignment horizontal="center"/>
    </xf>
    <xf numFmtId="3" fontId="7" fillId="0" borderId="4" xfId="0" quotePrefix="1" applyNumberFormat="1" applyFont="1" applyBorder="1" applyAlignment="1">
      <alignment horizontal="center"/>
    </xf>
    <xf numFmtId="0" fontId="7" fillId="3" borderId="5" xfId="0" quotePrefix="1" applyFont="1" applyFill="1" applyBorder="1" applyAlignment="1">
      <alignment horizontal="center"/>
    </xf>
    <xf numFmtId="0" fontId="66" fillId="4" borderId="16" xfId="4" applyFont="1" applyFill="1" applyBorder="1" applyAlignment="1">
      <alignment horizontal="left" vertical="center"/>
    </xf>
    <xf numFmtId="3" fontId="66" fillId="4" borderId="17" xfId="0" applyNumberFormat="1" applyFont="1" applyFill="1" applyBorder="1" applyAlignment="1">
      <alignment horizontal="right" vertical="center" wrapText="1"/>
    </xf>
    <xf numFmtId="3" fontId="66" fillId="5" borderId="19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36" fillId="4" borderId="20" xfId="0" applyFont="1" applyFill="1" applyBorder="1" applyAlignment="1">
      <alignment horizontal="left" vertical="center"/>
    </xf>
    <xf numFmtId="3" fontId="36" fillId="4" borderId="9" xfId="0" quotePrefix="1" applyNumberFormat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vertical="center" wrapText="1"/>
    </xf>
    <xf numFmtId="0" fontId="36" fillId="4" borderId="22" xfId="0" applyFont="1" applyFill="1" applyBorder="1" applyAlignment="1">
      <alignment horizontal="left" vertical="center"/>
    </xf>
    <xf numFmtId="3" fontId="36" fillId="4" borderId="23" xfId="0" quotePrefix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66" fillId="6" borderId="28" xfId="4" applyFont="1" applyFill="1" applyBorder="1" applyAlignment="1">
      <alignment horizontal="left" vertical="center"/>
    </xf>
    <xf numFmtId="3" fontId="66" fillId="6" borderId="30" xfId="0" applyNumberFormat="1" applyFont="1" applyFill="1" applyBorder="1" applyAlignment="1">
      <alignment horizontal="right" vertical="center" wrapText="1"/>
    </xf>
    <xf numFmtId="0" fontId="72" fillId="0" borderId="0" xfId="0" applyFont="1" applyFill="1" applyBorder="1" applyAlignment="1">
      <alignment vertical="center"/>
    </xf>
    <xf numFmtId="0" fontId="64" fillId="8" borderId="20" xfId="4" applyFont="1" applyFill="1" applyBorder="1" applyAlignment="1">
      <alignment vertical="center"/>
    </xf>
    <xf numFmtId="3" fontId="64" fillId="8" borderId="9" xfId="0" applyNumberFormat="1" applyFont="1" applyFill="1" applyBorder="1" applyAlignment="1">
      <alignment horizontal="right" vertical="center" wrapText="1"/>
    </xf>
    <xf numFmtId="3" fontId="64" fillId="9" borderId="2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/>
    <xf numFmtId="0" fontId="8" fillId="0" borderId="20" xfId="0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vertical="center" wrapText="1"/>
    </xf>
    <xf numFmtId="43" fontId="8" fillId="0" borderId="9" xfId="1" applyFont="1" applyFill="1" applyBorder="1" applyAlignment="1">
      <alignment vertical="center" wrapText="1"/>
    </xf>
    <xf numFmtId="43" fontId="8" fillId="0" borderId="29" xfId="1" applyFont="1" applyFill="1" applyBorder="1" applyAlignment="1">
      <alignment vertical="center" wrapText="1"/>
    </xf>
    <xf numFmtId="3" fontId="8" fillId="0" borderId="30" xfId="0" applyNumberFormat="1" applyFont="1" applyFill="1" applyBorder="1" applyAlignment="1">
      <alignment vertical="center" wrapText="1"/>
    </xf>
    <xf numFmtId="43" fontId="8" fillId="0" borderId="27" xfId="1" applyFont="1" applyFill="1" applyBorder="1" applyAlignment="1">
      <alignment vertical="center" wrapText="1"/>
    </xf>
    <xf numFmtId="3" fontId="8" fillId="0" borderId="27" xfId="0" applyNumberFormat="1" applyFont="1" applyFill="1" applyBorder="1" applyAlignment="1">
      <alignment vertical="center" wrapText="1"/>
    </xf>
    <xf numFmtId="3" fontId="8" fillId="0" borderId="102" xfId="0" applyNumberFormat="1" applyFont="1" applyFill="1" applyBorder="1" applyAlignment="1">
      <alignment vertical="center" wrapText="1"/>
    </xf>
    <xf numFmtId="3" fontId="8" fillId="0" borderId="103" xfId="0" applyNumberFormat="1" applyFont="1" applyFill="1" applyBorder="1" applyAlignment="1">
      <alignment vertical="center" wrapText="1"/>
    </xf>
    <xf numFmtId="0" fontId="72" fillId="0" borderId="0" xfId="0" applyFont="1" applyFill="1" applyBorder="1" applyAlignment="1"/>
    <xf numFmtId="43" fontId="6" fillId="2" borderId="9" xfId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 wrapText="1"/>
    </xf>
    <xf numFmtId="3" fontId="7" fillId="0" borderId="13" xfId="0" applyNumberFormat="1" applyFont="1" applyFill="1" applyBorder="1" applyAlignment="1">
      <alignment vertical="center" wrapText="1"/>
    </xf>
    <xf numFmtId="3" fontId="7" fillId="0" borderId="27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68" fillId="57" borderId="38" xfId="0" applyFont="1" applyFill="1" applyBorder="1" applyAlignment="1">
      <alignment vertical="center"/>
    </xf>
    <xf numFmtId="3" fontId="62" fillId="57" borderId="39" xfId="0" applyNumberFormat="1" applyFont="1" applyFill="1" applyBorder="1" applyAlignment="1">
      <alignment vertical="center" wrapText="1"/>
    </xf>
    <xf numFmtId="3" fontId="62" fillId="57" borderId="40" xfId="0" applyNumberFormat="1" applyFont="1" applyFill="1" applyBorder="1" applyAlignment="1">
      <alignment vertical="center" wrapText="1"/>
    </xf>
    <xf numFmtId="3" fontId="72" fillId="0" borderId="0" xfId="0" applyNumberFormat="1" applyFont="1" applyFill="1" applyAlignment="1">
      <alignment vertical="center"/>
    </xf>
    <xf numFmtId="3" fontId="72" fillId="0" borderId="0" xfId="0" applyNumberFormat="1" applyFont="1" applyFill="1" applyBorder="1" applyAlignment="1">
      <alignment vertical="center"/>
    </xf>
    <xf numFmtId="3" fontId="62" fillId="57" borderId="12" xfId="0" applyNumberFormat="1" applyFont="1" applyFill="1" applyBorder="1" applyAlignment="1">
      <alignment vertical="center" wrapText="1"/>
    </xf>
    <xf numFmtId="3" fontId="62" fillId="57" borderId="4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40" fillId="2" borderId="0" xfId="0" applyFont="1" applyFill="1" applyBorder="1" applyAlignment="1">
      <alignment horizontal="center" vertical="center"/>
    </xf>
    <xf numFmtId="0" fontId="36" fillId="4" borderId="22" xfId="0" applyFont="1" applyFill="1" applyBorder="1" applyAlignment="1">
      <alignment horizontal="left"/>
    </xf>
    <xf numFmtId="3" fontId="36" fillId="4" borderId="47" xfId="0" quotePrefix="1" applyNumberFormat="1" applyFont="1" applyFill="1" applyBorder="1" applyAlignment="1">
      <alignment horizontal="right"/>
    </xf>
    <xf numFmtId="3" fontId="65" fillId="8" borderId="35" xfId="0" applyNumberFormat="1" applyFont="1" applyFill="1" applyBorder="1" applyAlignment="1">
      <alignment horizontal="right" vertical="center" wrapText="1"/>
    </xf>
    <xf numFmtId="0" fontId="8" fillId="0" borderId="28" xfId="0" applyFont="1" applyFill="1" applyBorder="1" applyAlignment="1">
      <alignment vertical="center"/>
    </xf>
    <xf numFmtId="43" fontId="8" fillId="2" borderId="9" xfId="1" applyFont="1" applyFill="1" applyBorder="1" applyAlignment="1">
      <alignment vertical="center" wrapText="1"/>
    </xf>
    <xf numFmtId="43" fontId="65" fillId="8" borderId="29" xfId="1" applyFont="1" applyFill="1" applyBorder="1" applyAlignment="1">
      <alignment vertical="center" wrapText="1"/>
    </xf>
    <xf numFmtId="43" fontId="65" fillId="8" borderId="30" xfId="1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43" fontId="8" fillId="0" borderId="47" xfId="1" applyFont="1" applyFill="1" applyBorder="1" applyAlignment="1">
      <alignment vertical="center" wrapText="1"/>
    </xf>
    <xf numFmtId="3" fontId="8" fillId="0" borderId="47" xfId="0" applyNumberFormat="1" applyFont="1" applyFill="1" applyBorder="1" applyAlignment="1">
      <alignment vertical="center" wrapText="1"/>
    </xf>
    <xf numFmtId="0" fontId="68" fillId="4" borderId="38" xfId="0" applyFont="1" applyFill="1" applyBorder="1" applyAlignment="1">
      <alignment vertical="center"/>
    </xf>
    <xf numFmtId="3" fontId="62" fillId="4" borderId="39" xfId="0" applyNumberFormat="1" applyFont="1" applyFill="1" applyBorder="1" applyAlignment="1">
      <alignment vertical="center" wrapText="1"/>
    </xf>
    <xf numFmtId="3" fontId="62" fillId="4" borderId="50" xfId="0" applyNumberFormat="1" applyFont="1" applyFill="1" applyBorder="1" applyAlignment="1">
      <alignment vertical="center" wrapText="1"/>
    </xf>
    <xf numFmtId="3" fontId="62" fillId="4" borderId="51" xfId="0" applyNumberFormat="1" applyFont="1" applyFill="1" applyBorder="1" applyAlignment="1">
      <alignment vertical="center" wrapText="1"/>
    </xf>
    <xf numFmtId="3" fontId="62" fillId="4" borderId="52" xfId="0" applyNumberFormat="1" applyFont="1" applyFill="1" applyBorder="1" applyAlignment="1">
      <alignment vertical="center" wrapText="1"/>
    </xf>
    <xf numFmtId="3" fontId="62" fillId="4" borderId="12" xfId="0" applyNumberFormat="1" applyFont="1" applyFill="1" applyBorder="1" applyAlignment="1">
      <alignment vertical="center" wrapText="1"/>
    </xf>
    <xf numFmtId="3" fontId="62" fillId="4" borderId="23" xfId="0" applyNumberFormat="1" applyFont="1" applyFill="1" applyBorder="1" applyAlignment="1">
      <alignment vertical="center" wrapText="1"/>
    </xf>
    <xf numFmtId="3" fontId="62" fillId="4" borderId="25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3" fontId="62" fillId="2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Alignment="1">
      <alignment vertical="center"/>
    </xf>
    <xf numFmtId="0" fontId="72" fillId="2" borderId="0" xfId="0" applyFont="1" applyFill="1" applyBorder="1" applyAlignment="1">
      <alignment vertical="center"/>
    </xf>
    <xf numFmtId="0" fontId="66" fillId="13" borderId="53" xfId="4" applyFont="1" applyFill="1" applyBorder="1" applyAlignment="1">
      <alignment horizontal="left" vertical="center"/>
    </xf>
    <xf numFmtId="3" fontId="62" fillId="13" borderId="54" xfId="0" applyNumberFormat="1" applyFont="1" applyFill="1" applyBorder="1" applyAlignment="1">
      <alignment vertical="center" wrapText="1"/>
    </xf>
    <xf numFmtId="3" fontId="62" fillId="13" borderId="55" xfId="0" applyNumberFormat="1" applyFont="1" applyFill="1" applyBorder="1" applyAlignment="1">
      <alignment vertical="center" wrapText="1"/>
    </xf>
    <xf numFmtId="3" fontId="62" fillId="13" borderId="56" xfId="0" applyNumberFormat="1" applyFont="1" applyFill="1" applyBorder="1" applyAlignment="1">
      <alignment vertical="center" wrapText="1"/>
    </xf>
    <xf numFmtId="0" fontId="60" fillId="13" borderId="20" xfId="0" applyFont="1" applyFill="1" applyBorder="1" applyAlignment="1">
      <alignment vertical="center"/>
    </xf>
    <xf numFmtId="3" fontId="73" fillId="13" borderId="35" xfId="0" applyNumberFormat="1" applyFont="1" applyFill="1" applyBorder="1" applyAlignment="1">
      <alignment vertical="center" wrapText="1"/>
    </xf>
    <xf numFmtId="3" fontId="73" fillId="13" borderId="7" xfId="0" applyNumberFormat="1" applyFont="1" applyFill="1" applyBorder="1" applyAlignment="1">
      <alignment vertical="center" wrapText="1"/>
    </xf>
    <xf numFmtId="3" fontId="73" fillId="13" borderId="21" xfId="0" applyNumberFormat="1" applyFont="1" applyFill="1" applyBorder="1" applyAlignment="1">
      <alignment vertical="center" wrapText="1"/>
    </xf>
    <xf numFmtId="0" fontId="66" fillId="13" borderId="57" xfId="4" applyFont="1" applyFill="1" applyBorder="1" applyAlignment="1">
      <alignment horizontal="left" vertical="center"/>
    </xf>
    <xf numFmtId="3" fontId="62" fillId="13" borderId="58" xfId="0" applyNumberFormat="1" applyFont="1" applyFill="1" applyBorder="1" applyAlignment="1">
      <alignment vertical="center" wrapText="1"/>
    </xf>
    <xf numFmtId="3" fontId="62" fillId="13" borderId="59" xfId="0" applyNumberFormat="1" applyFont="1" applyFill="1" applyBorder="1" applyAlignment="1">
      <alignment horizontal="center" vertical="center" wrapText="1"/>
    </xf>
    <xf numFmtId="3" fontId="62" fillId="13" borderId="60" xfId="0" applyNumberFormat="1" applyFont="1" applyFill="1" applyBorder="1" applyAlignment="1">
      <alignment horizontal="center" vertical="center" wrapText="1"/>
    </xf>
    <xf numFmtId="3" fontId="72" fillId="2" borderId="0" xfId="0" applyNumberFormat="1" applyFont="1" applyFill="1" applyBorder="1" applyAlignment="1">
      <alignment vertical="center"/>
    </xf>
    <xf numFmtId="0" fontId="60" fillId="13" borderId="37" xfId="0" applyFont="1" applyFill="1" applyBorder="1" applyAlignment="1">
      <alignment vertical="center"/>
    </xf>
    <xf numFmtId="3" fontId="73" fillId="13" borderId="47" xfId="0" applyNumberFormat="1" applyFont="1" applyFill="1" applyBorder="1" applyAlignment="1">
      <alignment vertical="center" wrapText="1"/>
    </xf>
    <xf numFmtId="3" fontId="62" fillId="13" borderId="77" xfId="0" applyNumberFormat="1" applyFont="1" applyFill="1" applyBorder="1" applyAlignment="1">
      <alignment horizontal="center" vertical="center" wrapText="1"/>
    </xf>
    <xf numFmtId="0" fontId="74" fillId="13" borderId="0" xfId="4" applyFont="1" applyFill="1" applyBorder="1" applyAlignment="1">
      <alignment horizontal="center" vertical="center"/>
    </xf>
    <xf numFmtId="3" fontId="62" fillId="13" borderId="0" xfId="0" applyNumberFormat="1" applyFont="1" applyFill="1" applyBorder="1" applyAlignment="1">
      <alignment vertical="center" wrapText="1"/>
    </xf>
    <xf numFmtId="0" fontId="66" fillId="13" borderId="0" xfId="4" applyFont="1" applyFill="1" applyBorder="1" applyAlignment="1">
      <alignment horizontal="left" vertical="center"/>
    </xf>
    <xf numFmtId="0" fontId="66" fillId="0" borderId="0" xfId="4" applyFont="1" applyFill="1" applyBorder="1" applyAlignment="1">
      <alignment horizontal="left" vertical="center"/>
    </xf>
    <xf numFmtId="3" fontId="62" fillId="0" borderId="0" xfId="0" applyNumberFormat="1" applyFont="1" applyFill="1" applyBorder="1" applyAlignment="1">
      <alignment vertical="center" wrapText="1"/>
    </xf>
    <xf numFmtId="0" fontId="66" fillId="0" borderId="53" xfId="4" applyFont="1" applyFill="1" applyBorder="1" applyAlignment="1">
      <alignment horizontal="left" vertical="center"/>
    </xf>
    <xf numFmtId="3" fontId="62" fillId="0" borderId="54" xfId="0" applyNumberFormat="1" applyFont="1" applyFill="1" applyBorder="1" applyAlignment="1">
      <alignment vertical="center" wrapText="1"/>
    </xf>
    <xf numFmtId="3" fontId="62" fillId="0" borderId="55" xfId="0" applyNumberFormat="1" applyFont="1" applyFill="1" applyBorder="1" applyAlignment="1">
      <alignment vertical="center" wrapText="1"/>
    </xf>
    <xf numFmtId="0" fontId="39" fillId="0" borderId="20" xfId="0" applyFont="1" applyFill="1" applyBorder="1" applyAlignment="1">
      <alignment vertical="center"/>
    </xf>
    <xf numFmtId="3" fontId="75" fillId="0" borderId="35" xfId="0" applyNumberFormat="1" applyFont="1" applyFill="1" applyBorder="1" applyAlignment="1">
      <alignment vertical="center" wrapText="1"/>
    </xf>
    <xf numFmtId="3" fontId="73" fillId="0" borderId="7" xfId="0" applyNumberFormat="1" applyFont="1" applyFill="1" applyBorder="1" applyAlignment="1">
      <alignment vertical="center" wrapText="1"/>
    </xf>
    <xf numFmtId="0" fontId="66" fillId="13" borderId="61" xfId="4" applyFont="1" applyFill="1" applyBorder="1" applyAlignment="1">
      <alignment horizontal="left" vertical="center"/>
    </xf>
    <xf numFmtId="3" fontId="62" fillId="13" borderId="61" xfId="0" applyNumberFormat="1" applyFont="1" applyFill="1" applyBorder="1" applyAlignment="1">
      <alignment vertical="center" wrapText="1"/>
    </xf>
    <xf numFmtId="0" fontId="65" fillId="0" borderId="71" xfId="0" applyFont="1" applyBorder="1" applyAlignment="1">
      <alignment horizontal="center" vertical="center"/>
    </xf>
    <xf numFmtId="0" fontId="65" fillId="0" borderId="132" xfId="0" applyFont="1" applyBorder="1" applyAlignment="1">
      <alignment horizontal="center" vertical="center"/>
    </xf>
    <xf numFmtId="0" fontId="65" fillId="0" borderId="63" xfId="0" applyFont="1" applyBorder="1" applyAlignment="1">
      <alignment horizontal="center" vertical="center"/>
    </xf>
    <xf numFmtId="0" fontId="65" fillId="0" borderId="63" xfId="0" applyFont="1" applyBorder="1" applyAlignment="1">
      <alignment horizontal="center"/>
    </xf>
    <xf numFmtId="3" fontId="62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3" fontId="19" fillId="2" borderId="3" xfId="0" applyNumberFormat="1" applyFont="1" applyFill="1" applyBorder="1" applyAlignment="1">
      <alignment vertical="center" wrapText="1"/>
    </xf>
    <xf numFmtId="3" fontId="19" fillId="14" borderId="3" xfId="0" applyNumberFormat="1" applyFont="1" applyFill="1" applyBorder="1" applyAlignment="1">
      <alignment vertical="center" wrapText="1"/>
    </xf>
    <xf numFmtId="3" fontId="19" fillId="2" borderId="66" xfId="0" applyNumberFormat="1" applyFont="1" applyFill="1" applyBorder="1" applyAlignment="1">
      <alignment vertical="center" wrapText="1"/>
    </xf>
    <xf numFmtId="3" fontId="24" fillId="2" borderId="0" xfId="0" applyNumberFormat="1" applyFont="1" applyFill="1" applyBorder="1" applyAlignment="1">
      <alignment vertical="center" wrapText="1"/>
    </xf>
    <xf numFmtId="3" fontId="24" fillId="14" borderId="0" xfId="0" applyNumberFormat="1" applyFont="1" applyFill="1" applyBorder="1" applyAlignment="1">
      <alignment vertical="center" wrapText="1"/>
    </xf>
    <xf numFmtId="3" fontId="24" fillId="2" borderId="67" xfId="0" applyNumberFormat="1" applyFont="1" applyFill="1" applyBorder="1" applyAlignment="1">
      <alignment vertical="center" wrapText="1"/>
    </xf>
    <xf numFmtId="3" fontId="24" fillId="2" borderId="24" xfId="0" applyNumberFormat="1" applyFont="1" applyFill="1" applyBorder="1" applyAlignment="1">
      <alignment vertical="center" wrapText="1"/>
    </xf>
    <xf numFmtId="3" fontId="24" fillId="14" borderId="24" xfId="0" applyNumberFormat="1" applyFont="1" applyFill="1" applyBorder="1" applyAlignment="1">
      <alignment vertical="center" wrapText="1"/>
    </xf>
    <xf numFmtId="3" fontId="24" fillId="2" borderId="69" xfId="0" applyNumberFormat="1" applyFont="1" applyFill="1" applyBorder="1" applyAlignment="1">
      <alignment vertical="center" wrapText="1"/>
    </xf>
    <xf numFmtId="3" fontId="25" fillId="0" borderId="0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Border="1" applyAlignment="1">
      <alignment vertical="center" wrapText="1"/>
    </xf>
    <xf numFmtId="0" fontId="8" fillId="15" borderId="15" xfId="0" applyFont="1" applyFill="1" applyBorder="1"/>
    <xf numFmtId="0" fontId="8" fillId="15" borderId="4" xfId="0" applyFont="1" applyFill="1" applyBorder="1"/>
    <xf numFmtId="0" fontId="8" fillId="15" borderId="3" xfId="0" applyFont="1" applyFill="1" applyBorder="1"/>
    <xf numFmtId="3" fontId="36" fillId="15" borderId="12" xfId="0" applyNumberFormat="1" applyFont="1" applyFill="1" applyBorder="1" applyAlignment="1">
      <alignment vertical="center"/>
    </xf>
    <xf numFmtId="3" fontId="36" fillId="15" borderId="23" xfId="0" applyNumberFormat="1" applyFont="1" applyFill="1" applyBorder="1" applyAlignment="1">
      <alignment vertical="center"/>
    </xf>
    <xf numFmtId="3" fontId="36" fillId="15" borderId="24" xfId="0" applyNumberFormat="1" applyFont="1" applyFill="1" applyBorder="1" applyAlignment="1">
      <alignment vertical="center"/>
    </xf>
    <xf numFmtId="3" fontId="6" fillId="6" borderId="70" xfId="0" applyNumberFormat="1" applyFont="1" applyFill="1" applyBorder="1"/>
    <xf numFmtId="0" fontId="7" fillId="6" borderId="37" xfId="0" applyFont="1" applyFill="1" applyBorder="1" applyAlignment="1">
      <alignment vertical="center" wrapText="1"/>
    </xf>
    <xf numFmtId="3" fontId="6" fillId="6" borderId="144" xfId="0" applyNumberFormat="1" applyFont="1" applyFill="1" applyBorder="1"/>
    <xf numFmtId="3" fontId="36" fillId="12" borderId="0" xfId="0" applyNumberFormat="1" applyFont="1" applyFill="1" applyBorder="1" applyAlignment="1">
      <alignment horizontal="right" vertical="center"/>
    </xf>
    <xf numFmtId="3" fontId="76" fillId="12" borderId="0" xfId="0" applyNumberFormat="1" applyFont="1" applyFill="1" applyBorder="1" applyAlignment="1">
      <alignment vertical="center"/>
    </xf>
    <xf numFmtId="3" fontId="76" fillId="12" borderId="13" xfId="0" applyNumberFormat="1" applyFont="1" applyFill="1" applyBorder="1" applyAlignment="1">
      <alignment vertical="center"/>
    </xf>
    <xf numFmtId="0" fontId="36" fillId="8" borderId="0" xfId="0" applyFont="1" applyFill="1" applyBorder="1" applyAlignment="1">
      <alignment horizontal="right"/>
    </xf>
    <xf numFmtId="3" fontId="76" fillId="8" borderId="0" xfId="0" applyNumberFormat="1" applyFont="1" applyFill="1" applyBorder="1"/>
    <xf numFmtId="0" fontId="36" fillId="15" borderId="51" xfId="0" applyFont="1" applyFill="1" applyBorder="1" applyAlignment="1">
      <alignment horizontal="center" wrapText="1"/>
    </xf>
    <xf numFmtId="3" fontId="36" fillId="15" borderId="39" xfId="0" applyNumberFormat="1" applyFont="1" applyFill="1" applyBorder="1" applyAlignment="1">
      <alignment vertical="center"/>
    </xf>
    <xf numFmtId="3" fontId="36" fillId="15" borderId="50" xfId="0" applyNumberFormat="1" applyFont="1" applyFill="1" applyBorder="1" applyAlignment="1">
      <alignment vertical="center"/>
    </xf>
    <xf numFmtId="3" fontId="36" fillId="15" borderId="51" xfId="0" applyNumberFormat="1" applyFont="1" applyFill="1" applyBorder="1" applyAlignment="1">
      <alignment horizontal="center"/>
    </xf>
    <xf numFmtId="3" fontId="36" fillId="6" borderId="70" xfId="0" applyNumberFormat="1" applyFont="1" applyFill="1" applyBorder="1"/>
    <xf numFmtId="3" fontId="36" fillId="6" borderId="35" xfId="0" applyNumberFormat="1" applyFont="1" applyFill="1" applyBorder="1"/>
    <xf numFmtId="0" fontId="7" fillId="6" borderId="73" xfId="0" applyFont="1" applyFill="1" applyBorder="1" applyAlignment="1">
      <alignment vertical="center" wrapText="1"/>
    </xf>
    <xf numFmtId="3" fontId="8" fillId="6" borderId="47" xfId="0" applyNumberFormat="1" applyFont="1" applyFill="1" applyBorder="1"/>
    <xf numFmtId="3" fontId="8" fillId="6" borderId="72" xfId="0" applyNumberFormat="1" applyFont="1" applyFill="1" applyBorder="1"/>
    <xf numFmtId="3" fontId="8" fillId="6" borderId="144" xfId="0" applyNumberFormat="1" applyFont="1" applyFill="1" applyBorder="1"/>
    <xf numFmtId="3" fontId="36" fillId="6" borderId="12" xfId="0" applyNumberFormat="1" applyFont="1" applyFill="1" applyBorder="1"/>
    <xf numFmtId="3" fontId="8" fillId="12" borderId="0" xfId="0" applyNumberFormat="1" applyFont="1" applyFill="1" applyBorder="1" applyAlignment="1">
      <alignment horizontal="right"/>
    </xf>
    <xf numFmtId="3" fontId="76" fillId="12" borderId="0" xfId="0" applyNumberFormat="1" applyFont="1" applyFill="1" applyBorder="1"/>
    <xf numFmtId="0" fontId="8" fillId="12" borderId="8" xfId="0" applyFont="1" applyFill="1" applyBorder="1" applyAlignment="1">
      <alignment horizontal="right"/>
    </xf>
    <xf numFmtId="3" fontId="76" fillId="12" borderId="8" xfId="0" applyNumberFormat="1" applyFont="1" applyFill="1" applyBorder="1"/>
    <xf numFmtId="0" fontId="65" fillId="0" borderId="0" xfId="0" applyFont="1" applyBorder="1" applyAlignment="1">
      <alignment horizontal="center" vertical="center"/>
    </xf>
    <xf numFmtId="0" fontId="65" fillId="0" borderId="127" xfId="0" applyFont="1" applyBorder="1" applyAlignment="1">
      <alignment horizontal="center"/>
    </xf>
    <xf numFmtId="0" fontId="8" fillId="16" borderId="15" xfId="0" applyFont="1" applyFill="1" applyBorder="1"/>
    <xf numFmtId="0" fontId="8" fillId="16" borderId="3" xfId="0" applyFont="1" applyFill="1" applyBorder="1"/>
    <xf numFmtId="0" fontId="8" fillId="16" borderId="4" xfId="0" applyFont="1" applyFill="1" applyBorder="1"/>
    <xf numFmtId="0" fontId="8" fillId="16" borderId="0" xfId="0" applyFont="1" applyFill="1" applyBorder="1"/>
    <xf numFmtId="3" fontId="36" fillId="16" borderId="12" xfId="5" applyNumberFormat="1" applyFont="1" applyFill="1" applyBorder="1" applyAlignment="1">
      <alignment vertical="center"/>
    </xf>
    <xf numFmtId="3" fontId="36" fillId="16" borderId="23" xfId="5" applyNumberFormat="1" applyFont="1" applyFill="1" applyBorder="1" applyAlignment="1">
      <alignment vertical="center"/>
    </xf>
    <xf numFmtId="3" fontId="36" fillId="16" borderId="24" xfId="5" applyNumberFormat="1" applyFont="1" applyFill="1" applyBorder="1" applyAlignment="1">
      <alignment vertical="center"/>
    </xf>
    <xf numFmtId="0" fontId="7" fillId="8" borderId="20" xfId="0" applyFont="1" applyFill="1" applyBorder="1" applyAlignment="1">
      <alignment vertical="center" wrapText="1"/>
    </xf>
    <xf numFmtId="3" fontId="8" fillId="8" borderId="30" xfId="0" applyNumberFormat="1" applyFont="1" applyFill="1" applyBorder="1"/>
    <xf numFmtId="3" fontId="8" fillId="8" borderId="71" xfId="0" applyNumberFormat="1" applyFont="1" applyFill="1" applyBorder="1"/>
    <xf numFmtId="3" fontId="8" fillId="8" borderId="31" xfId="0" applyNumberFormat="1" applyFont="1" applyFill="1" applyBorder="1"/>
    <xf numFmtId="3" fontId="8" fillId="8" borderId="135" xfId="0" applyNumberFormat="1" applyFont="1" applyFill="1" applyBorder="1"/>
    <xf numFmtId="0" fontId="7" fillId="8" borderId="28" xfId="0" applyFont="1" applyFill="1" applyBorder="1" applyAlignment="1">
      <alignment vertical="center"/>
    </xf>
    <xf numFmtId="0" fontId="7" fillId="8" borderId="73" xfId="0" applyFont="1" applyFill="1" applyBorder="1" applyAlignment="1">
      <alignment vertical="center"/>
    </xf>
    <xf numFmtId="3" fontId="8" fillId="8" borderId="63" xfId="0" applyNumberFormat="1" applyFont="1" applyFill="1" applyBorder="1"/>
    <xf numFmtId="3" fontId="8" fillId="8" borderId="132" xfId="0" applyNumberFormat="1" applyFont="1" applyFill="1" applyBorder="1"/>
    <xf numFmtId="3" fontId="8" fillId="8" borderId="47" xfId="0" applyNumberFormat="1" applyFont="1" applyFill="1" applyBorder="1"/>
    <xf numFmtId="3" fontId="8" fillId="8" borderId="75" xfId="0" applyNumberFormat="1" applyFont="1" applyFill="1" applyBorder="1"/>
    <xf numFmtId="3" fontId="8" fillId="8" borderId="145" xfId="0" applyNumberFormat="1" applyFont="1" applyFill="1" applyBorder="1"/>
    <xf numFmtId="3" fontId="8" fillId="8" borderId="144" xfId="0" applyNumberFormat="1" applyFont="1" applyFill="1" applyBorder="1"/>
    <xf numFmtId="0" fontId="7" fillId="17" borderId="0" xfId="0" applyFont="1" applyFill="1" applyBorder="1" applyAlignment="1">
      <alignment vertical="center" wrapText="1"/>
    </xf>
    <xf numFmtId="3" fontId="77" fillId="17" borderId="0" xfId="0" applyNumberFormat="1" applyFont="1" applyFill="1" applyBorder="1"/>
    <xf numFmtId="3" fontId="77" fillId="17" borderId="13" xfId="0" applyNumberFormat="1" applyFont="1" applyFill="1" applyBorder="1"/>
    <xf numFmtId="0" fontId="28" fillId="8" borderId="0" xfId="0" applyFont="1" applyFill="1" applyBorder="1" applyAlignment="1">
      <alignment horizontal="right" vertical="center" wrapText="1"/>
    </xf>
    <xf numFmtId="3" fontId="77" fillId="8" borderId="0" xfId="0" applyNumberFormat="1" applyFont="1" applyFill="1" applyBorder="1"/>
    <xf numFmtId="3" fontId="77" fillId="8" borderId="13" xfId="0" applyNumberFormat="1" applyFont="1" applyFill="1" applyBorder="1"/>
    <xf numFmtId="3" fontId="19" fillId="8" borderId="0" xfId="0" applyNumberFormat="1" applyFont="1" applyFill="1" applyBorder="1"/>
    <xf numFmtId="0" fontId="36" fillId="16" borderId="51" xfId="0" applyFont="1" applyFill="1" applyBorder="1" applyAlignment="1">
      <alignment horizontal="center" wrapText="1"/>
    </xf>
    <xf numFmtId="3" fontId="19" fillId="16" borderId="39" xfId="5" applyNumberFormat="1" applyFont="1" applyFill="1" applyBorder="1"/>
    <xf numFmtId="3" fontId="19" fillId="16" borderId="50" xfId="5" applyNumberFormat="1" applyFont="1" applyFill="1" applyBorder="1"/>
    <xf numFmtId="3" fontId="19" fillId="16" borderId="0" xfId="0" applyNumberFormat="1" applyFont="1" applyFill="1" applyBorder="1" applyAlignment="1">
      <alignment horizontal="center"/>
    </xf>
    <xf numFmtId="3" fontId="8" fillId="8" borderId="70" xfId="0" applyNumberFormat="1" applyFont="1" applyFill="1" applyBorder="1"/>
    <xf numFmtId="3" fontId="8" fillId="8" borderId="17" xfId="0" applyNumberFormat="1" applyFont="1" applyFill="1" applyBorder="1"/>
    <xf numFmtId="3" fontId="8" fillId="8" borderId="35" xfId="0" applyNumberFormat="1" applyFont="1" applyFill="1" applyBorder="1"/>
    <xf numFmtId="3" fontId="8" fillId="8" borderId="0" xfId="0" applyNumberFormat="1" applyFont="1" applyFill="1" applyBorder="1"/>
    <xf numFmtId="3" fontId="8" fillId="8" borderId="30" xfId="0" applyNumberFormat="1" applyFont="1" applyFill="1" applyBorder="1" applyAlignment="1">
      <alignment vertical="center"/>
    </xf>
    <xf numFmtId="3" fontId="8" fillId="8" borderId="135" xfId="0" applyNumberFormat="1" applyFont="1" applyFill="1" applyBorder="1" applyAlignment="1">
      <alignment vertical="center"/>
    </xf>
    <xf numFmtId="3" fontId="8" fillId="8" borderId="0" xfId="0" applyNumberFormat="1" applyFont="1" applyFill="1" applyBorder="1" applyAlignment="1">
      <alignment vertical="center"/>
    </xf>
    <xf numFmtId="0" fontId="7" fillId="8" borderId="73" xfId="0" applyFont="1" applyFill="1" applyBorder="1" applyAlignment="1">
      <alignment vertical="center" wrapText="1"/>
    </xf>
    <xf numFmtId="0" fontId="8" fillId="17" borderId="0" xfId="0" applyFont="1" applyFill="1" applyBorder="1" applyAlignment="1">
      <alignment horizontal="right"/>
    </xf>
    <xf numFmtId="3" fontId="65" fillId="17" borderId="0" xfId="0" applyNumberFormat="1" applyFont="1" applyFill="1" applyBorder="1"/>
    <xf numFmtId="3" fontId="8" fillId="17" borderId="0" xfId="0" applyNumberFormat="1" applyFont="1" applyFill="1" applyBorder="1"/>
    <xf numFmtId="0" fontId="36" fillId="0" borderId="27" xfId="0" applyFont="1" applyBorder="1" applyAlignment="1">
      <alignment horizontal="center" vertical="center"/>
    </xf>
    <xf numFmtId="0" fontId="36" fillId="18" borderId="3" xfId="0" applyFont="1" applyFill="1" applyBorder="1" applyAlignment="1">
      <alignment horizontal="center" vertical="center"/>
    </xf>
    <xf numFmtId="0" fontId="8" fillId="18" borderId="15" xfId="0" applyFont="1" applyFill="1" applyBorder="1" applyAlignment="1">
      <alignment vertical="center"/>
    </xf>
    <xf numFmtId="0" fontId="8" fillId="18" borderId="3" xfId="0" applyFont="1" applyFill="1" applyBorder="1" applyAlignment="1">
      <alignment vertical="center"/>
    </xf>
    <xf numFmtId="0" fontId="8" fillId="18" borderId="4" xfId="0" applyFont="1" applyFill="1" applyBorder="1" applyAlignment="1">
      <alignment vertical="center"/>
    </xf>
    <xf numFmtId="0" fontId="8" fillId="18" borderId="0" xfId="0" applyFont="1" applyFill="1" applyBorder="1" applyAlignment="1">
      <alignment vertical="center"/>
    </xf>
    <xf numFmtId="0" fontId="36" fillId="18" borderId="24" xfId="0" applyFont="1" applyFill="1" applyBorder="1" applyAlignment="1">
      <alignment horizontal="center" vertical="center"/>
    </xf>
    <xf numFmtId="3" fontId="36" fillId="18" borderId="12" xfId="0" applyNumberFormat="1" applyFont="1" applyFill="1" applyBorder="1" applyAlignment="1">
      <alignment vertical="center"/>
    </xf>
    <xf numFmtId="3" fontId="36" fillId="18" borderId="23" xfId="0" applyNumberFormat="1" applyFont="1" applyFill="1" applyBorder="1" applyAlignment="1">
      <alignment vertical="center"/>
    </xf>
    <xf numFmtId="3" fontId="36" fillId="18" borderId="0" xfId="0" applyNumberFormat="1" applyFont="1" applyFill="1" applyBorder="1" applyAlignment="1">
      <alignment vertical="center"/>
    </xf>
    <xf numFmtId="0" fontId="7" fillId="11" borderId="20" xfId="0" applyFont="1" applyFill="1" applyBorder="1" applyAlignment="1">
      <alignment vertical="center" wrapText="1"/>
    </xf>
    <xf numFmtId="3" fontId="6" fillId="11" borderId="70" xfId="0" applyNumberFormat="1" applyFont="1" applyFill="1" applyBorder="1"/>
    <xf numFmtId="3" fontId="6" fillId="11" borderId="17" xfId="0" applyNumberFormat="1" applyFont="1" applyFill="1" applyBorder="1"/>
    <xf numFmtId="3" fontId="6" fillId="11" borderId="30" xfId="0" applyNumberFormat="1" applyFont="1" applyFill="1" applyBorder="1"/>
    <xf numFmtId="3" fontId="6" fillId="11" borderId="0" xfId="0" applyNumberFormat="1" applyFont="1" applyFill="1" applyBorder="1"/>
    <xf numFmtId="0" fontId="7" fillId="11" borderId="28" xfId="0" applyFont="1" applyFill="1" applyBorder="1" applyAlignment="1">
      <alignment vertical="center" wrapText="1"/>
    </xf>
    <xf numFmtId="3" fontId="6" fillId="11" borderId="135" xfId="0" applyNumberFormat="1" applyFont="1" applyFill="1" applyBorder="1"/>
    <xf numFmtId="0" fontId="7" fillId="11" borderId="73" xfId="0" applyFont="1" applyFill="1" applyBorder="1" applyAlignment="1">
      <alignment vertical="center" wrapText="1"/>
    </xf>
    <xf numFmtId="0" fontId="7" fillId="11" borderId="37" xfId="0" applyFont="1" applyFill="1" applyBorder="1" applyAlignment="1">
      <alignment vertical="center" wrapText="1"/>
    </xf>
    <xf numFmtId="3" fontId="6" fillId="11" borderId="47" xfId="0" applyNumberFormat="1" applyFont="1" applyFill="1" applyBorder="1"/>
    <xf numFmtId="3" fontId="6" fillId="11" borderId="144" xfId="0" applyNumberFormat="1" applyFont="1" applyFill="1" applyBorder="1"/>
    <xf numFmtId="0" fontId="36" fillId="18" borderId="51" xfId="0" applyFont="1" applyFill="1" applyBorder="1" applyAlignment="1">
      <alignment horizontal="right"/>
    </xf>
    <xf numFmtId="3" fontId="76" fillId="18" borderId="39" xfId="0" applyNumberFormat="1" applyFont="1" applyFill="1" applyBorder="1" applyAlignment="1">
      <alignment vertical="top"/>
    </xf>
    <xf numFmtId="3" fontId="76" fillId="18" borderId="50" xfId="0" applyNumberFormat="1" applyFont="1" applyFill="1" applyBorder="1" applyAlignment="1">
      <alignment vertical="top"/>
    </xf>
    <xf numFmtId="3" fontId="76" fillId="18" borderId="0" xfId="0" applyNumberFormat="1" applyFont="1" applyFill="1" applyBorder="1" applyAlignment="1">
      <alignment vertical="top"/>
    </xf>
    <xf numFmtId="0" fontId="76" fillId="0" borderId="0" xfId="0" applyFont="1" applyBorder="1" applyAlignment="1">
      <alignment horizontal="right"/>
    </xf>
    <xf numFmtId="3" fontId="76" fillId="2" borderId="0" xfId="0" applyNumberFormat="1" applyFont="1" applyFill="1" applyBorder="1" applyAlignment="1">
      <alignment vertical="top"/>
    </xf>
    <xf numFmtId="3" fontId="76" fillId="2" borderId="13" xfId="0" applyNumberFormat="1" applyFont="1" applyFill="1" applyBorder="1" applyAlignment="1">
      <alignment vertical="top"/>
    </xf>
    <xf numFmtId="0" fontId="36" fillId="18" borderId="51" xfId="0" applyFont="1" applyFill="1" applyBorder="1" applyAlignment="1">
      <alignment horizontal="center"/>
    </xf>
    <xf numFmtId="3" fontId="36" fillId="18" borderId="39" xfId="0" applyNumberFormat="1" applyFont="1" applyFill="1" applyBorder="1"/>
    <xf numFmtId="3" fontId="36" fillId="18" borderId="50" xfId="0" applyNumberFormat="1" applyFont="1" applyFill="1" applyBorder="1"/>
    <xf numFmtId="3" fontId="36" fillId="18" borderId="0" xfId="0" applyNumberFormat="1" applyFont="1" applyFill="1" applyBorder="1" applyAlignment="1">
      <alignment horizontal="center"/>
    </xf>
    <xf numFmtId="3" fontId="8" fillId="11" borderId="70" xfId="0" applyNumberFormat="1" applyFont="1" applyFill="1" applyBorder="1"/>
    <xf numFmtId="43" fontId="8" fillId="11" borderId="0" xfId="1" applyFont="1" applyFill="1" applyBorder="1"/>
    <xf numFmtId="3" fontId="8" fillId="11" borderId="30" xfId="0" applyNumberFormat="1" applyFont="1" applyFill="1" applyBorder="1"/>
    <xf numFmtId="3" fontId="6" fillId="11" borderId="30" xfId="0" applyNumberFormat="1" applyFont="1" applyFill="1" applyBorder="1" applyAlignment="1">
      <alignment vertical="center"/>
    </xf>
    <xf numFmtId="3" fontId="6" fillId="11" borderId="135" xfId="0" applyNumberFormat="1" applyFont="1" applyFill="1" applyBorder="1" applyAlignment="1">
      <alignment vertical="center"/>
    </xf>
    <xf numFmtId="43" fontId="8" fillId="11" borderId="0" xfId="1" applyFont="1" applyFill="1" applyBorder="1" applyAlignment="1">
      <alignment vertical="center"/>
    </xf>
    <xf numFmtId="0" fontId="8" fillId="18" borderId="24" xfId="0" applyFont="1" applyFill="1" applyBorder="1" applyAlignment="1">
      <alignment horizontal="right"/>
    </xf>
    <xf numFmtId="3" fontId="8" fillId="18" borderId="24" xfId="0" applyNumberFormat="1" applyFont="1" applyFill="1" applyBorder="1"/>
    <xf numFmtId="3" fontId="8" fillId="18" borderId="12" xfId="0" applyNumberFormat="1" applyFont="1" applyFill="1" applyBorder="1"/>
    <xf numFmtId="3" fontId="8" fillId="18" borderId="0" xfId="0" applyNumberFormat="1" applyFont="1" applyFill="1" applyBorder="1"/>
    <xf numFmtId="0" fontId="8" fillId="0" borderId="13" xfId="0" applyFont="1" applyBorder="1"/>
    <xf numFmtId="3" fontId="76" fillId="0" borderId="0" xfId="0" applyNumberFormat="1" applyFont="1" applyBorder="1"/>
    <xf numFmtId="3" fontId="76" fillId="0" borderId="13" xfId="0" applyNumberFormat="1" applyFont="1" applyBorder="1"/>
    <xf numFmtId="0" fontId="20" fillId="0" borderId="3" xfId="0" applyFont="1" applyBorder="1" applyAlignment="1">
      <alignment wrapText="1"/>
    </xf>
    <xf numFmtId="0" fontId="8" fillId="0" borderId="3" xfId="0" applyFont="1" applyBorder="1"/>
    <xf numFmtId="0" fontId="0" fillId="0" borderId="3" xfId="0" applyFont="1" applyBorder="1"/>
    <xf numFmtId="0" fontId="8" fillId="0" borderId="24" xfId="0" applyFont="1" applyBorder="1"/>
    <xf numFmtId="3" fontId="29" fillId="2" borderId="176" xfId="4" applyNumberFormat="1" applyFont="1" applyFill="1" applyBorder="1" applyAlignment="1">
      <alignment vertical="center" wrapText="1"/>
    </xf>
    <xf numFmtId="0" fontId="7" fillId="0" borderId="176" xfId="4" applyFont="1" applyFill="1" applyBorder="1" applyAlignment="1">
      <alignment vertical="center"/>
    </xf>
    <xf numFmtId="43" fontId="31" fillId="25" borderId="168" xfId="1" applyFont="1" applyFill="1" applyBorder="1" applyAlignment="1">
      <alignment horizontal="right" vertical="center"/>
    </xf>
    <xf numFmtId="0" fontId="29" fillId="2" borderId="176" xfId="4" applyFont="1" applyFill="1" applyBorder="1" applyAlignment="1">
      <alignment vertical="center"/>
    </xf>
    <xf numFmtId="0" fontId="7" fillId="0" borderId="174" xfId="4" applyFont="1" applyFill="1" applyBorder="1" applyAlignment="1">
      <alignment vertical="center"/>
    </xf>
    <xf numFmtId="0" fontId="24" fillId="6" borderId="36" xfId="4" applyFont="1" applyFill="1" applyBorder="1" applyAlignment="1">
      <alignment horizontal="left" vertical="center"/>
    </xf>
    <xf numFmtId="43" fontId="24" fillId="32" borderId="9" xfId="1" applyFont="1" applyFill="1" applyBorder="1" applyAlignment="1">
      <alignment vertical="center"/>
    </xf>
    <xf numFmtId="3" fontId="31" fillId="32" borderId="9" xfId="4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top"/>
    </xf>
    <xf numFmtId="43" fontId="7" fillId="0" borderId="127" xfId="1" applyFont="1" applyFill="1" applyBorder="1" applyAlignment="1">
      <alignment vertical="top"/>
    </xf>
    <xf numFmtId="0" fontId="7" fillId="32" borderId="131" xfId="4" applyFont="1" applyFill="1" applyBorder="1" applyAlignment="1">
      <alignment vertical="top"/>
    </xf>
    <xf numFmtId="43" fontId="27" fillId="55" borderId="9" xfId="1" applyFont="1" applyFill="1" applyBorder="1" applyAlignment="1">
      <alignment horizontal="right" vertical="center"/>
    </xf>
    <xf numFmtId="0" fontId="27" fillId="55" borderId="131" xfId="4" applyFont="1" applyFill="1" applyBorder="1" applyAlignment="1">
      <alignment horizontal="left" vertical="center"/>
    </xf>
    <xf numFmtId="0" fontId="27" fillId="55" borderId="131" xfId="0" applyFont="1" applyFill="1" applyBorder="1" applyAlignment="1">
      <alignment horizontal="left" vertical="top"/>
    </xf>
    <xf numFmtId="0" fontId="7" fillId="8" borderId="131" xfId="4" applyFont="1" applyFill="1" applyBorder="1" applyAlignment="1">
      <alignment vertical="center"/>
    </xf>
    <xf numFmtId="3" fontId="25" fillId="8" borderId="17" xfId="4" applyNumberFormat="1" applyFont="1" applyFill="1" applyBorder="1" applyAlignment="1">
      <alignment horizontal="center" vertical="center"/>
    </xf>
    <xf numFmtId="3" fontId="7" fillId="8" borderId="79" xfId="4" applyNumberFormat="1" applyFont="1" applyFill="1" applyBorder="1" applyAlignment="1">
      <alignment horizontal="right" vertical="center"/>
    </xf>
    <xf numFmtId="3" fontId="7" fillId="23" borderId="70" xfId="4" applyNumberFormat="1" applyFont="1" applyFill="1" applyBorder="1" applyAlignment="1">
      <alignment horizontal="right" vertical="center"/>
    </xf>
    <xf numFmtId="0" fontId="24" fillId="0" borderId="25" xfId="4" applyFont="1" applyFill="1" applyBorder="1" applyAlignment="1">
      <alignment vertical="center"/>
    </xf>
    <xf numFmtId="0" fontId="7" fillId="0" borderId="25" xfId="4" applyFont="1" applyFill="1" applyBorder="1" applyAlignment="1">
      <alignment vertical="top"/>
    </xf>
    <xf numFmtId="0" fontId="0" fillId="0" borderId="22" xfId="0" applyFont="1" applyBorder="1" applyAlignment="1"/>
    <xf numFmtId="3" fontId="7" fillId="0" borderId="12" xfId="4" applyNumberFormat="1" applyFont="1" applyFill="1" applyBorder="1" applyAlignment="1">
      <alignment vertical="top"/>
    </xf>
    <xf numFmtId="3" fontId="29" fillId="0" borderId="12" xfId="4" applyNumberFormat="1" applyFont="1" applyFill="1" applyBorder="1" applyAlignment="1">
      <alignment horizontal="right" vertical="center"/>
    </xf>
    <xf numFmtId="3" fontId="7" fillId="0" borderId="74" xfId="4" applyNumberFormat="1" applyFont="1" applyFill="1" applyBorder="1" applyAlignment="1">
      <alignment vertical="top"/>
    </xf>
    <xf numFmtId="3" fontId="24" fillId="34" borderId="12" xfId="4" applyNumberFormat="1" applyFont="1" applyFill="1" applyBorder="1" applyAlignment="1">
      <alignment vertical="center"/>
    </xf>
    <xf numFmtId="0" fontId="18" fillId="0" borderId="23" xfId="4" applyFont="1" applyFill="1" applyBorder="1" applyAlignment="1">
      <alignment vertical="center" wrapText="1"/>
    </xf>
    <xf numFmtId="43" fontId="7" fillId="0" borderId="145" xfId="1" applyFont="1" applyFill="1" applyBorder="1" applyAlignment="1">
      <alignment vertical="top"/>
    </xf>
    <xf numFmtId="3" fontId="7" fillId="0" borderId="145" xfId="4" applyNumberFormat="1" applyFont="1" applyFill="1" applyBorder="1" applyAlignment="1">
      <alignment vertical="top"/>
    </xf>
    <xf numFmtId="3" fontId="7" fillId="25" borderId="127" xfId="4" applyNumberFormat="1" applyFont="1" applyFill="1" applyBorder="1" applyAlignment="1">
      <alignment vertical="top"/>
    </xf>
    <xf numFmtId="3" fontId="27" fillId="0" borderId="177" xfId="4" applyNumberFormat="1" applyFont="1" applyFill="1" applyBorder="1" applyAlignment="1">
      <alignment horizontal="right" vertical="center"/>
    </xf>
    <xf numFmtId="3" fontId="27" fillId="0" borderId="169" xfId="4" applyNumberFormat="1" applyFont="1" applyFill="1" applyBorder="1" applyAlignment="1">
      <alignment horizontal="right" vertical="center"/>
    </xf>
    <xf numFmtId="3" fontId="29" fillId="0" borderId="169" xfId="4" applyNumberFormat="1" applyFont="1" applyFill="1" applyBorder="1" applyAlignment="1">
      <alignment horizontal="right" vertical="center"/>
    </xf>
    <xf numFmtId="0" fontId="31" fillId="8" borderId="36" xfId="4" applyFont="1" applyFill="1" applyBorder="1" applyAlignment="1">
      <alignment vertical="center"/>
    </xf>
    <xf numFmtId="0" fontId="21" fillId="0" borderId="0" xfId="0" applyFont="1" applyAlignment="1">
      <alignment vertical="center"/>
    </xf>
    <xf numFmtId="3" fontId="28" fillId="57" borderId="9" xfId="0" applyNumberFormat="1" applyFont="1" applyFill="1" applyBorder="1" applyAlignment="1">
      <alignment horizontal="right" vertical="center"/>
    </xf>
    <xf numFmtId="3" fontId="36" fillId="3" borderId="21" xfId="0" applyNumberFormat="1" applyFont="1" applyFill="1" applyBorder="1" applyAlignment="1">
      <alignment vertical="center" wrapText="1"/>
    </xf>
    <xf numFmtId="3" fontId="36" fillId="3" borderId="25" xfId="0" applyNumberFormat="1" applyFont="1" applyFill="1" applyBorder="1" applyAlignment="1">
      <alignment vertical="center" wrapText="1"/>
    </xf>
    <xf numFmtId="0" fontId="24" fillId="13" borderId="36" xfId="4" applyFont="1" applyFill="1" applyBorder="1" applyAlignment="1">
      <alignment vertical="center" wrapText="1"/>
    </xf>
    <xf numFmtId="0" fontId="24" fillId="8" borderId="45" xfId="0" applyFont="1" applyFill="1" applyBorder="1" applyAlignment="1">
      <alignment horizontal="left" vertical="center" wrapText="1"/>
    </xf>
    <xf numFmtId="3" fontId="29" fillId="0" borderId="29" xfId="0" applyNumberFormat="1" applyFont="1" applyFill="1" applyBorder="1" applyAlignment="1">
      <alignment horizontal="right" vertical="center"/>
    </xf>
    <xf numFmtId="3" fontId="7" fillId="0" borderId="72" xfId="0" applyNumberFormat="1" applyFont="1" applyFill="1" applyBorder="1" applyAlignment="1">
      <alignment horizontal="right" vertical="center"/>
    </xf>
    <xf numFmtId="3" fontId="7" fillId="0" borderId="65" xfId="0" applyNumberFormat="1" applyFont="1" applyFill="1" applyBorder="1" applyAlignment="1">
      <alignment horizontal="right" vertical="center"/>
    </xf>
    <xf numFmtId="43" fontId="31" fillId="0" borderId="9" xfId="1" applyFont="1" applyFill="1" applyBorder="1" applyAlignment="1">
      <alignment vertical="top"/>
    </xf>
    <xf numFmtId="43" fontId="31" fillId="0" borderId="13" xfId="1" applyFont="1" applyFill="1" applyBorder="1" applyAlignment="1">
      <alignment horizontal="right" vertical="center"/>
    </xf>
    <xf numFmtId="3" fontId="28" fillId="56" borderId="35" xfId="0" applyNumberFormat="1" applyFont="1" applyFill="1" applyBorder="1" applyAlignment="1">
      <alignment vertical="center"/>
    </xf>
    <xf numFmtId="3" fontId="31" fillId="55" borderId="9" xfId="0" applyNumberFormat="1" applyFont="1" applyFill="1" applyBorder="1" applyAlignment="1">
      <alignment vertical="top"/>
    </xf>
    <xf numFmtId="3" fontId="31" fillId="55" borderId="35" xfId="0" applyNumberFormat="1" applyFont="1" applyFill="1" applyBorder="1" applyAlignment="1">
      <alignment vertical="top"/>
    </xf>
    <xf numFmtId="3" fontId="28" fillId="57" borderId="9" xfId="0" applyNumberFormat="1" applyFont="1" applyFill="1" applyBorder="1" applyAlignment="1">
      <alignment vertical="top"/>
    </xf>
    <xf numFmtId="3" fontId="28" fillId="60" borderId="35" xfId="0" applyNumberFormat="1" applyFont="1" applyFill="1" applyBorder="1" applyAlignment="1">
      <alignment vertical="center"/>
    </xf>
    <xf numFmtId="3" fontId="28" fillId="56" borderId="9" xfId="0" applyNumberFormat="1" applyFont="1" applyFill="1" applyBorder="1" applyAlignment="1">
      <alignment horizontal="right" vertical="center"/>
    </xf>
    <xf numFmtId="3" fontId="28" fillId="59" borderId="9" xfId="0" applyNumberFormat="1" applyFont="1" applyFill="1" applyBorder="1" applyAlignment="1">
      <alignment vertical="top"/>
    </xf>
    <xf numFmtId="3" fontId="28" fillId="55" borderId="9" xfId="0" applyNumberFormat="1" applyFont="1" applyFill="1" applyBorder="1" applyAlignment="1">
      <alignment horizontal="right"/>
    </xf>
    <xf numFmtId="3" fontId="28" fillId="55" borderId="9" xfId="0" applyNumberFormat="1" applyFont="1" applyFill="1" applyBorder="1" applyAlignment="1">
      <alignment horizontal="right" vertical="center"/>
    </xf>
    <xf numFmtId="3" fontId="31" fillId="2" borderId="9" xfId="0" applyNumberFormat="1" applyFont="1" applyFill="1" applyBorder="1" applyAlignment="1">
      <alignment vertical="top"/>
    </xf>
    <xf numFmtId="0" fontId="26" fillId="0" borderId="43" xfId="0" applyFont="1" applyBorder="1" applyAlignment="1"/>
    <xf numFmtId="0" fontId="26" fillId="0" borderId="41" xfId="0" applyFont="1" applyBorder="1" applyAlignment="1"/>
    <xf numFmtId="3" fontId="27" fillId="0" borderId="35" xfId="0" applyNumberFormat="1" applyFont="1" applyFill="1" applyBorder="1" applyAlignment="1">
      <alignment vertical="center"/>
    </xf>
    <xf numFmtId="3" fontId="27" fillId="25" borderId="35" xfId="0" applyNumberFormat="1" applyFont="1" applyFill="1" applyBorder="1" applyAlignment="1">
      <alignment horizontal="center" vertical="center"/>
    </xf>
    <xf numFmtId="3" fontId="31" fillId="25" borderId="35" xfId="0" applyNumberFormat="1" applyFont="1" applyFill="1" applyBorder="1" applyAlignment="1">
      <alignment horizontal="center" vertical="center"/>
    </xf>
    <xf numFmtId="0" fontId="27" fillId="55" borderId="8" xfId="4" applyFont="1" applyFill="1" applyBorder="1" applyAlignment="1">
      <alignment horizontal="left" vertical="center"/>
    </xf>
    <xf numFmtId="3" fontId="27" fillId="55" borderId="20" xfId="4" applyNumberFormat="1" applyFont="1" applyFill="1" applyBorder="1" applyAlignment="1">
      <alignment horizontal="right" vertical="center"/>
    </xf>
    <xf numFmtId="0" fontId="27" fillId="55" borderId="0" xfId="4" applyFont="1" applyFill="1" applyBorder="1" applyAlignment="1">
      <alignment horizontal="left" vertical="center"/>
    </xf>
    <xf numFmtId="3" fontId="27" fillId="55" borderId="6" xfId="4" applyNumberFormat="1" applyFont="1" applyFill="1" applyBorder="1" applyAlignment="1">
      <alignment horizontal="right" vertical="center"/>
    </xf>
    <xf numFmtId="0" fontId="27" fillId="55" borderId="68" xfId="0" applyFont="1" applyFill="1" applyBorder="1" applyAlignment="1">
      <alignment horizontal="left" vertical="center"/>
    </xf>
    <xf numFmtId="3" fontId="27" fillId="55" borderId="22" xfId="0" quotePrefix="1" applyNumberFormat="1" applyFont="1" applyFill="1" applyBorder="1" applyAlignment="1">
      <alignment horizontal="right" vertical="center"/>
    </xf>
    <xf numFmtId="3" fontId="27" fillId="8" borderId="28" xfId="0" applyNumberFormat="1" applyFont="1" applyFill="1" applyBorder="1" applyAlignment="1">
      <alignment vertical="center"/>
    </xf>
    <xf numFmtId="3" fontId="29" fillId="8" borderId="30" xfId="0" applyNumberFormat="1" applyFont="1" applyFill="1" applyBorder="1" applyAlignment="1">
      <alignment vertical="center"/>
    </xf>
    <xf numFmtId="3" fontId="27" fillId="23" borderId="30" xfId="0" applyNumberFormat="1" applyFont="1" applyFill="1" applyBorder="1" applyAlignment="1">
      <alignment vertical="center"/>
    </xf>
    <xf numFmtId="3" fontId="7" fillId="8" borderId="31" xfId="4" applyNumberFormat="1" applyFont="1" applyFill="1" applyBorder="1" applyAlignment="1">
      <alignment vertical="center" wrapText="1"/>
    </xf>
    <xf numFmtId="3" fontId="7" fillId="8" borderId="28" xfId="0" applyNumberFormat="1" applyFont="1" applyFill="1" applyBorder="1" applyAlignment="1">
      <alignment vertical="center"/>
    </xf>
    <xf numFmtId="3" fontId="7" fillId="8" borderId="30" xfId="0" applyNumberFormat="1" applyFont="1" applyFill="1" applyBorder="1" applyAlignment="1">
      <alignment vertical="center"/>
    </xf>
    <xf numFmtId="0" fontId="28" fillId="0" borderId="176" xfId="4" quotePrefix="1" applyFont="1" applyFill="1" applyBorder="1" applyAlignment="1">
      <alignment horizontal="right" vertical="center"/>
    </xf>
    <xf numFmtId="3" fontId="31" fillId="23" borderId="168" xfId="4" applyNumberFormat="1" applyFont="1" applyFill="1" applyBorder="1" applyAlignment="1">
      <alignment vertical="center"/>
    </xf>
    <xf numFmtId="3" fontId="28" fillId="0" borderId="169" xfId="4" applyNumberFormat="1" applyFont="1" applyFill="1" applyBorder="1" applyAlignment="1">
      <alignment horizontal="right" vertical="center"/>
    </xf>
    <xf numFmtId="3" fontId="31" fillId="23" borderId="177" xfId="4" applyNumberFormat="1" applyFont="1" applyFill="1" applyBorder="1" applyAlignment="1">
      <alignment vertical="center"/>
    </xf>
    <xf numFmtId="3" fontId="32" fillId="8" borderId="168" xfId="6" applyNumberFormat="1" applyFont="1" applyFill="1" applyBorder="1" applyAlignment="1">
      <alignment vertical="center"/>
    </xf>
    <xf numFmtId="3" fontId="29" fillId="8" borderId="176" xfId="4" applyNumberFormat="1" applyFont="1" applyFill="1" applyBorder="1" applyAlignment="1">
      <alignment vertical="center" wrapText="1"/>
    </xf>
    <xf numFmtId="3" fontId="32" fillId="8" borderId="172" xfId="6" applyNumberFormat="1" applyFont="1" applyFill="1" applyBorder="1" applyAlignment="1">
      <alignment vertical="center"/>
    </xf>
    <xf numFmtId="3" fontId="33" fillId="8" borderId="168" xfId="6" applyNumberFormat="1" applyFont="1" applyFill="1" applyBorder="1" applyAlignment="1">
      <alignment vertical="center"/>
    </xf>
    <xf numFmtId="3" fontId="7" fillId="8" borderId="130" xfId="4" applyNumberFormat="1" applyFont="1" applyFill="1" applyBorder="1" applyAlignment="1">
      <alignment vertical="center" wrapText="1"/>
    </xf>
    <xf numFmtId="3" fontId="32" fillId="8" borderId="144" xfId="6" applyNumberFormat="1" applyFont="1" applyFill="1" applyBorder="1" applyAlignment="1">
      <alignment vertical="center"/>
    </xf>
    <xf numFmtId="3" fontId="31" fillId="0" borderId="183" xfId="0" applyNumberFormat="1" applyFont="1" applyFill="1" applyBorder="1" applyAlignment="1">
      <alignment vertical="top"/>
    </xf>
    <xf numFmtId="0" fontId="0" fillId="0" borderId="183" xfId="0" applyFont="1" applyBorder="1" applyAlignment="1">
      <alignment vertical="center"/>
    </xf>
    <xf numFmtId="0" fontId="40" fillId="2" borderId="86" xfId="0" applyFont="1" applyFill="1" applyBorder="1" applyAlignment="1">
      <alignment vertical="center"/>
    </xf>
    <xf numFmtId="0" fontId="59" fillId="2" borderId="18" xfId="0" applyFont="1" applyFill="1" applyBorder="1" applyAlignment="1">
      <alignment vertical="center"/>
    </xf>
    <xf numFmtId="0" fontId="59" fillId="36" borderId="18" xfId="0" applyFont="1" applyFill="1" applyBorder="1" applyAlignment="1">
      <alignment vertical="center"/>
    </xf>
    <xf numFmtId="0" fontId="59" fillId="2" borderId="45" xfId="0" applyFont="1" applyFill="1" applyBorder="1" applyAlignment="1">
      <alignment horizontal="center" vertical="center" wrapText="1"/>
    </xf>
    <xf numFmtId="0" fontId="29" fillId="8" borderId="11" xfId="0" applyFont="1" applyFill="1" applyBorder="1" applyAlignment="1">
      <alignment vertical="top"/>
    </xf>
    <xf numFmtId="0" fontId="24" fillId="8" borderId="11" xfId="4" applyFont="1" applyFill="1" applyBorder="1" applyAlignment="1">
      <alignment horizontal="right" vertical="top"/>
    </xf>
    <xf numFmtId="0" fontId="7" fillId="8" borderId="26" xfId="4" applyFont="1" applyFill="1" applyBorder="1" applyAlignment="1">
      <alignment vertical="top"/>
    </xf>
    <xf numFmtId="0" fontId="7" fillId="8" borderId="26" xfId="4" applyFont="1" applyFill="1" applyBorder="1" applyAlignment="1">
      <alignment vertical="center"/>
    </xf>
    <xf numFmtId="3" fontId="25" fillId="6" borderId="183" xfId="4" applyNumberFormat="1" applyFont="1" applyFill="1" applyBorder="1" applyAlignment="1">
      <alignment vertical="center"/>
    </xf>
    <xf numFmtId="0" fontId="24" fillId="8" borderId="26" xfId="4" applyFont="1" applyFill="1" applyBorder="1" applyAlignment="1">
      <alignment horizontal="right" vertical="top"/>
    </xf>
    <xf numFmtId="0" fontId="7" fillId="8" borderId="68" xfId="4" applyFont="1" applyFill="1" applyBorder="1" applyAlignment="1">
      <alignment vertical="top"/>
    </xf>
    <xf numFmtId="3" fontId="18" fillId="8" borderId="41" xfId="4" applyNumberFormat="1" applyFont="1" applyFill="1" applyBorder="1" applyAlignment="1">
      <alignment vertical="top" wrapText="1"/>
    </xf>
    <xf numFmtId="3" fontId="25" fillId="22" borderId="183" xfId="4" applyNumberFormat="1" applyFont="1" applyFill="1" applyBorder="1" applyAlignment="1">
      <alignment vertical="center"/>
    </xf>
    <xf numFmtId="3" fontId="27" fillId="0" borderId="183" xfId="4" applyNumberFormat="1" applyFont="1" applyFill="1" applyBorder="1" applyAlignment="1">
      <alignment horizontal="right" vertical="center"/>
    </xf>
    <xf numFmtId="3" fontId="29" fillId="0" borderId="183" xfId="4" applyNumberFormat="1" applyFont="1" applyFill="1" applyBorder="1" applyAlignment="1">
      <alignment horizontal="right" vertical="center"/>
    </xf>
    <xf numFmtId="3" fontId="27" fillId="25" borderId="183" xfId="4" applyNumberFormat="1" applyFont="1" applyFill="1" applyBorder="1" applyAlignment="1">
      <alignment horizontal="right" vertical="center"/>
    </xf>
    <xf numFmtId="43" fontId="27" fillId="0" borderId="35" xfId="1" applyFont="1" applyFill="1" applyBorder="1" applyAlignment="1">
      <alignment vertical="center"/>
    </xf>
    <xf numFmtId="43" fontId="25" fillId="6" borderId="35" xfId="1" applyFont="1" applyFill="1" applyBorder="1" applyAlignment="1">
      <alignment vertical="center"/>
    </xf>
    <xf numFmtId="43" fontId="31" fillId="0" borderId="168" xfId="1" applyFont="1" applyFill="1" applyBorder="1" applyAlignment="1"/>
    <xf numFmtId="43" fontId="7" fillId="0" borderId="169" xfId="1" applyFont="1" applyFill="1" applyBorder="1" applyAlignment="1">
      <alignment horizontal="right" vertical="center"/>
    </xf>
    <xf numFmtId="43" fontId="27" fillId="0" borderId="94" xfId="1" applyFont="1" applyFill="1" applyBorder="1" applyAlignment="1">
      <alignment horizontal="right" vertical="center"/>
    </xf>
    <xf numFmtId="43" fontId="7" fillId="0" borderId="94" xfId="1" applyFont="1" applyFill="1" applyBorder="1" applyAlignment="1">
      <alignment horizontal="right" vertical="center"/>
    </xf>
    <xf numFmtId="43" fontId="27" fillId="0" borderId="65" xfId="1" applyFont="1" applyFill="1" applyBorder="1" applyAlignment="1">
      <alignment horizontal="right" vertical="center"/>
    </xf>
    <xf numFmtId="43" fontId="7" fillId="0" borderId="65" xfId="1" applyFont="1" applyFill="1" applyBorder="1" applyAlignment="1">
      <alignment horizontal="right" vertical="center"/>
    </xf>
    <xf numFmtId="43" fontId="27" fillId="8" borderId="133" xfId="1" applyFont="1" applyFill="1" applyBorder="1" applyAlignment="1">
      <alignment vertical="center"/>
    </xf>
    <xf numFmtId="43" fontId="31" fillId="28" borderId="133" xfId="1" applyFont="1" applyFill="1" applyBorder="1" applyAlignment="1">
      <alignment vertical="center"/>
    </xf>
    <xf numFmtId="43" fontId="24" fillId="29" borderId="35" xfId="1" applyFont="1" applyFill="1" applyBorder="1" applyAlignment="1">
      <alignment vertical="center"/>
    </xf>
    <xf numFmtId="43" fontId="31" fillId="8" borderId="2" xfId="1" applyFont="1" applyFill="1" applyBorder="1" applyAlignment="1">
      <alignment vertical="center"/>
    </xf>
    <xf numFmtId="43" fontId="31" fillId="0" borderId="9" xfId="1" applyFont="1" applyFill="1" applyBorder="1" applyAlignment="1">
      <alignment horizontal="right" vertical="center"/>
    </xf>
    <xf numFmtId="3" fontId="0" fillId="0" borderId="0" xfId="0" applyNumberFormat="1" applyFont="1" applyBorder="1" applyAlignment="1">
      <alignment wrapText="1"/>
    </xf>
    <xf numFmtId="3" fontId="20" fillId="0" borderId="26" xfId="0" applyNumberFormat="1" applyFont="1" applyFill="1" applyBorder="1" applyAlignment="1">
      <alignment horizontal="center" vertical="top" wrapText="1"/>
    </xf>
    <xf numFmtId="3" fontId="20" fillId="0" borderId="0" xfId="0" applyNumberFormat="1" applyFont="1" applyFill="1" applyBorder="1" applyAlignment="1">
      <alignment horizontal="center" vertical="top" wrapText="1"/>
    </xf>
    <xf numFmtId="3" fontId="0" fillId="0" borderId="26" xfId="0" applyNumberFormat="1" applyFont="1" applyBorder="1" applyAlignment="1">
      <alignment wrapText="1"/>
    </xf>
    <xf numFmtId="3" fontId="25" fillId="6" borderId="26" xfId="0" applyNumberFormat="1" applyFont="1" applyFill="1" applyBorder="1" applyAlignment="1">
      <alignment vertical="center"/>
    </xf>
    <xf numFmtId="3" fontId="25" fillId="6" borderId="0" xfId="0" applyNumberFormat="1" applyFont="1" applyFill="1" applyBorder="1" applyAlignment="1">
      <alignment vertical="center"/>
    </xf>
    <xf numFmtId="3" fontId="27" fillId="32" borderId="26" xfId="0" applyNumberFormat="1" applyFont="1" applyFill="1" applyBorder="1" applyAlignment="1">
      <alignment vertical="center"/>
    </xf>
    <xf numFmtId="3" fontId="27" fillId="32" borderId="0" xfId="0" applyNumberFormat="1" applyFont="1" applyFill="1" applyBorder="1" applyAlignment="1">
      <alignment vertical="center"/>
    </xf>
    <xf numFmtId="3" fontId="7" fillId="0" borderId="183" xfId="4" applyNumberFormat="1" applyFont="1" applyFill="1" applyBorder="1" applyAlignment="1">
      <alignment horizontal="right" vertical="center"/>
    </xf>
    <xf numFmtId="0" fontId="0" fillId="0" borderId="183" xfId="0" applyFont="1" applyBorder="1"/>
    <xf numFmtId="3" fontId="0" fillId="0" borderId="183" xfId="0" applyNumberFormat="1" applyFont="1" applyBorder="1" applyAlignment="1">
      <alignment vertical="center"/>
    </xf>
    <xf numFmtId="3" fontId="37" fillId="0" borderId="183" xfId="0" applyNumberFormat="1" applyFont="1" applyBorder="1" applyAlignment="1">
      <alignment vertical="center"/>
    </xf>
    <xf numFmtId="0" fontId="39" fillId="0" borderId="183" xfId="0" applyFont="1" applyBorder="1" applyAlignment="1">
      <alignment vertical="center"/>
    </xf>
    <xf numFmtId="3" fontId="39" fillId="0" borderId="183" xfId="0" applyNumberFormat="1" applyFont="1" applyBorder="1" applyAlignment="1">
      <alignment vertical="center"/>
    </xf>
    <xf numFmtId="0" fontId="18" fillId="0" borderId="183" xfId="0" applyFont="1" applyBorder="1" applyAlignment="1">
      <alignment vertical="top"/>
    </xf>
    <xf numFmtId="3" fontId="0" fillId="0" borderId="183" xfId="0" applyNumberFormat="1" applyFont="1" applyBorder="1"/>
    <xf numFmtId="3" fontId="37" fillId="0" borderId="183" xfId="0" applyNumberFormat="1" applyFont="1" applyBorder="1"/>
    <xf numFmtId="3" fontId="8" fillId="0" borderId="183" xfId="0" applyNumberFormat="1" applyFont="1" applyBorder="1" applyAlignment="1">
      <alignment vertical="top"/>
    </xf>
    <xf numFmtId="0" fontId="37" fillId="0" borderId="183" xfId="0" applyFont="1" applyBorder="1" applyAlignment="1">
      <alignment vertical="center"/>
    </xf>
    <xf numFmtId="0" fontId="24" fillId="8" borderId="183" xfId="4" applyFont="1" applyFill="1" applyBorder="1" applyAlignment="1">
      <alignment horizontal="center" vertical="center" wrapText="1"/>
    </xf>
    <xf numFmtId="3" fontId="7" fillId="8" borderId="183" xfId="4" applyNumberFormat="1" applyFont="1" applyFill="1" applyBorder="1" applyAlignment="1">
      <alignment horizontal="right" vertical="center"/>
    </xf>
    <xf numFmtId="3" fontId="24" fillId="8" borderId="183" xfId="4" applyNumberFormat="1" applyFont="1" applyFill="1" applyBorder="1" applyAlignment="1">
      <alignment horizontal="right" vertical="center"/>
    </xf>
    <xf numFmtId="3" fontId="24" fillId="22" borderId="183" xfId="4" applyNumberFormat="1" applyFont="1" applyFill="1" applyBorder="1" applyAlignment="1">
      <alignment horizontal="right" vertical="center"/>
    </xf>
    <xf numFmtId="0" fontId="25" fillId="6" borderId="183" xfId="4" applyFont="1" applyFill="1" applyBorder="1" applyAlignment="1">
      <alignment horizontal="left" vertical="center"/>
    </xf>
    <xf numFmtId="3" fontId="25" fillId="6" borderId="183" xfId="4" applyNumberFormat="1" applyFont="1" applyFill="1" applyBorder="1" applyAlignment="1">
      <alignment horizontal="right" vertical="center"/>
    </xf>
    <xf numFmtId="3" fontId="25" fillId="22" borderId="183" xfId="4" applyNumberFormat="1" applyFont="1" applyFill="1" applyBorder="1" applyAlignment="1">
      <alignment horizontal="right" vertical="center"/>
    </xf>
    <xf numFmtId="3" fontId="32" fillId="0" borderId="183" xfId="6" applyNumberFormat="1" applyFont="1" applyFill="1" applyBorder="1" applyAlignment="1">
      <alignment vertical="center"/>
    </xf>
    <xf numFmtId="3" fontId="33" fillId="0" borderId="183" xfId="6" applyNumberFormat="1" applyFont="1" applyFill="1" applyBorder="1" applyAlignment="1">
      <alignment vertical="center"/>
    </xf>
    <xf numFmtId="3" fontId="33" fillId="25" borderId="183" xfId="6" applyNumberFormat="1" applyFont="1" applyFill="1" applyBorder="1" applyAlignment="1">
      <alignment vertical="center"/>
    </xf>
    <xf numFmtId="3" fontId="31" fillId="0" borderId="183" xfId="0" applyNumberFormat="1" applyFont="1" applyFill="1" applyBorder="1" applyAlignment="1">
      <alignment horizontal="right"/>
    </xf>
    <xf numFmtId="3" fontId="31" fillId="0" borderId="183" xfId="0" applyNumberFormat="1" applyFont="1" applyFill="1" applyBorder="1" applyAlignment="1">
      <alignment horizontal="right" vertical="center"/>
    </xf>
    <xf numFmtId="3" fontId="24" fillId="6" borderId="183" xfId="4" applyNumberFormat="1" applyFont="1" applyFill="1" applyBorder="1" applyAlignment="1">
      <alignment vertical="center"/>
    </xf>
    <xf numFmtId="0" fontId="40" fillId="2" borderId="0" xfId="0" applyFont="1" applyFill="1" applyBorder="1" applyAlignment="1">
      <alignment horizontal="center" vertical="center" wrapText="1"/>
    </xf>
    <xf numFmtId="0" fontId="74" fillId="2" borderId="0" xfId="0" applyFont="1" applyFill="1" applyBorder="1" applyAlignment="1">
      <alignment vertical="center"/>
    </xf>
    <xf numFmtId="3" fontId="74" fillId="2" borderId="0" xfId="0" applyNumberFormat="1" applyFont="1" applyFill="1" applyAlignment="1">
      <alignment vertical="center"/>
    </xf>
    <xf numFmtId="3" fontId="74" fillId="2" borderId="0" xfId="0" applyNumberFormat="1" applyFont="1" applyFill="1" applyBorder="1" applyAlignment="1">
      <alignment vertical="center"/>
    </xf>
    <xf numFmtId="3" fontId="25" fillId="8" borderId="17" xfId="4" applyNumberFormat="1" applyFont="1" applyFill="1" applyBorder="1" applyAlignment="1">
      <alignment vertical="center"/>
    </xf>
    <xf numFmtId="3" fontId="25" fillId="6" borderId="9" xfId="4" applyNumberFormat="1" applyFont="1" applyFill="1" applyBorder="1" applyAlignment="1">
      <alignment vertical="center"/>
    </xf>
    <xf numFmtId="3" fontId="27" fillId="0" borderId="27" xfId="4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vertical="center"/>
    </xf>
    <xf numFmtId="3" fontId="32" fillId="0" borderId="9" xfId="6" applyNumberFormat="1" applyFont="1" applyFill="1" applyBorder="1" applyAlignment="1">
      <alignment vertical="center"/>
    </xf>
    <xf numFmtId="43" fontId="32" fillId="0" borderId="9" xfId="1" applyFont="1" applyFill="1" applyBorder="1" applyAlignment="1">
      <alignment vertical="center"/>
    </xf>
    <xf numFmtId="43" fontId="32" fillId="0" borderId="10" xfId="1" applyFont="1" applyFill="1" applyBorder="1" applyAlignment="1">
      <alignment vertical="center"/>
    </xf>
    <xf numFmtId="3" fontId="24" fillId="23" borderId="15" xfId="4" applyNumberFormat="1" applyFont="1" applyFill="1" applyBorder="1" applyAlignment="1">
      <alignment horizontal="right" vertical="center"/>
    </xf>
    <xf numFmtId="0" fontId="7" fillId="32" borderId="21" xfId="4" applyFont="1" applyFill="1" applyBorder="1" applyAlignment="1">
      <alignment horizontal="left" vertical="center"/>
    </xf>
    <xf numFmtId="3" fontId="24" fillId="6" borderId="35" xfId="0" applyNumberFormat="1" applyFont="1" applyFill="1" applyBorder="1" applyAlignment="1">
      <alignment horizontal="right" vertical="center"/>
    </xf>
    <xf numFmtId="43" fontId="24" fillId="6" borderId="35" xfId="1" applyFont="1" applyFill="1" applyBorder="1" applyAlignment="1">
      <alignment horizontal="right" vertical="center"/>
    </xf>
    <xf numFmtId="0" fontId="24" fillId="8" borderId="79" xfId="4" applyFont="1" applyFill="1" applyBorder="1" applyAlignment="1">
      <alignment vertical="center" wrapText="1"/>
    </xf>
    <xf numFmtId="0" fontId="24" fillId="8" borderId="70" xfId="4" applyFont="1" applyFill="1" applyBorder="1" applyAlignment="1">
      <alignment horizontal="center" vertical="center" wrapText="1"/>
    </xf>
    <xf numFmtId="0" fontId="24" fillId="6" borderId="35" xfId="4" applyFont="1" applyFill="1" applyBorder="1" applyAlignment="1">
      <alignment horizontal="left" vertical="center"/>
    </xf>
    <xf numFmtId="3" fontId="28" fillId="2" borderId="135" xfId="0" applyNumberFormat="1" applyFont="1" applyFill="1" applyBorder="1" applyAlignment="1">
      <alignment vertical="top"/>
    </xf>
    <xf numFmtId="0" fontId="31" fillId="0" borderId="131" xfId="0" applyFont="1" applyFill="1" applyBorder="1" applyAlignment="1">
      <alignment horizontal="left" vertical="center" wrapText="1"/>
    </xf>
    <xf numFmtId="3" fontId="25" fillId="22" borderId="103" xfId="0" applyNumberFormat="1" applyFont="1" applyFill="1" applyBorder="1" applyAlignment="1">
      <alignment vertical="top"/>
    </xf>
    <xf numFmtId="3" fontId="25" fillId="25" borderId="102" xfId="0" applyNumberFormat="1" applyFont="1" applyFill="1" applyBorder="1" applyAlignment="1">
      <alignment vertical="top"/>
    </xf>
    <xf numFmtId="0" fontId="31" fillId="0" borderId="77" xfId="0" applyFont="1" applyFill="1" applyBorder="1" applyAlignment="1">
      <alignment vertical="top"/>
    </xf>
    <xf numFmtId="0" fontId="31" fillId="2" borderId="77" xfId="0" applyFont="1" applyFill="1" applyBorder="1" applyAlignment="1">
      <alignment vertical="center"/>
    </xf>
    <xf numFmtId="3" fontId="31" fillId="2" borderId="127" xfId="0" applyNumberFormat="1" applyFont="1" applyFill="1" applyBorder="1" applyAlignment="1">
      <alignment vertical="top"/>
    </xf>
    <xf numFmtId="3" fontId="31" fillId="32" borderId="127" xfId="0" applyNumberFormat="1" applyFont="1" applyFill="1" applyBorder="1" applyAlignment="1">
      <alignment vertical="top"/>
    </xf>
    <xf numFmtId="43" fontId="31" fillId="32" borderId="127" xfId="1" applyFont="1" applyFill="1" applyBorder="1" applyAlignment="1">
      <alignment vertical="top"/>
    </xf>
    <xf numFmtId="0" fontId="29" fillId="8" borderId="43" xfId="0" applyFont="1" applyFill="1" applyBorder="1" applyAlignment="1">
      <alignment vertical="top"/>
    </xf>
    <xf numFmtId="3" fontId="18" fillId="8" borderId="13" xfId="4" applyNumberFormat="1" applyFont="1" applyFill="1" applyBorder="1" applyAlignment="1">
      <alignment vertical="top" wrapText="1"/>
    </xf>
    <xf numFmtId="0" fontId="7" fillId="8" borderId="43" xfId="4" applyFont="1" applyFill="1" applyBorder="1" applyAlignment="1">
      <alignment vertical="top"/>
    </xf>
    <xf numFmtId="3" fontId="18" fillId="8" borderId="12" xfId="4" applyNumberFormat="1" applyFont="1" applyFill="1" applyBorder="1" applyAlignment="1">
      <alignment vertical="top" wrapText="1"/>
    </xf>
    <xf numFmtId="0" fontId="25" fillId="8" borderId="10" xfId="0" applyFont="1" applyFill="1" applyBorder="1" applyAlignment="1">
      <alignment vertical="center"/>
    </xf>
    <xf numFmtId="3" fontId="25" fillId="22" borderId="35" xfId="4" applyNumberFormat="1" applyFont="1" applyFill="1" applyBorder="1" applyAlignment="1">
      <alignment horizontal="right" vertical="center"/>
    </xf>
    <xf numFmtId="3" fontId="18" fillId="0" borderId="13" xfId="4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0" borderId="0" xfId="0" applyFont="1" applyFill="1" applyBorder="1" applyAlignment="1">
      <alignment vertical="center"/>
    </xf>
    <xf numFmtId="0" fontId="24" fillId="8" borderId="10" xfId="4" applyFont="1" applyFill="1" applyBorder="1" applyAlignment="1">
      <alignment horizontal="right" vertical="top"/>
    </xf>
    <xf numFmtId="0" fontId="27" fillId="8" borderId="168" xfId="4" applyFont="1" applyFill="1" applyBorder="1" applyAlignment="1">
      <alignment horizontal="left" vertical="center"/>
    </xf>
    <xf numFmtId="3" fontId="27" fillId="8" borderId="167" xfId="4" applyNumberFormat="1" applyFont="1" applyFill="1" applyBorder="1" applyAlignment="1">
      <alignment vertical="top"/>
    </xf>
    <xf numFmtId="3" fontId="27" fillId="23" borderId="167" xfId="4" applyNumberFormat="1" applyFont="1" applyFill="1" applyBorder="1" applyAlignment="1">
      <alignment vertical="top"/>
    </xf>
    <xf numFmtId="0" fontId="0" fillId="0" borderId="0" xfId="0" applyFont="1" applyFill="1" applyBorder="1"/>
    <xf numFmtId="0" fontId="7" fillId="8" borderId="10" xfId="4" applyFont="1" applyFill="1" applyBorder="1" applyAlignment="1">
      <alignment vertical="top"/>
    </xf>
    <xf numFmtId="0" fontId="7" fillId="8" borderId="168" xfId="4" applyFont="1" applyFill="1" applyBorder="1" applyAlignment="1">
      <alignment vertical="top"/>
    </xf>
    <xf numFmtId="3" fontId="7" fillId="8" borderId="167" xfId="4" applyNumberFormat="1" applyFont="1" applyFill="1" applyBorder="1" applyAlignment="1">
      <alignment vertical="top"/>
    </xf>
    <xf numFmtId="3" fontId="7" fillId="23" borderId="167" xfId="4" applyNumberFormat="1" applyFont="1" applyFill="1" applyBorder="1" applyAlignment="1">
      <alignment vertical="top"/>
    </xf>
    <xf numFmtId="3" fontId="32" fillId="0" borderId="0" xfId="0" applyNumberFormat="1" applyFont="1" applyFill="1" applyBorder="1"/>
    <xf numFmtId="3" fontId="0" fillId="0" borderId="0" xfId="0" applyNumberFormat="1" applyFont="1" applyFill="1" applyBorder="1"/>
    <xf numFmtId="0" fontId="27" fillId="8" borderId="21" xfId="4" applyFont="1" applyFill="1" applyBorder="1" applyAlignment="1">
      <alignment horizontal="left" vertical="center"/>
    </xf>
    <xf numFmtId="0" fontId="27" fillId="8" borderId="20" xfId="4" applyFont="1" applyFill="1" applyBorder="1" applyAlignment="1">
      <alignment horizontal="left" vertical="center"/>
    </xf>
    <xf numFmtId="3" fontId="27" fillId="8" borderId="35" xfId="4" applyNumberFormat="1" applyFont="1" applyFill="1" applyBorder="1" applyAlignment="1">
      <alignment vertical="top"/>
    </xf>
    <xf numFmtId="3" fontId="27" fillId="23" borderId="35" xfId="4" applyNumberFormat="1" applyFont="1" applyFill="1" applyBorder="1" applyAlignment="1">
      <alignment vertical="top"/>
    </xf>
    <xf numFmtId="0" fontId="29" fillId="8" borderId="168" xfId="4" applyFont="1" applyFill="1" applyBorder="1" applyAlignment="1">
      <alignment horizontal="left" vertical="center"/>
    </xf>
    <xf numFmtId="3" fontId="25" fillId="6" borderId="35" xfId="4" applyNumberFormat="1" applyFont="1" applyFill="1" applyBorder="1" applyAlignment="1">
      <alignment vertical="center"/>
    </xf>
    <xf numFmtId="0" fontId="7" fillId="8" borderId="27" xfId="4" applyFont="1" applyFill="1" applyBorder="1" applyAlignment="1">
      <alignment vertical="top"/>
    </xf>
    <xf numFmtId="3" fontId="7" fillId="8" borderId="13" xfId="4" applyNumberFormat="1" applyFont="1" applyFill="1" applyBorder="1" applyAlignment="1">
      <alignment vertical="top"/>
    </xf>
    <xf numFmtId="0" fontId="27" fillId="8" borderId="9" xfId="4" applyFont="1" applyFill="1" applyBorder="1" applyAlignment="1">
      <alignment horizontal="left" vertical="center"/>
    </xf>
    <xf numFmtId="0" fontId="7" fillId="8" borderId="168" xfId="4" applyFont="1" applyFill="1" applyBorder="1" applyAlignment="1">
      <alignment horizontal="left" vertical="center"/>
    </xf>
    <xf numFmtId="0" fontId="7" fillId="8" borderId="74" xfId="4" applyFont="1" applyFill="1" applyBorder="1" applyAlignment="1">
      <alignment vertical="top"/>
    </xf>
    <xf numFmtId="0" fontId="7" fillId="8" borderId="77" xfId="4" applyFont="1" applyFill="1" applyBorder="1" applyAlignment="1">
      <alignment vertical="top" wrapText="1"/>
    </xf>
    <xf numFmtId="0" fontId="31" fillId="8" borderId="144" xfId="4" applyFont="1" applyFill="1" applyBorder="1" applyAlignment="1">
      <alignment horizontal="left" vertical="center"/>
    </xf>
    <xf numFmtId="3" fontId="7" fillId="8" borderId="127" xfId="4" applyNumberFormat="1" applyFont="1" applyFill="1" applyBorder="1" applyAlignment="1">
      <alignment vertical="top"/>
    </xf>
    <xf numFmtId="0" fontId="0" fillId="0" borderId="0" xfId="0" applyFont="1" applyAlignment="1">
      <alignment horizontal="left" vertical="center"/>
    </xf>
    <xf numFmtId="0" fontId="4" fillId="0" borderId="183" xfId="0" applyFont="1" applyBorder="1"/>
    <xf numFmtId="0" fontId="4" fillId="0" borderId="183" xfId="0" applyFont="1" applyBorder="1" applyAlignment="1">
      <alignment vertical="center"/>
    </xf>
    <xf numFmtId="3" fontId="4" fillId="0" borderId="183" xfId="0" applyNumberFormat="1" applyFont="1" applyBorder="1"/>
    <xf numFmtId="0" fontId="8" fillId="0" borderId="0" xfId="0" applyFont="1" applyFill="1"/>
    <xf numFmtId="0" fontId="36" fillId="0" borderId="13" xfId="0" applyFont="1" applyBorder="1" applyAlignment="1">
      <alignment horizontal="center" vertical="center"/>
    </xf>
    <xf numFmtId="3" fontId="31" fillId="0" borderId="39" xfId="0" quotePrefix="1" applyNumberFormat="1" applyFont="1" applyBorder="1" applyAlignment="1">
      <alignment horizontal="center" vertical="center"/>
    </xf>
    <xf numFmtId="3" fontId="7" fillId="0" borderId="2" xfId="0" quotePrefix="1" applyNumberFormat="1" applyFont="1" applyBorder="1" applyAlignment="1">
      <alignment horizontal="center" vertical="center"/>
    </xf>
    <xf numFmtId="3" fontId="6" fillId="0" borderId="4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3" fontId="62" fillId="37" borderId="39" xfId="0" applyNumberFormat="1" applyFont="1" applyFill="1" applyBorder="1" applyAlignment="1">
      <alignment vertical="center" wrapText="1"/>
    </xf>
    <xf numFmtId="3" fontId="62" fillId="38" borderId="40" xfId="0" applyNumberFormat="1" applyFont="1" applyFill="1" applyBorder="1" applyAlignment="1">
      <alignment vertical="center" wrapText="1"/>
    </xf>
    <xf numFmtId="164" fontId="72" fillId="0" borderId="0" xfId="0" applyNumberFormat="1" applyFont="1" applyFill="1" applyBorder="1" applyAlignment="1">
      <alignment vertical="center"/>
    </xf>
    <xf numFmtId="3" fontId="62" fillId="6" borderId="39" xfId="0" applyNumberFormat="1" applyFont="1" applyFill="1" applyBorder="1" applyAlignment="1">
      <alignment vertical="center" wrapText="1"/>
    </xf>
    <xf numFmtId="3" fontId="62" fillId="39" borderId="40" xfId="0" applyNumberFormat="1" applyFont="1" applyFill="1" applyBorder="1" applyAlignment="1">
      <alignment horizontal="center" vertical="center" wrapText="1"/>
    </xf>
    <xf numFmtId="164" fontId="72" fillId="2" borderId="0" xfId="0" applyNumberFormat="1" applyFont="1" applyFill="1" applyBorder="1" applyAlignment="1">
      <alignment vertical="center"/>
    </xf>
    <xf numFmtId="3" fontId="62" fillId="2" borderId="15" xfId="0" applyNumberFormat="1" applyFont="1" applyFill="1" applyBorder="1" applyAlignment="1">
      <alignment vertical="center" wrapText="1"/>
    </xf>
    <xf numFmtId="3" fontId="62" fillId="0" borderId="42" xfId="0" applyNumberFormat="1" applyFont="1" applyFill="1" applyBorder="1" applyAlignment="1">
      <alignment horizontal="center" vertical="center" wrapText="1"/>
    </xf>
    <xf numFmtId="3" fontId="76" fillId="4" borderId="35" xfId="0" applyNumberFormat="1" applyFont="1" applyFill="1" applyBorder="1" applyAlignment="1">
      <alignment vertical="center" wrapText="1"/>
    </xf>
    <xf numFmtId="3" fontId="65" fillId="40" borderId="46" xfId="0" applyNumberFormat="1" applyFont="1" applyFill="1" applyBorder="1" applyAlignment="1">
      <alignment vertical="center" wrapText="1"/>
    </xf>
    <xf numFmtId="3" fontId="76" fillId="6" borderId="30" xfId="0" applyNumberFormat="1" applyFont="1" applyFill="1" applyBorder="1" applyAlignment="1">
      <alignment vertical="center" wrapText="1"/>
    </xf>
    <xf numFmtId="3" fontId="62" fillId="41" borderId="49" xfId="0" applyNumberFormat="1" applyFont="1" applyFill="1" applyBorder="1" applyAlignment="1">
      <alignment horizontal="center" vertical="center" wrapText="1"/>
    </xf>
    <xf numFmtId="3" fontId="76" fillId="4" borderId="30" xfId="0" applyNumberFormat="1" applyFont="1" applyFill="1" applyBorder="1" applyAlignment="1">
      <alignment vertical="center" wrapText="1"/>
    </xf>
    <xf numFmtId="3" fontId="65" fillId="40" borderId="170" xfId="0" applyNumberFormat="1" applyFont="1" applyFill="1" applyBorder="1" applyAlignment="1">
      <alignment horizontal="center" vertical="center" wrapText="1"/>
    </xf>
    <xf numFmtId="3" fontId="62" fillId="37" borderId="12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Border="1"/>
    <xf numFmtId="3" fontId="6" fillId="0" borderId="0" xfId="0" applyNumberFormat="1" applyFont="1" applyBorder="1"/>
    <xf numFmtId="3" fontId="8" fillId="0" borderId="143" xfId="0" applyNumberFormat="1" applyFont="1" applyBorder="1"/>
    <xf numFmtId="0" fontId="36" fillId="0" borderId="0" xfId="0" applyFont="1" applyAlignment="1">
      <alignment horizontal="center" vertical="center"/>
    </xf>
    <xf numFmtId="0" fontId="8" fillId="0" borderId="0" xfId="0" applyFont="1" applyBorder="1" applyAlignment="1">
      <alignment wrapText="1"/>
    </xf>
    <xf numFmtId="0" fontId="3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0" borderId="3" xfId="0" applyFont="1" applyBorder="1"/>
    <xf numFmtId="0" fontId="8" fillId="0" borderId="3" xfId="0" applyFont="1" applyFill="1" applyBorder="1"/>
    <xf numFmtId="0" fontId="8" fillId="0" borderId="26" xfId="0" applyFont="1" applyBorder="1" applyAlignment="1">
      <alignment horizontal="center" vertical="center"/>
    </xf>
    <xf numFmtId="0" fontId="8" fillId="0" borderId="0" xfId="0" applyFont="1" applyFill="1" applyBorder="1"/>
    <xf numFmtId="0" fontId="8" fillId="0" borderId="68" xfId="0" applyFont="1" applyBorder="1" applyAlignment="1">
      <alignment horizontal="center" vertical="center"/>
    </xf>
    <xf numFmtId="0" fontId="6" fillId="0" borderId="24" xfId="0" applyFont="1" applyBorder="1"/>
    <xf numFmtId="0" fontId="8" fillId="0" borderId="24" xfId="0" applyFont="1" applyFill="1" applyBorder="1"/>
    <xf numFmtId="3" fontId="60" fillId="0" borderId="0" xfId="0" applyNumberFormat="1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164" fontId="72" fillId="2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Alignment="1">
      <alignment vertical="center" wrapText="1"/>
    </xf>
    <xf numFmtId="0" fontId="72" fillId="2" borderId="0" xfId="0" applyFont="1" applyFill="1" applyBorder="1" applyAlignment="1">
      <alignment vertical="center" wrapText="1"/>
    </xf>
    <xf numFmtId="3" fontId="31" fillId="8" borderId="167" xfId="4" applyNumberFormat="1" applyFont="1" applyFill="1" applyBorder="1" applyAlignment="1">
      <alignment horizontal="right" vertical="center"/>
    </xf>
    <xf numFmtId="3" fontId="7" fillId="8" borderId="176" xfId="4" applyNumberFormat="1" applyFont="1" applyFill="1" applyBorder="1" applyAlignment="1">
      <alignment vertical="center" wrapText="1"/>
    </xf>
    <xf numFmtId="3" fontId="7" fillId="8" borderId="172" xfId="0" applyNumberFormat="1" applyFont="1" applyFill="1" applyBorder="1" applyAlignment="1">
      <alignment vertical="center"/>
    </xf>
    <xf numFmtId="3" fontId="7" fillId="8" borderId="178" xfId="0" applyNumberFormat="1" applyFont="1" applyFill="1" applyBorder="1" applyAlignment="1">
      <alignment vertical="center"/>
    </xf>
    <xf numFmtId="3" fontId="31" fillId="23" borderId="178" xfId="4" applyNumberFormat="1" applyFont="1" applyFill="1" applyBorder="1" applyAlignment="1">
      <alignment vertical="center"/>
    </xf>
    <xf numFmtId="43" fontId="23" fillId="6" borderId="9" xfId="1" applyFont="1" applyFill="1" applyBorder="1" applyAlignment="1">
      <alignment horizontal="right" vertical="center"/>
    </xf>
    <xf numFmtId="43" fontId="6" fillId="0" borderId="47" xfId="1" applyFont="1" applyFill="1" applyBorder="1" applyAlignment="1">
      <alignment vertical="center" wrapText="1"/>
    </xf>
    <xf numFmtId="43" fontId="62" fillId="6" borderId="30" xfId="1" applyFont="1" applyFill="1" applyBorder="1" applyAlignment="1">
      <alignment vertical="center" wrapText="1"/>
    </xf>
    <xf numFmtId="3" fontId="8" fillId="0" borderId="127" xfId="0" applyNumberFormat="1" applyFont="1" applyFill="1" applyBorder="1" applyAlignment="1">
      <alignment vertical="center" wrapText="1"/>
    </xf>
    <xf numFmtId="0" fontId="7" fillId="32" borderId="25" xfId="4" applyFont="1" applyFill="1" applyBorder="1" applyAlignment="1">
      <alignment horizontal="left" vertical="center"/>
    </xf>
    <xf numFmtId="0" fontId="63" fillId="58" borderId="131" xfId="0" applyFont="1" applyFill="1" applyBorder="1"/>
    <xf numFmtId="0" fontId="8" fillId="0" borderId="172" xfId="0" applyFont="1" applyFill="1" applyBorder="1" applyAlignment="1">
      <alignment vertical="center" wrapText="1"/>
    </xf>
    <xf numFmtId="0" fontId="31" fillId="55" borderId="131" xfId="4" applyFont="1" applyFill="1" applyBorder="1" applyAlignment="1">
      <alignment horizontal="left" vertical="center"/>
    </xf>
    <xf numFmtId="0" fontId="63" fillId="56" borderId="131" xfId="0" applyFont="1" applyFill="1" applyBorder="1" applyAlignment="1">
      <alignment vertical="center"/>
    </xf>
    <xf numFmtId="3" fontId="31" fillId="0" borderId="183" xfId="4" applyNumberFormat="1" applyFont="1" applyFill="1" applyBorder="1" applyAlignment="1">
      <alignment vertical="center"/>
    </xf>
    <xf numFmtId="0" fontId="7" fillId="0" borderId="25" xfId="4" applyFont="1" applyFill="1" applyBorder="1" applyAlignment="1">
      <alignment vertical="center"/>
    </xf>
    <xf numFmtId="3" fontId="32" fillId="0" borderId="12" xfId="6" applyNumberFormat="1" applyFont="1" applyFill="1" applyBorder="1" applyAlignment="1">
      <alignment vertical="center"/>
    </xf>
    <xf numFmtId="0" fontId="7" fillId="0" borderId="113" xfId="4" applyFont="1" applyFill="1" applyBorder="1" applyAlignment="1">
      <alignment vertical="center"/>
    </xf>
    <xf numFmtId="3" fontId="32" fillId="0" borderId="74" xfId="6" applyNumberFormat="1" applyFont="1" applyFill="1" applyBorder="1" applyAlignment="1">
      <alignment vertical="center"/>
    </xf>
    <xf numFmtId="3" fontId="25" fillId="23" borderId="2" xfId="4" applyNumberFormat="1" applyFont="1" applyFill="1" applyBorder="1" applyAlignment="1">
      <alignment horizontal="right" vertical="center"/>
    </xf>
    <xf numFmtId="3" fontId="25" fillId="22" borderId="125" xfId="4" applyNumberFormat="1" applyFont="1" applyFill="1" applyBorder="1" applyAlignment="1">
      <alignment horizontal="right" vertical="center"/>
    </xf>
    <xf numFmtId="3" fontId="33" fillId="0" borderId="128" xfId="6" applyNumberFormat="1" applyFont="1" applyFill="1" applyBorder="1" applyAlignment="1">
      <alignment vertical="center"/>
    </xf>
    <xf numFmtId="3" fontId="24" fillId="6" borderId="128" xfId="4" applyNumberFormat="1" applyFont="1" applyFill="1" applyBorder="1" applyAlignment="1">
      <alignment vertical="center"/>
    </xf>
    <xf numFmtId="3" fontId="7" fillId="2" borderId="74" xfId="4" applyNumberFormat="1" applyFont="1" applyFill="1" applyBorder="1" applyAlignment="1">
      <alignment vertical="center"/>
    </xf>
    <xf numFmtId="0" fontId="25" fillId="6" borderId="28" xfId="4" applyFont="1" applyFill="1" applyBorder="1" applyAlignment="1">
      <alignment horizontal="center" vertical="center"/>
    </xf>
    <xf numFmtId="0" fontId="7" fillId="0" borderId="112" xfId="4" applyFont="1" applyFill="1" applyBorder="1" applyAlignment="1">
      <alignment vertical="center"/>
    </xf>
    <xf numFmtId="0" fontId="27" fillId="2" borderId="112" xfId="4" applyFont="1" applyFill="1" applyBorder="1" applyAlignment="1">
      <alignment vertical="center"/>
    </xf>
    <xf numFmtId="43" fontId="7" fillId="0" borderId="101" xfId="1" applyFont="1" applyFill="1" applyBorder="1" applyAlignment="1">
      <alignment horizontal="right" vertical="center"/>
    </xf>
    <xf numFmtId="0" fontId="7" fillId="0" borderId="83" xfId="4" applyFont="1" applyFill="1" applyBorder="1" applyAlignment="1">
      <alignment horizontal="left" vertical="center"/>
    </xf>
    <xf numFmtId="3" fontId="7" fillId="0" borderId="47" xfId="4" applyNumberFormat="1" applyFont="1" applyFill="1" applyBorder="1" applyAlignment="1">
      <alignment vertical="center"/>
    </xf>
    <xf numFmtId="0" fontId="31" fillId="0" borderId="173" xfId="4" applyFont="1" applyFill="1" applyBorder="1" applyAlignment="1">
      <alignment vertical="center"/>
    </xf>
    <xf numFmtId="0" fontId="31" fillId="0" borderId="21" xfId="4" applyFont="1" applyFill="1" applyBorder="1" applyAlignment="1">
      <alignment horizontal="left" vertical="center"/>
    </xf>
    <xf numFmtId="3" fontId="31" fillId="0" borderId="177" xfId="4" applyNumberFormat="1" applyFont="1" applyFill="1" applyBorder="1" applyAlignment="1">
      <alignment horizontal="right" vertical="center"/>
    </xf>
    <xf numFmtId="3" fontId="29" fillId="2" borderId="9" xfId="4" applyNumberFormat="1" applyFont="1" applyFill="1" applyBorder="1" applyAlignment="1">
      <alignment vertical="center"/>
    </xf>
    <xf numFmtId="0" fontId="31" fillId="0" borderId="131" xfId="4" applyFont="1" applyFill="1" applyBorder="1" applyAlignment="1">
      <alignment horizontal="left" vertical="center"/>
    </xf>
    <xf numFmtId="3" fontId="31" fillId="0" borderId="13" xfId="4" applyNumberFormat="1" applyFont="1" applyFill="1" applyBorder="1" applyAlignment="1">
      <alignment horizontal="right" vertical="center"/>
    </xf>
    <xf numFmtId="3" fontId="31" fillId="0" borderId="27" xfId="4" applyNumberFormat="1" applyFont="1" applyFill="1" applyBorder="1" applyAlignment="1">
      <alignment horizontal="right" vertical="center"/>
    </xf>
    <xf numFmtId="3" fontId="23" fillId="6" borderId="9" xfId="6" applyNumberFormat="1" applyFont="1" applyFill="1" applyBorder="1" applyAlignment="1">
      <alignment horizontal="right" vertical="center"/>
    </xf>
    <xf numFmtId="0" fontId="31" fillId="0" borderId="21" xfId="4" applyFont="1" applyFill="1" applyBorder="1" applyAlignment="1">
      <alignment vertical="center"/>
    </xf>
    <xf numFmtId="3" fontId="31" fillId="0" borderId="145" xfId="4" applyNumberFormat="1" applyFont="1" applyFill="1" applyBorder="1" applyAlignment="1">
      <alignment horizontal="right" vertical="center"/>
    </xf>
    <xf numFmtId="43" fontId="27" fillId="2" borderId="9" xfId="1" applyFont="1" applyFill="1" applyBorder="1" applyAlignment="1">
      <alignment vertical="top"/>
    </xf>
    <xf numFmtId="3" fontId="25" fillId="25" borderId="10" xfId="0" applyNumberFormat="1" applyFont="1" applyFill="1" applyBorder="1" applyAlignment="1">
      <alignment vertical="top"/>
    </xf>
    <xf numFmtId="0" fontId="31" fillId="6" borderId="104" xfId="0" applyFont="1" applyFill="1" applyBorder="1" applyAlignment="1">
      <alignment vertical="top"/>
    </xf>
    <xf numFmtId="0" fontId="31" fillId="0" borderId="106" xfId="0" applyFont="1" applyFill="1" applyBorder="1" applyAlignment="1">
      <alignment horizontal="left" vertical="center" wrapText="1"/>
    </xf>
    <xf numFmtId="0" fontId="7" fillId="6" borderId="104" xfId="0" applyFont="1" applyFill="1" applyBorder="1" applyAlignment="1">
      <alignment horizontal="left" vertical="center" wrapText="1"/>
    </xf>
    <xf numFmtId="3" fontId="27" fillId="2" borderId="114" xfId="4" applyNumberFormat="1" applyFont="1" applyFill="1" applyBorder="1" applyAlignment="1">
      <alignment vertical="center" wrapText="1"/>
    </xf>
    <xf numFmtId="0" fontId="27" fillId="2" borderId="108" xfId="4" applyFont="1" applyFill="1" applyBorder="1" applyAlignment="1">
      <alignment vertical="top"/>
    </xf>
    <xf numFmtId="0" fontId="24" fillId="8" borderId="5" xfId="0" applyFont="1" applyFill="1" applyBorder="1" applyAlignment="1">
      <alignment vertical="center" wrapText="1"/>
    </xf>
    <xf numFmtId="3" fontId="38" fillId="0" borderId="167" xfId="0" applyNumberFormat="1" applyFont="1" applyFill="1" applyBorder="1" applyAlignment="1">
      <alignment vertical="center"/>
    </xf>
    <xf numFmtId="3" fontId="38" fillId="0" borderId="127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19" fillId="0" borderId="26" xfId="4" applyFont="1" applyFill="1" applyBorder="1" applyAlignment="1">
      <alignment vertical="center" wrapText="1"/>
    </xf>
    <xf numFmtId="3" fontId="7" fillId="0" borderId="35" xfId="0" applyNumberFormat="1" applyFont="1" applyFill="1" applyBorder="1" applyAlignment="1">
      <alignment vertical="center"/>
    </xf>
    <xf numFmtId="3" fontId="24" fillId="22" borderId="13" xfId="0" applyNumberFormat="1" applyFont="1" applyFill="1" applyBorder="1" applyAlignment="1">
      <alignment vertical="center"/>
    </xf>
    <xf numFmtId="0" fontId="17" fillId="2" borderId="43" xfId="0" applyFont="1" applyFill="1" applyBorder="1" applyAlignment="1">
      <alignment vertical="center" wrapText="1"/>
    </xf>
    <xf numFmtId="0" fontId="7" fillId="0" borderId="77" xfId="0" applyFont="1" applyFill="1" applyBorder="1" applyAlignment="1">
      <alignment vertical="center" wrapText="1"/>
    </xf>
    <xf numFmtId="0" fontId="19" fillId="0" borderId="68" xfId="4" applyFont="1" applyFill="1" applyBorder="1" applyAlignment="1">
      <alignment vertical="center" wrapText="1"/>
    </xf>
    <xf numFmtId="3" fontId="24" fillId="22" borderId="12" xfId="0" applyNumberFormat="1" applyFont="1" applyFill="1" applyBorder="1" applyAlignment="1">
      <alignment vertical="center"/>
    </xf>
    <xf numFmtId="0" fontId="17" fillId="2" borderId="41" xfId="0" applyFont="1" applyFill="1" applyBorder="1" applyAlignment="1">
      <alignment vertical="center" wrapText="1"/>
    </xf>
    <xf numFmtId="0" fontId="25" fillId="8" borderId="21" xfId="0" applyFont="1" applyFill="1" applyBorder="1" applyAlignment="1">
      <alignment vertical="center" wrapText="1"/>
    </xf>
    <xf numFmtId="0" fontId="25" fillId="8" borderId="85" xfId="0" applyFont="1" applyFill="1" applyBorder="1" applyAlignment="1">
      <alignment horizontal="center" vertical="center" wrapText="1"/>
    </xf>
    <xf numFmtId="3" fontId="31" fillId="8" borderId="7" xfId="0" applyNumberFormat="1" applyFont="1" applyFill="1" applyBorder="1" applyAlignment="1">
      <alignment vertical="top"/>
    </xf>
    <xf numFmtId="0" fontId="31" fillId="8" borderId="8" xfId="0" applyFont="1" applyFill="1" applyBorder="1" applyAlignment="1">
      <alignment vertical="top"/>
    </xf>
    <xf numFmtId="3" fontId="31" fillId="8" borderId="8" xfId="0" applyNumberFormat="1" applyFont="1" applyFill="1" applyBorder="1" applyAlignment="1">
      <alignment vertical="top"/>
    </xf>
    <xf numFmtId="0" fontId="31" fillId="8" borderId="9" xfId="0" applyFont="1" applyFill="1" applyBorder="1" applyAlignment="1">
      <alignment vertical="top"/>
    </xf>
    <xf numFmtId="0" fontId="7" fillId="23" borderId="35" xfId="0" applyFont="1" applyFill="1" applyBorder="1" applyAlignment="1">
      <alignment vertical="top"/>
    </xf>
    <xf numFmtId="0" fontId="62" fillId="6" borderId="20" xfId="4" applyFont="1" applyFill="1" applyBorder="1" applyAlignment="1">
      <alignment horizontal="left" vertical="center"/>
    </xf>
    <xf numFmtId="3" fontId="25" fillId="6" borderId="35" xfId="0" applyNumberFormat="1" applyFont="1" applyFill="1" applyBorder="1" applyAlignment="1">
      <alignment vertical="center"/>
    </xf>
    <xf numFmtId="3" fontId="27" fillId="0" borderId="90" xfId="0" applyNumberFormat="1" applyFont="1" applyFill="1" applyBorder="1" applyAlignment="1">
      <alignment vertical="center"/>
    </xf>
    <xf numFmtId="0" fontId="8" fillId="0" borderId="21" xfId="4" applyFont="1" applyFill="1" applyBorder="1" applyAlignment="1">
      <alignment vertical="center" wrapText="1"/>
    </xf>
    <xf numFmtId="3" fontId="31" fillId="0" borderId="90" xfId="0" applyNumberFormat="1" applyFont="1" applyFill="1" applyBorder="1" applyAlignment="1">
      <alignment vertical="center"/>
    </xf>
    <xf numFmtId="3" fontId="31" fillId="0" borderId="100" xfId="0" applyNumberFormat="1" applyFont="1" applyFill="1" applyBorder="1" applyAlignment="1">
      <alignment vertical="center"/>
    </xf>
    <xf numFmtId="3" fontId="31" fillId="22" borderId="35" xfId="0" applyNumberFormat="1" applyFont="1" applyFill="1" applyBorder="1" applyAlignment="1">
      <alignment vertical="center"/>
    </xf>
    <xf numFmtId="3" fontId="28" fillId="0" borderId="90" xfId="0" applyNumberFormat="1" applyFont="1" applyFill="1" applyBorder="1" applyAlignment="1">
      <alignment vertical="center"/>
    </xf>
    <xf numFmtId="3" fontId="28" fillId="0" borderId="92" xfId="0" applyNumberFormat="1" applyFont="1" applyFill="1" applyBorder="1" applyAlignment="1">
      <alignment vertical="top"/>
    </xf>
    <xf numFmtId="3" fontId="28" fillId="0" borderId="100" xfId="0" applyNumberFormat="1" applyFont="1" applyFill="1" applyBorder="1" applyAlignment="1">
      <alignment vertical="center"/>
    </xf>
    <xf numFmtId="3" fontId="28" fillId="22" borderId="35" xfId="0" applyNumberFormat="1" applyFont="1" applyFill="1" applyBorder="1" applyAlignment="1">
      <alignment vertical="center"/>
    </xf>
    <xf numFmtId="3" fontId="27" fillId="22" borderId="35" xfId="0" applyNumberFormat="1" applyFont="1" applyFill="1" applyBorder="1" applyAlignment="1">
      <alignment vertical="center"/>
    </xf>
    <xf numFmtId="0" fontId="7" fillId="0" borderId="32" xfId="4" applyFont="1" applyFill="1" applyBorder="1" applyAlignment="1">
      <alignment vertical="top"/>
    </xf>
    <xf numFmtId="0" fontId="7" fillId="0" borderId="32" xfId="0" applyFont="1" applyFill="1" applyBorder="1" applyAlignment="1">
      <alignment vertical="center" wrapText="1"/>
    </xf>
    <xf numFmtId="3" fontId="25" fillId="6" borderId="103" xfId="0" applyNumberFormat="1" applyFont="1" applyFill="1" applyBorder="1" applyAlignment="1">
      <alignment vertical="center"/>
    </xf>
    <xf numFmtId="3" fontId="27" fillId="0" borderId="102" xfId="0" applyNumberFormat="1" applyFont="1" applyFill="1" applyBorder="1" applyAlignment="1">
      <alignment vertical="center"/>
    </xf>
    <xf numFmtId="3" fontId="27" fillId="0" borderId="102" xfId="0" applyNumberFormat="1" applyFont="1" applyFill="1" applyBorder="1" applyAlignment="1">
      <alignment vertical="top"/>
    </xf>
    <xf numFmtId="3" fontId="31" fillId="0" borderId="102" xfId="0" applyNumberFormat="1" applyFont="1" applyFill="1" applyBorder="1" applyAlignment="1">
      <alignment vertical="center"/>
    </xf>
    <xf numFmtId="3" fontId="28" fillId="0" borderId="102" xfId="0" applyNumberFormat="1" applyFont="1" applyFill="1" applyBorder="1" applyAlignment="1">
      <alignment vertical="center"/>
    </xf>
    <xf numFmtId="3" fontId="25" fillId="0" borderId="102" xfId="0" applyNumberFormat="1" applyFont="1" applyFill="1" applyBorder="1" applyAlignment="1">
      <alignment vertical="center"/>
    </xf>
    <xf numFmtId="3" fontId="25" fillId="0" borderId="102" xfId="0" applyNumberFormat="1" applyFont="1" applyFill="1" applyBorder="1" applyAlignment="1">
      <alignment vertical="top"/>
    </xf>
    <xf numFmtId="0" fontId="7" fillId="0" borderId="106" xfId="0" applyFont="1" applyFill="1" applyBorder="1" applyAlignment="1">
      <alignment vertical="center" wrapText="1"/>
    </xf>
    <xf numFmtId="3" fontId="28" fillId="0" borderId="101" xfId="0" applyNumberFormat="1" applyFont="1" applyFill="1" applyBorder="1" applyAlignment="1">
      <alignment vertical="center"/>
    </xf>
    <xf numFmtId="3" fontId="28" fillId="0" borderId="101" xfId="0" applyNumberFormat="1" applyFont="1" applyFill="1" applyBorder="1" applyAlignment="1">
      <alignment vertical="top"/>
    </xf>
    <xf numFmtId="0" fontId="25" fillId="6" borderId="35" xfId="4" applyFont="1" applyFill="1" applyBorder="1" applyAlignment="1">
      <alignment horizontal="left" vertical="center"/>
    </xf>
    <xf numFmtId="3" fontId="27" fillId="23" borderId="133" xfId="0" applyNumberFormat="1" applyFont="1" applyFill="1" applyBorder="1" applyAlignment="1">
      <alignment vertical="top"/>
    </xf>
    <xf numFmtId="3" fontId="28" fillId="23" borderId="133" xfId="0" applyNumberFormat="1" applyFont="1" applyFill="1" applyBorder="1" applyAlignment="1">
      <alignment horizontal="center" vertical="top"/>
    </xf>
    <xf numFmtId="3" fontId="27" fillId="23" borderId="133" xfId="0" applyNumberFormat="1" applyFont="1" applyFill="1" applyBorder="1" applyAlignment="1">
      <alignment horizontal="center" vertical="top"/>
    </xf>
    <xf numFmtId="3" fontId="31" fillId="8" borderId="127" xfId="0" applyNumberFormat="1" applyFont="1" applyFill="1" applyBorder="1" applyAlignment="1">
      <alignment vertical="top"/>
    </xf>
    <xf numFmtId="0" fontId="25" fillId="8" borderId="35" xfId="0" applyFont="1" applyFill="1" applyBorder="1" applyAlignment="1">
      <alignment horizontal="left" vertical="center" wrapText="1"/>
    </xf>
    <xf numFmtId="0" fontId="25" fillId="8" borderId="35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vertical="top"/>
    </xf>
    <xf numFmtId="3" fontId="31" fillId="8" borderId="10" xfId="0" applyNumberFormat="1" applyFont="1" applyFill="1" applyBorder="1" applyAlignment="1">
      <alignment vertical="top"/>
    </xf>
    <xf numFmtId="3" fontId="27" fillId="25" borderId="133" xfId="0" applyNumberFormat="1" applyFont="1" applyFill="1" applyBorder="1" applyAlignment="1">
      <alignment horizontal="center" vertical="top"/>
    </xf>
    <xf numFmtId="3" fontId="25" fillId="6" borderId="35" xfId="0" applyNumberFormat="1" applyFont="1" applyFill="1" applyBorder="1" applyAlignment="1">
      <alignment vertical="top"/>
    </xf>
    <xf numFmtId="3" fontId="25" fillId="6" borderId="13" xfId="0" applyNumberFormat="1" applyFont="1" applyFill="1" applyBorder="1" applyAlignment="1">
      <alignment vertical="top"/>
    </xf>
    <xf numFmtId="0" fontId="0" fillId="0" borderId="133" xfId="0" applyFont="1" applyBorder="1"/>
    <xf numFmtId="0" fontId="0" fillId="0" borderId="127" xfId="0" applyFont="1" applyBorder="1"/>
    <xf numFmtId="3" fontId="31" fillId="0" borderId="183" xfId="4" applyNumberFormat="1" applyFont="1" applyFill="1" applyBorder="1" applyAlignment="1"/>
    <xf numFmtId="0" fontId="18" fillId="8" borderId="3" xfId="0" applyFont="1" applyFill="1" applyBorder="1" applyAlignment="1">
      <alignment vertical="center"/>
    </xf>
    <xf numFmtId="0" fontId="18" fillId="8" borderId="79" xfId="0" applyFont="1" applyFill="1" applyBorder="1" applyAlignment="1">
      <alignment vertical="center"/>
    </xf>
    <xf numFmtId="3" fontId="18" fillId="8" borderId="79" xfId="0" applyNumberFormat="1" applyFont="1" applyFill="1" applyBorder="1" applyAlignment="1">
      <alignment vertical="center"/>
    </xf>
    <xf numFmtId="3" fontId="18" fillId="23" borderId="70" xfId="0" applyNumberFormat="1" applyFont="1" applyFill="1" applyBorder="1" applyAlignment="1">
      <alignment vertical="center"/>
    </xf>
    <xf numFmtId="0" fontId="20" fillId="6" borderId="172" xfId="4" applyFont="1" applyFill="1" applyBorder="1" applyAlignment="1">
      <alignment horizontal="left" vertical="center"/>
    </xf>
    <xf numFmtId="43" fontId="29" fillId="0" borderId="169" xfId="1" applyFont="1" applyFill="1" applyBorder="1" applyAlignment="1">
      <alignment horizontal="right" vertical="center"/>
    </xf>
    <xf numFmtId="43" fontId="24" fillId="6" borderId="29" xfId="4" applyNumberFormat="1" applyFont="1" applyFill="1" applyBorder="1" applyAlignment="1">
      <alignment vertical="center"/>
    </xf>
    <xf numFmtId="43" fontId="33" fillId="0" borderId="92" xfId="6" applyNumberFormat="1" applyFont="1" applyFill="1" applyBorder="1" applyAlignment="1">
      <alignment vertical="center"/>
    </xf>
    <xf numFmtId="43" fontId="31" fillId="0" borderId="65" xfId="4" applyNumberFormat="1" applyFont="1" applyFill="1" applyBorder="1" applyAlignment="1">
      <alignment vertical="center"/>
    </xf>
    <xf numFmtId="0" fontId="28" fillId="0" borderId="176" xfId="4" applyFont="1" applyFill="1" applyBorder="1" applyAlignment="1">
      <alignment horizontal="right" vertical="center"/>
    </xf>
    <xf numFmtId="43" fontId="33" fillId="0" borderId="178" xfId="6" applyNumberFormat="1" applyFont="1" applyFill="1" applyBorder="1" applyAlignment="1">
      <alignment vertical="center"/>
    </xf>
    <xf numFmtId="43" fontId="7" fillId="0" borderId="169" xfId="4" applyNumberFormat="1" applyFont="1" applyFill="1" applyBorder="1" applyAlignment="1">
      <alignment horizontal="right" vertical="center"/>
    </xf>
    <xf numFmtId="43" fontId="33" fillId="0" borderId="29" xfId="6" applyNumberFormat="1" applyFont="1" applyFill="1" applyBorder="1" applyAlignment="1">
      <alignment vertical="center"/>
    </xf>
    <xf numFmtId="3" fontId="28" fillId="2" borderId="131" xfId="4" applyNumberFormat="1" applyFont="1" applyFill="1" applyBorder="1" applyAlignment="1">
      <alignment horizontal="right" vertical="center" wrapText="1"/>
    </xf>
    <xf numFmtId="3" fontId="32" fillId="0" borderId="169" xfId="6" applyNumberFormat="1" applyFont="1" applyFill="1" applyBorder="1" applyAlignment="1">
      <alignment vertical="center"/>
    </xf>
    <xf numFmtId="3" fontId="31" fillId="0" borderId="169" xfId="4" applyNumberFormat="1" applyFont="1" applyFill="1" applyBorder="1" applyAlignment="1">
      <alignment horizontal="right" vertical="center"/>
    </xf>
    <xf numFmtId="43" fontId="32" fillId="0" borderId="178" xfId="6" applyNumberFormat="1" applyFont="1" applyFill="1" applyBorder="1" applyAlignment="1">
      <alignment vertical="center"/>
    </xf>
    <xf numFmtId="0" fontId="39" fillId="0" borderId="131" xfId="0" applyFont="1" applyBorder="1" applyAlignment="1">
      <alignment horizontal="right" vertical="center"/>
    </xf>
    <xf numFmtId="43" fontId="7" fillId="0" borderId="167" xfId="4" applyNumberFormat="1" applyFont="1" applyFill="1" applyBorder="1" applyAlignment="1">
      <alignment horizontal="right" vertical="center"/>
    </xf>
    <xf numFmtId="43" fontId="32" fillId="0" borderId="30" xfId="6" applyNumberFormat="1" applyFont="1" applyFill="1" applyBorder="1" applyAlignment="1">
      <alignment vertical="center"/>
    </xf>
    <xf numFmtId="43" fontId="7" fillId="0" borderId="47" xfId="4" applyNumberFormat="1" applyFont="1" applyFill="1" applyBorder="1" applyAlignment="1">
      <alignment horizontal="right" vertical="center"/>
    </xf>
    <xf numFmtId="3" fontId="29" fillId="0" borderId="168" xfId="4" applyNumberFormat="1" applyFont="1" applyFill="1" applyBorder="1" applyAlignment="1">
      <alignment vertical="center"/>
    </xf>
    <xf numFmtId="3" fontId="27" fillId="25" borderId="168" xfId="4" applyNumberFormat="1" applyFont="1" applyFill="1" applyBorder="1" applyAlignment="1">
      <alignment vertical="center"/>
    </xf>
    <xf numFmtId="3" fontId="27" fillId="2" borderId="20" xfId="4" applyNumberFormat="1" applyFont="1" applyFill="1" applyBorder="1" applyAlignment="1">
      <alignment horizontal="center" vertical="center" wrapText="1"/>
    </xf>
    <xf numFmtId="0" fontId="24" fillId="32" borderId="21" xfId="4" applyFont="1" applyFill="1" applyBorder="1" applyAlignment="1">
      <alignment horizontal="left" vertical="center"/>
    </xf>
    <xf numFmtId="3" fontId="27" fillId="32" borderId="9" xfId="4" applyNumberFormat="1" applyFont="1" applyFill="1" applyBorder="1" applyAlignment="1">
      <alignment vertical="center"/>
    </xf>
    <xf numFmtId="3" fontId="27" fillId="32" borderId="35" xfId="4" applyNumberFormat="1" applyFont="1" applyFill="1" applyBorder="1" applyAlignment="1">
      <alignment vertical="center"/>
    </xf>
    <xf numFmtId="43" fontId="25" fillId="6" borderId="168" xfId="1" applyFont="1" applyFill="1" applyBorder="1" applyAlignment="1">
      <alignment vertical="center"/>
    </xf>
    <xf numFmtId="43" fontId="27" fillId="0" borderId="168" xfId="1" applyFont="1" applyFill="1" applyBorder="1" applyAlignment="1">
      <alignment vertical="center"/>
    </xf>
    <xf numFmtId="43" fontId="29" fillId="0" borderId="168" xfId="1" applyFont="1" applyFill="1" applyBorder="1" applyAlignment="1">
      <alignment vertical="center"/>
    </xf>
    <xf numFmtId="43" fontId="28" fillId="0" borderId="168" xfId="1" applyFont="1" applyFill="1" applyBorder="1" applyAlignment="1">
      <alignment horizontal="right" vertical="center"/>
    </xf>
    <xf numFmtId="43" fontId="31" fillId="0" borderId="177" xfId="1" applyFont="1" applyFill="1" applyBorder="1" applyAlignment="1">
      <alignment horizontal="right" vertical="center"/>
    </xf>
    <xf numFmtId="0" fontId="34" fillId="2" borderId="24" xfId="0" applyFont="1" applyFill="1" applyBorder="1" applyAlignment="1">
      <alignment vertical="top"/>
    </xf>
    <xf numFmtId="0" fontId="34" fillId="0" borderId="24" xfId="0" applyFont="1" applyFill="1" applyBorder="1" applyAlignment="1">
      <alignment vertical="top"/>
    </xf>
    <xf numFmtId="0" fontId="17" fillId="2" borderId="5" xfId="0" applyFont="1" applyFill="1" applyBorder="1" applyAlignment="1">
      <alignment horizontal="center" vertical="top"/>
    </xf>
    <xf numFmtId="0" fontId="17" fillId="2" borderId="0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top"/>
    </xf>
    <xf numFmtId="0" fontId="17" fillId="2" borderId="24" xfId="0" applyFont="1" applyFill="1" applyBorder="1" applyAlignment="1">
      <alignment horizontal="center" vertical="top"/>
    </xf>
    <xf numFmtId="3" fontId="7" fillId="0" borderId="0" xfId="0" applyNumberFormat="1" applyFont="1" applyFill="1" applyBorder="1" applyAlignment="1">
      <alignment vertical="top"/>
    </xf>
    <xf numFmtId="0" fontId="30" fillId="8" borderId="5" xfId="0" applyFont="1" applyFill="1" applyBorder="1" applyAlignment="1">
      <alignment vertical="top"/>
    </xf>
    <xf numFmtId="3" fontId="27" fillId="55" borderId="18" xfId="4" applyNumberFormat="1" applyFont="1" applyFill="1" applyBorder="1" applyAlignment="1">
      <alignment horizontal="right" vertical="center"/>
    </xf>
    <xf numFmtId="3" fontId="27" fillId="21" borderId="44" xfId="4" applyNumberFormat="1" applyFont="1" applyFill="1" applyBorder="1" applyAlignment="1">
      <alignment horizontal="right" vertical="center"/>
    </xf>
    <xf numFmtId="3" fontId="18" fillId="8" borderId="66" xfId="4" applyNumberFormat="1" applyFont="1" applyFill="1" applyBorder="1" applyAlignment="1">
      <alignment vertical="top" wrapText="1"/>
    </xf>
    <xf numFmtId="3" fontId="18" fillId="8" borderId="67" xfId="4" applyNumberFormat="1" applyFont="1" applyFill="1" applyBorder="1" applyAlignment="1">
      <alignment vertical="top" wrapText="1"/>
    </xf>
    <xf numFmtId="3" fontId="27" fillId="21" borderId="41" xfId="4" applyNumberFormat="1" applyFont="1" applyFill="1" applyBorder="1" applyAlignment="1">
      <alignment horizontal="right" vertical="center"/>
    </xf>
    <xf numFmtId="0" fontId="25" fillId="6" borderId="21" xfId="4" applyFont="1" applyFill="1" applyBorder="1" applyAlignment="1">
      <alignment horizontal="left"/>
    </xf>
    <xf numFmtId="0" fontId="25" fillId="6" borderId="9" xfId="4" applyFont="1" applyFill="1" applyBorder="1" applyAlignment="1">
      <alignment horizontal="left"/>
    </xf>
    <xf numFmtId="3" fontId="25" fillId="6" borderId="8" xfId="0" applyNumberFormat="1" applyFont="1" applyFill="1" applyBorder="1" applyAlignment="1"/>
    <xf numFmtId="3" fontId="25" fillId="6" borderId="35" xfId="0" applyNumberFormat="1" applyFont="1" applyFill="1" applyBorder="1" applyAlignment="1"/>
    <xf numFmtId="3" fontId="25" fillId="22" borderId="46" xfId="0" applyNumberFormat="1" applyFont="1" applyFill="1" applyBorder="1" applyAlignment="1"/>
    <xf numFmtId="0" fontId="27" fillId="8" borderId="36" xfId="4" applyFont="1" applyFill="1" applyBorder="1" applyAlignment="1"/>
    <xf numFmtId="0" fontId="25" fillId="8" borderId="9" xfId="0" applyFont="1" applyFill="1" applyBorder="1" applyAlignment="1">
      <alignment wrapText="1"/>
    </xf>
    <xf numFmtId="3" fontId="25" fillId="8" borderId="35" xfId="0" applyNumberFormat="1" applyFont="1" applyFill="1" applyBorder="1" applyAlignment="1"/>
    <xf numFmtId="3" fontId="25" fillId="23" borderId="46" xfId="0" applyNumberFormat="1" applyFont="1" applyFill="1" applyBorder="1" applyAlignment="1"/>
    <xf numFmtId="0" fontId="31" fillId="8" borderId="21" xfId="0" applyFont="1" applyFill="1" applyBorder="1" applyAlignment="1">
      <alignment vertical="center"/>
    </xf>
    <xf numFmtId="3" fontId="31" fillId="8" borderId="35" xfId="0" applyNumberFormat="1" applyFont="1" applyFill="1" applyBorder="1" applyAlignment="1"/>
    <xf numFmtId="0" fontId="31" fillId="8" borderId="9" xfId="0" applyFont="1" applyFill="1" applyBorder="1" applyAlignment="1">
      <alignment vertical="center"/>
    </xf>
    <xf numFmtId="3" fontId="31" fillId="8" borderId="167" xfId="0" applyNumberFormat="1" applyFont="1" applyFill="1" applyBorder="1" applyAlignment="1">
      <alignment vertical="center"/>
    </xf>
    <xf numFmtId="3" fontId="31" fillId="25" borderId="170" xfId="0" applyNumberFormat="1" applyFont="1" applyFill="1" applyBorder="1" applyAlignment="1">
      <alignment horizontal="center" vertical="top"/>
    </xf>
    <xf numFmtId="3" fontId="31" fillId="8" borderId="35" xfId="0" applyNumberFormat="1" applyFont="1" applyFill="1" applyBorder="1" applyAlignment="1">
      <alignment vertical="center"/>
    </xf>
    <xf numFmtId="3" fontId="31" fillId="23" borderId="170" xfId="0" applyNumberFormat="1" applyFont="1" applyFill="1" applyBorder="1" applyAlignment="1">
      <alignment vertical="top"/>
    </xf>
    <xf numFmtId="0" fontId="57" fillId="8" borderId="67" xfId="0" applyFont="1" applyFill="1" applyBorder="1" applyAlignment="1">
      <alignment horizontal="center" vertical="top" wrapText="1"/>
    </xf>
    <xf numFmtId="0" fontId="31" fillId="8" borderId="131" xfId="0" applyFont="1" applyFill="1" applyBorder="1" applyAlignment="1">
      <alignment vertical="center" wrapText="1"/>
    </xf>
    <xf numFmtId="3" fontId="31" fillId="23" borderId="170" xfId="0" applyNumberFormat="1" applyFont="1" applyFill="1" applyBorder="1" applyAlignment="1">
      <alignment vertical="center"/>
    </xf>
    <xf numFmtId="0" fontId="57" fillId="8" borderId="67" xfId="0" applyFont="1" applyFill="1" applyBorder="1" applyAlignment="1">
      <alignment horizontal="center" vertical="center" wrapText="1"/>
    </xf>
    <xf numFmtId="3" fontId="7" fillId="23" borderId="170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vertical="center"/>
    </xf>
    <xf numFmtId="0" fontId="25" fillId="8" borderId="9" xfId="0" applyFont="1" applyFill="1" applyBorder="1" applyAlignment="1">
      <alignment vertical="center" wrapText="1"/>
    </xf>
    <xf numFmtId="3" fontId="25" fillId="8" borderId="35" xfId="0" applyNumberFormat="1" applyFont="1" applyFill="1" applyBorder="1" applyAlignment="1">
      <alignment vertical="center"/>
    </xf>
    <xf numFmtId="0" fontId="31" fillId="8" borderId="141" xfId="4" applyFont="1" applyFill="1" applyBorder="1" applyAlignment="1">
      <alignment vertical="top" wrapText="1"/>
    </xf>
    <xf numFmtId="0" fontId="31" fillId="8" borderId="172" xfId="0" applyFont="1" applyFill="1" applyBorder="1" applyAlignment="1">
      <alignment vertical="top" wrapText="1"/>
    </xf>
    <xf numFmtId="3" fontId="31" fillId="8" borderId="134" xfId="0" applyNumberFormat="1" applyFont="1" applyFill="1" applyBorder="1" applyAlignment="1">
      <alignment vertical="top"/>
    </xf>
    <xf numFmtId="0" fontId="18" fillId="8" borderId="67" xfId="0" applyFont="1" applyFill="1" applyBorder="1" applyAlignment="1">
      <alignment horizontal="center" vertical="top" wrapText="1"/>
    </xf>
    <xf numFmtId="0" fontId="18" fillId="8" borderId="67" xfId="0" applyFont="1" applyFill="1" applyBorder="1" applyAlignment="1">
      <alignment horizontal="center" vertical="center" wrapText="1"/>
    </xf>
    <xf numFmtId="0" fontId="31" fillId="8" borderId="27" xfId="0" applyFont="1" applyFill="1" applyBorder="1" applyAlignment="1">
      <alignment vertical="top" wrapText="1"/>
    </xf>
    <xf numFmtId="0" fontId="7" fillId="6" borderId="172" xfId="0" applyFont="1" applyFill="1" applyBorder="1" applyAlignment="1">
      <alignment vertical="top"/>
    </xf>
    <xf numFmtId="3" fontId="25" fillId="8" borderId="3" xfId="0" applyNumberFormat="1" applyFont="1" applyFill="1" applyBorder="1" applyAlignment="1">
      <alignment vertical="top"/>
    </xf>
    <xf numFmtId="3" fontId="25" fillId="8" borderId="4" xfId="0" applyNumberFormat="1" applyFont="1" applyFill="1" applyBorder="1" applyAlignment="1">
      <alignment vertical="top"/>
    </xf>
    <xf numFmtId="3" fontId="25" fillId="23" borderId="42" xfId="0" applyNumberFormat="1" applyFont="1" applyFill="1" applyBorder="1" applyAlignment="1">
      <alignment vertical="top"/>
    </xf>
    <xf numFmtId="43" fontId="25" fillId="6" borderId="167" xfId="1" applyFont="1" applyFill="1" applyBorder="1" applyAlignment="1"/>
    <xf numFmtId="3" fontId="25" fillId="22" borderId="170" xfId="0" applyNumberFormat="1" applyFont="1" applyFill="1" applyBorder="1" applyAlignment="1"/>
    <xf numFmtId="0" fontId="7" fillId="0" borderId="21" xfId="0" applyFont="1" applyFill="1" applyBorder="1" applyAlignment="1">
      <alignment vertical="top"/>
    </xf>
    <xf numFmtId="3" fontId="31" fillId="25" borderId="170" xfId="0" applyNumberFormat="1" applyFont="1" applyFill="1" applyBorder="1" applyAlignment="1">
      <alignment vertical="top"/>
    </xf>
    <xf numFmtId="3" fontId="31" fillId="0" borderId="135" xfId="4" applyNumberFormat="1" applyFont="1" applyFill="1" applyBorder="1" applyAlignment="1"/>
    <xf numFmtId="3" fontId="27" fillId="23" borderId="170" xfId="0" applyNumberFormat="1" applyFont="1" applyFill="1" applyBorder="1" applyAlignment="1"/>
    <xf numFmtId="3" fontId="27" fillId="2" borderId="167" xfId="0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3" fontId="31" fillId="0" borderId="169" xfId="0" applyNumberFormat="1" applyFont="1" applyFill="1" applyBorder="1" applyAlignment="1">
      <alignment vertical="center"/>
    </xf>
    <xf numFmtId="43" fontId="27" fillId="2" borderId="167" xfId="1" applyFont="1" applyFill="1" applyBorder="1" applyAlignment="1">
      <alignment vertical="center"/>
    </xf>
    <xf numFmtId="3" fontId="31" fillId="23" borderId="146" xfId="0" applyNumberFormat="1" applyFont="1" applyFill="1" applyBorder="1" applyAlignment="1"/>
    <xf numFmtId="3" fontId="27" fillId="2" borderId="178" xfId="0" applyNumberFormat="1" applyFont="1" applyFill="1" applyBorder="1" applyAlignment="1">
      <alignment vertical="center"/>
    </xf>
    <xf numFmtId="3" fontId="31" fillId="0" borderId="178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top"/>
    </xf>
    <xf numFmtId="0" fontId="38" fillId="0" borderId="0" xfId="0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0" fontId="0" fillId="0" borderId="167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top"/>
    </xf>
    <xf numFmtId="3" fontId="37" fillId="0" borderId="0" xfId="0" applyNumberFormat="1" applyFont="1" applyBorder="1" applyAlignment="1">
      <alignment horizontal="center" vertical="top"/>
    </xf>
    <xf numFmtId="3" fontId="37" fillId="0" borderId="167" xfId="0" applyNumberFormat="1" applyFont="1" applyBorder="1" applyAlignment="1">
      <alignment vertical="top"/>
    </xf>
    <xf numFmtId="3" fontId="57" fillId="0" borderId="0" xfId="0" applyNumberFormat="1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3" fontId="17" fillId="0" borderId="0" xfId="0" applyNumberFormat="1" applyFont="1" applyFill="1" applyBorder="1" applyAlignment="1">
      <alignment vertical="top"/>
    </xf>
    <xf numFmtId="0" fontId="19" fillId="0" borderId="0" xfId="0" applyFont="1" applyBorder="1" applyAlignment="1">
      <alignment horizontal="center" vertical="top"/>
    </xf>
    <xf numFmtId="0" fontId="24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top" wrapText="1"/>
    </xf>
    <xf numFmtId="0" fontId="24" fillId="2" borderId="2" xfId="0" applyFont="1" applyFill="1" applyBorder="1" applyAlignment="1">
      <alignment horizontal="center" vertical="center" wrapText="1"/>
    </xf>
    <xf numFmtId="3" fontId="25" fillId="8" borderId="15" xfId="0" applyNumberFormat="1" applyFont="1" applyFill="1" applyBorder="1" applyAlignment="1">
      <alignment vertical="top"/>
    </xf>
    <xf numFmtId="0" fontId="25" fillId="32" borderId="35" xfId="4" applyFont="1" applyFill="1" applyBorder="1" applyAlignment="1">
      <alignment horizontal="center" vertical="center" wrapText="1"/>
    </xf>
    <xf numFmtId="3" fontId="31" fillId="8" borderId="17" xfId="0" applyNumberFormat="1" applyFont="1" applyFill="1" applyBorder="1" applyAlignment="1">
      <alignment vertical="top"/>
    </xf>
    <xf numFmtId="43" fontId="32" fillId="0" borderId="169" xfId="6" applyNumberFormat="1" applyFont="1" applyFill="1" applyBorder="1" applyAlignment="1">
      <alignment vertical="center"/>
    </xf>
    <xf numFmtId="0" fontId="36" fillId="0" borderId="0" xfId="0" applyFont="1" applyAlignment="1">
      <alignment horizontal="right"/>
    </xf>
    <xf numFmtId="0" fontId="36" fillId="0" borderId="0" xfId="0" applyFont="1" applyBorder="1" applyAlignment="1">
      <alignment horizontal="right"/>
    </xf>
    <xf numFmtId="0" fontId="65" fillId="0" borderId="0" xfId="0" applyFont="1" applyBorder="1"/>
    <xf numFmtId="4" fontId="0" fillId="0" borderId="135" xfId="0" applyNumberFormat="1" applyFont="1" applyBorder="1"/>
    <xf numFmtId="3" fontId="13" fillId="0" borderId="0" xfId="0" applyNumberFormat="1" applyFont="1" applyFill="1" applyAlignment="1">
      <alignment horizontal="left"/>
    </xf>
    <xf numFmtId="0" fontId="66" fillId="6" borderId="172" xfId="4" applyFont="1" applyFill="1" applyBorder="1" applyAlignment="1">
      <alignment horizontal="left"/>
    </xf>
    <xf numFmtId="3" fontId="62" fillId="6" borderId="183" xfId="0" applyNumberFormat="1" applyFont="1" applyFill="1" applyBorder="1" applyAlignment="1">
      <alignment wrapText="1"/>
    </xf>
    <xf numFmtId="3" fontId="65" fillId="8" borderId="168" xfId="0" applyNumberFormat="1" applyFont="1" applyFill="1" applyBorder="1" applyAlignment="1">
      <alignment vertical="center" wrapText="1"/>
    </xf>
    <xf numFmtId="3" fontId="8" fillId="0" borderId="183" xfId="0" applyNumberFormat="1" applyFont="1" applyFill="1" applyBorder="1" applyAlignment="1">
      <alignment vertical="center" wrapText="1"/>
    </xf>
    <xf numFmtId="3" fontId="65" fillId="8" borderId="183" xfId="0" applyNumberFormat="1" applyFont="1" applyFill="1" applyBorder="1" applyAlignment="1">
      <alignment vertical="center" wrapText="1"/>
    </xf>
    <xf numFmtId="0" fontId="7" fillId="0" borderId="172" xfId="0" applyFont="1" applyFill="1" applyBorder="1" applyAlignment="1">
      <alignment vertical="center" wrapText="1"/>
    </xf>
    <xf numFmtId="3" fontId="8" fillId="0" borderId="168" xfId="0" applyNumberFormat="1" applyFont="1" applyFill="1" applyBorder="1" applyAlignment="1">
      <alignment vertical="center" wrapText="1"/>
    </xf>
    <xf numFmtId="3" fontId="8" fillId="0" borderId="23" xfId="0" applyNumberFormat="1" applyFont="1" applyFill="1" applyBorder="1" applyAlignment="1">
      <alignment vertical="center" wrapText="1"/>
    </xf>
    <xf numFmtId="3" fontId="8" fillId="0" borderId="144" xfId="0" applyNumberFormat="1" applyFont="1" applyFill="1" applyBorder="1" applyAlignment="1">
      <alignment vertical="center" wrapText="1"/>
    </xf>
    <xf numFmtId="3" fontId="38" fillId="0" borderId="78" xfId="4" applyNumberFormat="1" applyFont="1" applyFill="1" applyBorder="1" applyAlignment="1">
      <alignment horizontal="right" vertical="center"/>
    </xf>
    <xf numFmtId="3" fontId="31" fillId="2" borderId="71" xfId="4" applyNumberFormat="1" applyFont="1" applyFill="1" applyBorder="1" applyAlignment="1">
      <alignment vertical="center"/>
    </xf>
    <xf numFmtId="3" fontId="34" fillId="2" borderId="51" xfId="0" applyNumberFormat="1" applyFont="1" applyFill="1" applyBorder="1" applyAlignment="1">
      <alignment vertical="top"/>
    </xf>
    <xf numFmtId="3" fontId="7" fillId="25" borderId="183" xfId="4" applyNumberFormat="1" applyFont="1" applyFill="1" applyBorder="1" applyAlignment="1">
      <alignment vertical="center"/>
    </xf>
    <xf numFmtId="0" fontId="24" fillId="2" borderId="79" xfId="112" applyFont="1" applyFill="1" applyBorder="1" applyAlignment="1">
      <alignment horizontal="center" vertical="center" wrapText="1"/>
    </xf>
    <xf numFmtId="43" fontId="18" fillId="8" borderId="79" xfId="1" applyFont="1" applyFill="1" applyBorder="1" applyAlignment="1">
      <alignment vertical="center"/>
    </xf>
    <xf numFmtId="43" fontId="7" fillId="8" borderId="79" xfId="1" applyFont="1" applyFill="1" applyBorder="1" applyAlignment="1">
      <alignment vertical="center"/>
    </xf>
    <xf numFmtId="43" fontId="31" fillId="0" borderId="169" xfId="1" applyFont="1" applyFill="1" applyBorder="1" applyAlignment="1"/>
    <xf numFmtId="41" fontId="31" fillId="0" borderId="169" xfId="1" applyNumberFormat="1" applyFont="1" applyFill="1" applyBorder="1" applyAlignment="1"/>
    <xf numFmtId="41" fontId="31" fillId="0" borderId="169" xfId="1" applyNumberFormat="1" applyFont="1" applyFill="1" applyBorder="1" applyAlignment="1">
      <alignment horizontal="right" vertical="center"/>
    </xf>
    <xf numFmtId="41" fontId="31" fillId="0" borderId="29" xfId="1" applyNumberFormat="1" applyFont="1" applyFill="1" applyBorder="1" applyAlignment="1"/>
    <xf numFmtId="0" fontId="21" fillId="2" borderId="35" xfId="0" quotePrefix="1" applyFont="1" applyFill="1" applyBorder="1" applyAlignment="1">
      <alignment horizontal="center" vertical="top"/>
    </xf>
    <xf numFmtId="3" fontId="24" fillId="6" borderId="187" xfId="4" applyNumberFormat="1" applyFont="1" applyFill="1" applyBorder="1" applyAlignment="1">
      <alignment vertical="center"/>
    </xf>
    <xf numFmtId="3" fontId="25" fillId="6" borderId="184" xfId="4" applyNumberFormat="1" applyFont="1" applyFill="1" applyBorder="1" applyAlignment="1">
      <alignment vertical="center"/>
    </xf>
    <xf numFmtId="3" fontId="25" fillId="6" borderId="185" xfId="4" applyNumberFormat="1" applyFont="1" applyFill="1" applyBorder="1" applyAlignment="1">
      <alignment vertical="center"/>
    </xf>
    <xf numFmtId="3" fontId="29" fillId="0" borderId="186" xfId="4" applyNumberFormat="1" applyFont="1" applyFill="1" applyBorder="1" applyAlignment="1">
      <alignment horizontal="right" vertical="center"/>
    </xf>
    <xf numFmtId="3" fontId="31" fillId="0" borderId="188" xfId="4" applyNumberFormat="1" applyFont="1" applyFill="1" applyBorder="1" applyAlignment="1">
      <alignment vertical="center"/>
    </xf>
    <xf numFmtId="3" fontId="7" fillId="0" borderId="183" xfId="4" applyNumberFormat="1" applyFont="1" applyFill="1" applyBorder="1" applyAlignment="1"/>
    <xf numFmtId="3" fontId="29" fillId="0" borderId="190" xfId="4" applyNumberFormat="1" applyFont="1" applyFill="1" applyBorder="1" applyAlignment="1">
      <alignment horizontal="right" vertical="center"/>
    </xf>
    <xf numFmtId="3" fontId="27" fillId="0" borderId="190" xfId="4" applyNumberFormat="1" applyFont="1" applyFill="1" applyBorder="1" applyAlignment="1">
      <alignment horizontal="right" vertical="center"/>
    </xf>
    <xf numFmtId="3" fontId="27" fillId="25" borderId="192" xfId="4" applyNumberFormat="1" applyFont="1" applyFill="1" applyBorder="1" applyAlignment="1">
      <alignment horizontal="right" vertical="center"/>
    </xf>
    <xf numFmtId="3" fontId="7" fillId="0" borderId="193" xfId="4" applyNumberFormat="1" applyFont="1" applyFill="1" applyBorder="1" applyAlignment="1">
      <alignment horizontal="right" vertical="center"/>
    </xf>
    <xf numFmtId="3" fontId="24" fillId="6" borderId="189" xfId="4" applyNumberFormat="1" applyFont="1" applyFill="1" applyBorder="1" applyAlignment="1">
      <alignment vertical="center"/>
    </xf>
    <xf numFmtId="3" fontId="24" fillId="6" borderId="190" xfId="4" applyNumberFormat="1" applyFont="1" applyFill="1" applyBorder="1" applyAlignment="1">
      <alignment vertical="center"/>
    </xf>
    <xf numFmtId="3" fontId="24" fillId="6" borderId="191" xfId="4" applyNumberFormat="1" applyFont="1" applyFill="1" applyBorder="1" applyAlignment="1">
      <alignment vertical="center"/>
    </xf>
    <xf numFmtId="3" fontId="24" fillId="6" borderId="192" xfId="4" applyNumberFormat="1" applyFont="1" applyFill="1" applyBorder="1" applyAlignment="1">
      <alignment vertical="center"/>
    </xf>
    <xf numFmtId="3" fontId="29" fillId="0" borderId="192" xfId="4" applyNumberFormat="1" applyFont="1" applyFill="1" applyBorder="1" applyAlignment="1">
      <alignment horizontal="right" vertical="center"/>
    </xf>
    <xf numFmtId="3" fontId="29" fillId="0" borderId="193" xfId="4" applyNumberFormat="1" applyFont="1" applyFill="1" applyBorder="1" applyAlignment="1">
      <alignment horizontal="right" vertical="center"/>
    </xf>
    <xf numFmtId="3" fontId="7" fillId="0" borderId="192" xfId="4" applyNumberFormat="1" applyFont="1" applyFill="1" applyBorder="1" applyAlignment="1"/>
    <xf numFmtId="3" fontId="76" fillId="6" borderId="192" xfId="0" applyNumberFormat="1" applyFont="1" applyFill="1" applyBorder="1" applyAlignment="1">
      <alignment vertical="center" wrapText="1"/>
    </xf>
    <xf numFmtId="3" fontId="6" fillId="6" borderId="192" xfId="0" applyNumberFormat="1" applyFont="1" applyFill="1" applyBorder="1"/>
    <xf numFmtId="3" fontId="6" fillId="6" borderId="192" xfId="0" applyNumberFormat="1" applyFont="1" applyFill="1" applyBorder="1" applyAlignment="1">
      <alignment vertical="center"/>
    </xf>
    <xf numFmtId="3" fontId="6" fillId="6" borderId="195" xfId="0" applyNumberFormat="1" applyFont="1" applyFill="1" applyBorder="1"/>
    <xf numFmtId="3" fontId="6" fillId="6" borderId="127" xfId="0" applyNumberFormat="1" applyFont="1" applyFill="1" applyBorder="1"/>
    <xf numFmtId="0" fontId="7" fillId="6" borderId="28" xfId="0" applyFont="1" applyFill="1" applyBorder="1" applyAlignment="1">
      <alignment vertical="center"/>
    </xf>
    <xf numFmtId="0" fontId="24" fillId="6" borderId="192" xfId="4" applyFont="1" applyFill="1" applyBorder="1" applyAlignment="1">
      <alignment horizontal="left" vertical="center"/>
    </xf>
    <xf numFmtId="3" fontId="24" fillId="6" borderId="192" xfId="4" applyNumberFormat="1" applyFont="1" applyFill="1" applyBorder="1" applyAlignment="1">
      <alignment horizontal="right" vertical="center"/>
    </xf>
    <xf numFmtId="3" fontId="25" fillId="6" borderId="192" xfId="4" applyNumberFormat="1" applyFont="1" applyFill="1" applyBorder="1" applyAlignment="1">
      <alignment horizontal="right" vertical="center"/>
    </xf>
    <xf numFmtId="3" fontId="25" fillId="22" borderId="192" xfId="4" applyNumberFormat="1" applyFont="1" applyFill="1" applyBorder="1" applyAlignment="1">
      <alignment horizontal="right" vertical="center"/>
    </xf>
    <xf numFmtId="3" fontId="29" fillId="2" borderId="192" xfId="4" applyNumberFormat="1" applyFont="1" applyFill="1" applyBorder="1" applyAlignment="1">
      <alignment vertical="top" wrapText="1"/>
    </xf>
    <xf numFmtId="3" fontId="27" fillId="0" borderId="192" xfId="4" applyNumberFormat="1" applyFont="1" applyFill="1" applyBorder="1" applyAlignment="1">
      <alignment horizontal="right" vertical="center"/>
    </xf>
    <xf numFmtId="3" fontId="27" fillId="23" borderId="192" xfId="4" applyNumberFormat="1" applyFont="1" applyFill="1" applyBorder="1" applyAlignment="1">
      <alignment horizontal="right" vertical="center"/>
    </xf>
    <xf numFmtId="0" fontId="7" fillId="0" borderId="192" xfId="4" applyFont="1" applyFill="1" applyBorder="1" applyAlignment="1">
      <alignment vertical="top"/>
    </xf>
    <xf numFmtId="3" fontId="31" fillId="0" borderId="190" xfId="4" applyNumberFormat="1" applyFont="1" applyFill="1" applyBorder="1" applyAlignment="1">
      <alignment vertical="center"/>
    </xf>
    <xf numFmtId="3" fontId="31" fillId="0" borderId="192" xfId="4" applyNumberFormat="1" applyFont="1" applyFill="1" applyBorder="1" applyAlignment="1">
      <alignment horizontal="right" vertical="center"/>
    </xf>
    <xf numFmtId="3" fontId="7" fillId="0" borderId="192" xfId="4" applyNumberFormat="1" applyFont="1" applyFill="1" applyBorder="1" applyAlignment="1">
      <alignment horizontal="right" vertical="center"/>
    </xf>
    <xf numFmtId="3" fontId="7" fillId="25" borderId="192" xfId="4" applyNumberFormat="1" applyFont="1" applyFill="1" applyBorder="1" applyAlignment="1">
      <alignment horizontal="right" vertical="center"/>
    </xf>
    <xf numFmtId="3" fontId="32" fillId="0" borderId="192" xfId="6" applyNumberFormat="1" applyFont="1" applyFill="1" applyBorder="1" applyAlignment="1">
      <alignment vertical="center"/>
    </xf>
    <xf numFmtId="3" fontId="33" fillId="0" borderId="192" xfId="6" applyNumberFormat="1" applyFont="1" applyFill="1" applyBorder="1" applyAlignment="1">
      <alignment vertical="center"/>
    </xf>
    <xf numFmtId="3" fontId="33" fillId="23" borderId="192" xfId="6" applyNumberFormat="1" applyFont="1" applyFill="1" applyBorder="1" applyAlignment="1">
      <alignment vertical="center"/>
    </xf>
    <xf numFmtId="0" fontId="25" fillId="6" borderId="192" xfId="4" applyFont="1" applyFill="1" applyBorder="1" applyAlignment="1">
      <alignment horizontal="left" vertical="center"/>
    </xf>
    <xf numFmtId="3" fontId="24" fillId="6" borderId="192" xfId="4" applyNumberFormat="1" applyFont="1" applyFill="1" applyBorder="1" applyAlignment="1"/>
    <xf numFmtId="3" fontId="24" fillId="22" borderId="192" xfId="4" applyNumberFormat="1" applyFont="1" applyFill="1" applyBorder="1" applyAlignment="1">
      <alignment horizontal="right" vertical="center"/>
    </xf>
    <xf numFmtId="0" fontId="31" fillId="6" borderId="189" xfId="0" applyFont="1" applyFill="1" applyBorder="1" applyAlignment="1">
      <alignment vertical="top"/>
    </xf>
    <xf numFmtId="3" fontId="27" fillId="2" borderId="198" xfId="0" applyNumberFormat="1" applyFont="1" applyFill="1" applyBorder="1" applyAlignment="1">
      <alignment vertical="top"/>
    </xf>
    <xf numFmtId="43" fontId="27" fillId="2" borderId="198" xfId="1" applyFont="1" applyFill="1" applyBorder="1" applyAlignment="1">
      <alignment vertical="top"/>
    </xf>
    <xf numFmtId="3" fontId="25" fillId="25" borderId="199" xfId="0" applyNumberFormat="1" applyFont="1" applyFill="1" applyBorder="1" applyAlignment="1">
      <alignment vertical="top"/>
    </xf>
    <xf numFmtId="3" fontId="28" fillId="2" borderId="198" xfId="0" applyNumberFormat="1" applyFont="1" applyFill="1" applyBorder="1" applyAlignment="1">
      <alignment vertical="top"/>
    </xf>
    <xf numFmtId="3" fontId="31" fillId="0" borderId="198" xfId="0" applyNumberFormat="1" applyFont="1" applyFill="1" applyBorder="1" applyAlignment="1">
      <alignment vertical="top"/>
    </xf>
    <xf numFmtId="3" fontId="31" fillId="25" borderId="199" xfId="0" applyNumberFormat="1" applyFont="1" applyFill="1" applyBorder="1" applyAlignment="1">
      <alignment vertical="top"/>
    </xf>
    <xf numFmtId="3" fontId="27" fillId="0" borderId="198" xfId="0" applyNumberFormat="1" applyFont="1" applyFill="1" applyBorder="1" applyAlignment="1">
      <alignment vertical="top"/>
    </xf>
    <xf numFmtId="43" fontId="27" fillId="0" borderId="198" xfId="1" applyFont="1" applyFill="1" applyBorder="1" applyAlignment="1">
      <alignment vertical="top"/>
    </xf>
    <xf numFmtId="3" fontId="31" fillId="0" borderId="198" xfId="0" applyNumberFormat="1" applyFont="1" applyFill="1" applyBorder="1" applyAlignment="1">
      <alignment horizontal="right" vertical="center"/>
    </xf>
    <xf numFmtId="43" fontId="31" fillId="0" borderId="198" xfId="1" applyFont="1" applyFill="1" applyBorder="1" applyAlignment="1">
      <alignment horizontal="right" vertical="center"/>
    </xf>
    <xf numFmtId="0" fontId="7" fillId="6" borderId="200" xfId="0" applyFont="1" applyFill="1" applyBorder="1" applyAlignment="1">
      <alignment horizontal="left" vertical="center" wrapText="1"/>
    </xf>
    <xf numFmtId="3" fontId="25" fillId="6" borderId="198" xfId="0" applyNumberFormat="1" applyFont="1" applyFill="1" applyBorder="1" applyAlignment="1">
      <alignment vertical="top"/>
    </xf>
    <xf numFmtId="3" fontId="27" fillId="2" borderId="201" xfId="4" applyNumberFormat="1" applyFont="1" applyFill="1" applyBorder="1" applyAlignment="1">
      <alignment vertical="center" wrapText="1"/>
    </xf>
    <xf numFmtId="3" fontId="31" fillId="0" borderId="199" xfId="0" applyNumberFormat="1" applyFont="1" applyFill="1" applyBorder="1" applyAlignment="1">
      <alignment vertical="top"/>
    </xf>
    <xf numFmtId="0" fontId="27" fillId="2" borderId="202" xfId="4" applyFont="1" applyFill="1" applyBorder="1" applyAlignment="1">
      <alignment vertical="top"/>
    </xf>
    <xf numFmtId="3" fontId="28" fillId="2" borderId="144" xfId="0" applyNumberFormat="1" applyFont="1" applyFill="1" applyBorder="1" applyAlignment="1">
      <alignment vertical="top"/>
    </xf>
    <xf numFmtId="0" fontId="31" fillId="6" borderId="200" xfId="0" applyFont="1" applyFill="1" applyBorder="1" applyAlignment="1">
      <alignment vertical="top"/>
    </xf>
    <xf numFmtId="3" fontId="25" fillId="6" borderId="198" xfId="0" applyNumberFormat="1" applyFont="1" applyFill="1" applyBorder="1" applyAlignment="1">
      <alignment vertical="center"/>
    </xf>
    <xf numFmtId="3" fontId="25" fillId="22" borderId="199" xfId="0" applyNumberFormat="1" applyFont="1" applyFill="1" applyBorder="1" applyAlignment="1">
      <alignment vertical="center"/>
    </xf>
    <xf numFmtId="3" fontId="27" fillId="32" borderId="198" xfId="0" applyNumberFormat="1" applyFont="1" applyFill="1" applyBorder="1" applyAlignment="1">
      <alignment vertical="center"/>
    </xf>
    <xf numFmtId="3" fontId="27" fillId="25" borderId="199" xfId="0" applyNumberFormat="1" applyFont="1" applyFill="1" applyBorder="1" applyAlignment="1">
      <alignment vertical="center"/>
    </xf>
    <xf numFmtId="3" fontId="31" fillId="2" borderId="198" xfId="0" applyNumberFormat="1" applyFont="1" applyFill="1" applyBorder="1" applyAlignment="1">
      <alignment vertical="top"/>
    </xf>
    <xf numFmtId="3" fontId="25" fillId="32" borderId="198" xfId="0" applyNumberFormat="1" applyFont="1" applyFill="1" applyBorder="1" applyAlignment="1">
      <alignment vertical="top"/>
    </xf>
    <xf numFmtId="3" fontId="27" fillId="25" borderId="199" xfId="0" applyNumberFormat="1" applyFont="1" applyFill="1" applyBorder="1" applyAlignment="1">
      <alignment vertical="top"/>
    </xf>
    <xf numFmtId="3" fontId="28" fillId="57" borderId="198" xfId="0" applyNumberFormat="1" applyFont="1" applyFill="1" applyBorder="1" applyAlignment="1">
      <alignment vertical="top"/>
    </xf>
    <xf numFmtId="3" fontId="28" fillId="58" borderId="198" xfId="0" applyNumberFormat="1" applyFont="1" applyFill="1" applyBorder="1" applyAlignment="1">
      <alignment vertical="top"/>
    </xf>
    <xf numFmtId="3" fontId="31" fillId="0" borderId="198" xfId="4" applyNumberFormat="1" applyFont="1" applyFill="1" applyBorder="1" applyAlignment="1">
      <alignment vertical="center"/>
    </xf>
    <xf numFmtId="3" fontId="28" fillId="59" borderId="198" xfId="0" applyNumberFormat="1" applyFont="1" applyFill="1" applyBorder="1" applyAlignment="1">
      <alignment vertical="top"/>
    </xf>
    <xf numFmtId="0" fontId="8" fillId="0" borderId="200" xfId="0" applyFont="1" applyFill="1" applyBorder="1" applyAlignment="1">
      <alignment vertical="center" wrapText="1"/>
    </xf>
    <xf numFmtId="43" fontId="31" fillId="25" borderId="199" xfId="1" applyFont="1" applyFill="1" applyBorder="1" applyAlignment="1">
      <alignment vertical="top"/>
    </xf>
    <xf numFmtId="3" fontId="28" fillId="55" borderId="198" xfId="0" applyNumberFormat="1" applyFont="1" applyFill="1" applyBorder="1" applyAlignment="1">
      <alignment vertical="top"/>
    </xf>
    <xf numFmtId="43" fontId="28" fillId="25" borderId="199" xfId="1" applyFont="1" applyFill="1" applyBorder="1" applyAlignment="1">
      <alignment vertical="center"/>
    </xf>
    <xf numFmtId="3" fontId="27" fillId="0" borderId="199" xfId="0" applyNumberFormat="1" applyFont="1" applyFill="1" applyBorder="1" applyAlignment="1">
      <alignment vertical="top"/>
    </xf>
    <xf numFmtId="3" fontId="31" fillId="0" borderId="199" xfId="4" applyNumberFormat="1" applyFont="1" applyFill="1" applyBorder="1" applyAlignment="1">
      <alignment vertical="center"/>
    </xf>
    <xf numFmtId="0" fontId="23" fillId="0" borderId="200" xfId="0" applyFont="1" applyBorder="1" applyAlignment="1">
      <alignment horizontal="center" vertical="center" wrapText="1"/>
    </xf>
    <xf numFmtId="3" fontId="31" fillId="23" borderId="199" xfId="0" applyNumberFormat="1" applyFont="1" applyFill="1" applyBorder="1" applyAlignment="1">
      <alignment vertical="center"/>
    </xf>
    <xf numFmtId="0" fontId="28" fillId="58" borderId="200" xfId="0" applyFont="1" applyFill="1" applyBorder="1" applyAlignment="1">
      <alignment vertical="top"/>
    </xf>
    <xf numFmtId="0" fontId="28" fillId="56" borderId="197" xfId="0" applyFont="1" applyFill="1" applyBorder="1" applyAlignment="1">
      <alignment vertical="center"/>
    </xf>
    <xf numFmtId="3" fontId="28" fillId="56" borderId="198" xfId="0" applyNumberFormat="1" applyFont="1" applyFill="1" applyBorder="1" applyAlignment="1">
      <alignment vertical="center"/>
    </xf>
    <xf numFmtId="0" fontId="28" fillId="59" borderId="200" xfId="0" applyFont="1" applyFill="1" applyBorder="1" applyAlignment="1">
      <alignment vertical="top"/>
    </xf>
    <xf numFmtId="0" fontId="28" fillId="59" borderId="197" xfId="0" applyFont="1" applyFill="1" applyBorder="1" applyAlignment="1">
      <alignment vertical="top"/>
    </xf>
    <xf numFmtId="0" fontId="31" fillId="55" borderId="197" xfId="0" applyFont="1" applyFill="1" applyBorder="1" applyAlignment="1">
      <alignment vertical="top"/>
    </xf>
    <xf numFmtId="0" fontId="31" fillId="55" borderId="200" xfId="0" applyFont="1" applyFill="1" applyBorder="1" applyAlignment="1">
      <alignment vertical="top"/>
    </xf>
    <xf numFmtId="3" fontId="25" fillId="6" borderId="199" xfId="0" applyNumberFormat="1" applyFont="1" applyFill="1" applyBorder="1" applyAlignment="1">
      <alignment vertical="center"/>
    </xf>
    <xf numFmtId="0" fontId="27" fillId="2" borderId="203" xfId="4" applyFont="1" applyFill="1" applyBorder="1" applyAlignment="1">
      <alignment vertical="top"/>
    </xf>
    <xf numFmtId="0" fontId="31" fillId="6" borderId="200" xfId="0" applyFont="1" applyFill="1" applyBorder="1" applyAlignment="1">
      <alignment vertical="center"/>
    </xf>
    <xf numFmtId="3" fontId="25" fillId="22" borderId="198" xfId="0" applyNumberFormat="1" applyFont="1" applyFill="1" applyBorder="1" applyAlignment="1">
      <alignment vertical="center"/>
    </xf>
    <xf numFmtId="0" fontId="31" fillId="0" borderId="204" xfId="0" applyFont="1" applyFill="1" applyBorder="1" applyAlignment="1">
      <alignment horizontal="left" vertical="center" wrapText="1"/>
    </xf>
    <xf numFmtId="3" fontId="25" fillId="6" borderId="199" xfId="0" applyNumberFormat="1" applyFont="1" applyFill="1" applyBorder="1" applyAlignment="1">
      <alignment vertical="top"/>
    </xf>
    <xf numFmtId="3" fontId="27" fillId="2" borderId="199" xfId="0" applyNumberFormat="1" applyFont="1" applyFill="1" applyBorder="1" applyAlignment="1">
      <alignment vertical="top"/>
    </xf>
    <xf numFmtId="43" fontId="7" fillId="8" borderId="7" xfId="1" applyFont="1" applyFill="1" applyBorder="1" applyAlignment="1">
      <alignment vertical="center"/>
    </xf>
    <xf numFmtId="0" fontId="25" fillId="6" borderId="203" xfId="4" applyFont="1" applyFill="1" applyBorder="1" applyAlignment="1">
      <alignment horizontal="left" vertical="center"/>
    </xf>
    <xf numFmtId="0" fontId="25" fillId="6" borderId="200" xfId="4" applyFont="1" applyFill="1" applyBorder="1" applyAlignment="1">
      <alignment horizontal="left" vertical="center"/>
    </xf>
    <xf numFmtId="3" fontId="24" fillId="6" borderId="198" xfId="4" applyNumberFormat="1" applyFont="1" applyFill="1" applyBorder="1" applyAlignment="1">
      <alignment vertical="center"/>
    </xf>
    <xf numFmtId="3" fontId="25" fillId="22" borderId="199" xfId="4" applyNumberFormat="1" applyFont="1" applyFill="1" applyBorder="1" applyAlignment="1">
      <alignment horizontal="right" vertical="center"/>
    </xf>
    <xf numFmtId="3" fontId="27" fillId="2" borderId="202" xfId="4" applyNumberFormat="1" applyFont="1" applyFill="1" applyBorder="1" applyAlignment="1">
      <alignment vertical="center" wrapText="1"/>
    </xf>
    <xf numFmtId="3" fontId="33" fillId="0" borderId="198" xfId="6" applyNumberFormat="1" applyFont="1" applyFill="1" applyBorder="1" applyAlignment="1">
      <alignment vertical="center"/>
    </xf>
    <xf numFmtId="3" fontId="27" fillId="25" borderId="198" xfId="4" applyNumberFormat="1" applyFont="1" applyFill="1" applyBorder="1" applyAlignment="1">
      <alignment horizontal="right" vertical="center"/>
    </xf>
    <xf numFmtId="0" fontId="7" fillId="0" borderId="202" xfId="4" applyFont="1" applyFill="1" applyBorder="1" applyAlignment="1">
      <alignment vertical="center"/>
    </xf>
    <xf numFmtId="3" fontId="7" fillId="0" borderId="188" xfId="4" applyNumberFormat="1" applyFont="1" applyFill="1" applyBorder="1" applyAlignment="1">
      <alignment horizontal="right" vertical="center"/>
    </xf>
    <xf numFmtId="3" fontId="27" fillId="2" borderId="203" xfId="4" applyNumberFormat="1" applyFont="1" applyFill="1" applyBorder="1" applyAlignment="1">
      <alignment vertical="center" wrapText="1"/>
    </xf>
    <xf numFmtId="3" fontId="27" fillId="0" borderId="188" xfId="4" applyNumberFormat="1" applyFont="1" applyFill="1" applyBorder="1" applyAlignment="1">
      <alignment horizontal="right" vertical="center"/>
    </xf>
    <xf numFmtId="3" fontId="33" fillId="0" borderId="199" xfId="6" applyNumberFormat="1" applyFont="1" applyFill="1" applyBorder="1" applyAlignment="1">
      <alignment vertical="center"/>
    </xf>
    <xf numFmtId="43" fontId="24" fillId="6" borderId="198" xfId="4" applyNumberFormat="1" applyFont="1" applyFill="1" applyBorder="1" applyAlignment="1">
      <alignment vertical="center"/>
    </xf>
    <xf numFmtId="43" fontId="33" fillId="0" borderId="198" xfId="6" applyNumberFormat="1" applyFont="1" applyFill="1" applyBorder="1" applyAlignment="1">
      <alignment vertical="center"/>
    </xf>
    <xf numFmtId="43" fontId="31" fillId="0" borderId="188" xfId="4" applyNumberFormat="1" applyFont="1" applyFill="1" applyBorder="1" applyAlignment="1">
      <alignment vertical="center"/>
    </xf>
    <xf numFmtId="0" fontId="28" fillId="0" borderId="202" xfId="4" applyFont="1" applyFill="1" applyBorder="1" applyAlignment="1">
      <alignment horizontal="right" vertical="center"/>
    </xf>
    <xf numFmtId="41" fontId="31" fillId="0" borderId="188" xfId="1" applyNumberFormat="1" applyFont="1" applyFill="1" applyBorder="1" applyAlignment="1"/>
    <xf numFmtId="43" fontId="33" fillId="0" borderId="199" xfId="6" applyNumberFormat="1" applyFont="1" applyFill="1" applyBorder="1" applyAlignment="1">
      <alignment vertical="center"/>
    </xf>
    <xf numFmtId="3" fontId="33" fillId="0" borderId="188" xfId="6" applyNumberFormat="1" applyFont="1" applyFill="1" applyBorder="1" applyAlignment="1">
      <alignment vertical="center"/>
    </xf>
    <xf numFmtId="43" fontId="33" fillId="0" borderId="188" xfId="6" applyNumberFormat="1" applyFont="1" applyFill="1" applyBorder="1" applyAlignment="1">
      <alignment vertical="center"/>
    </xf>
    <xf numFmtId="3" fontId="32" fillId="0" borderId="188" xfId="6" applyNumberFormat="1" applyFont="1" applyFill="1" applyBorder="1" applyAlignment="1">
      <alignment vertical="center"/>
    </xf>
    <xf numFmtId="41" fontId="31" fillId="0" borderId="188" xfId="1" applyNumberFormat="1" applyFont="1" applyFill="1" applyBorder="1" applyAlignment="1">
      <alignment horizontal="right" vertical="center"/>
    </xf>
    <xf numFmtId="3" fontId="31" fillId="0" borderId="188" xfId="4" applyNumberFormat="1" applyFont="1" applyFill="1" applyBorder="1" applyAlignment="1">
      <alignment horizontal="right" vertical="center"/>
    </xf>
    <xf numFmtId="43" fontId="32" fillId="0" borderId="199" xfId="6" applyNumberFormat="1" applyFont="1" applyFill="1" applyBorder="1" applyAlignment="1">
      <alignment vertical="center"/>
    </xf>
    <xf numFmtId="41" fontId="31" fillId="0" borderId="198" xfId="1" applyNumberFormat="1" applyFont="1" applyFill="1" applyBorder="1" applyAlignment="1"/>
    <xf numFmtId="3" fontId="7" fillId="0" borderId="199" xfId="4" applyNumberFormat="1" applyFont="1" applyFill="1" applyBorder="1" applyAlignment="1">
      <alignment horizontal="right" vertical="center"/>
    </xf>
    <xf numFmtId="43" fontId="7" fillId="0" borderId="127" xfId="4" applyNumberFormat="1" applyFont="1" applyFill="1" applyBorder="1" applyAlignment="1">
      <alignment horizontal="right" vertical="center"/>
    </xf>
    <xf numFmtId="3" fontId="25" fillId="6" borderId="198" xfId="4" applyNumberFormat="1" applyFont="1" applyFill="1" applyBorder="1" applyAlignment="1">
      <alignment horizontal="right" vertical="center"/>
    </xf>
    <xf numFmtId="3" fontId="27" fillId="0" borderId="198" xfId="4" applyNumberFormat="1" applyFont="1" applyFill="1" applyBorder="1" applyAlignment="1">
      <alignment horizontal="right" vertical="center"/>
    </xf>
    <xf numFmtId="3" fontId="31" fillId="0" borderId="198" xfId="4" applyNumberFormat="1" applyFont="1" applyFill="1" applyBorder="1" applyAlignment="1">
      <alignment horizontal="right" vertical="center"/>
    </xf>
    <xf numFmtId="3" fontId="7" fillId="0" borderId="198" xfId="4" applyNumberFormat="1" applyFont="1" applyFill="1" applyBorder="1" applyAlignment="1">
      <alignment horizontal="right" vertical="center"/>
    </xf>
    <xf numFmtId="3" fontId="31" fillId="25" borderId="198" xfId="4" applyNumberFormat="1" applyFont="1" applyFill="1" applyBorder="1" applyAlignment="1">
      <alignment horizontal="right" vertical="center"/>
    </xf>
    <xf numFmtId="0" fontId="7" fillId="0" borderId="196" xfId="4" applyFont="1" applyFill="1" applyBorder="1" applyAlignment="1">
      <alignment vertical="center"/>
    </xf>
    <xf numFmtId="3" fontId="29" fillId="2" borderId="203" xfId="4" applyNumberFormat="1" applyFont="1" applyFill="1" applyBorder="1" applyAlignment="1">
      <alignment vertical="center" wrapText="1"/>
    </xf>
    <xf numFmtId="3" fontId="32" fillId="0" borderId="199" xfId="6" applyNumberFormat="1" applyFont="1" applyFill="1" applyBorder="1" applyAlignment="1">
      <alignment vertical="center"/>
    </xf>
    <xf numFmtId="3" fontId="27" fillId="2" borderId="198" xfId="4" applyNumberFormat="1" applyFont="1" applyFill="1" applyBorder="1" applyAlignment="1">
      <alignment vertical="center"/>
    </xf>
    <xf numFmtId="3" fontId="36" fillId="6" borderId="30" xfId="0" applyNumberFormat="1" applyFont="1" applyFill="1" applyBorder="1"/>
    <xf numFmtId="0" fontId="25" fillId="6" borderId="189" xfId="4" applyFont="1" applyFill="1" applyBorder="1" applyAlignment="1">
      <alignment horizontal="left" vertical="center"/>
    </xf>
    <xf numFmtId="3" fontId="23" fillId="6" borderId="198" xfId="6" applyNumberFormat="1" applyFont="1" applyFill="1" applyBorder="1" applyAlignment="1">
      <alignment horizontal="right" vertical="center"/>
    </xf>
    <xf numFmtId="3" fontId="33" fillId="0" borderId="198" xfId="6" applyNumberFormat="1" applyFont="1" applyFill="1" applyBorder="1" applyAlignment="1">
      <alignment horizontal="right" vertical="center"/>
    </xf>
    <xf numFmtId="43" fontId="31" fillId="0" borderId="188" xfId="1" applyFont="1" applyFill="1" applyBorder="1" applyAlignment="1">
      <alignment horizontal="right" vertical="center"/>
    </xf>
    <xf numFmtId="0" fontId="31" fillId="0" borderId="196" xfId="4" applyFont="1" applyFill="1" applyBorder="1" applyAlignment="1">
      <alignment vertical="center"/>
    </xf>
    <xf numFmtId="43" fontId="33" fillId="0" borderId="198" xfId="1" applyFont="1" applyFill="1" applyBorder="1" applyAlignment="1">
      <alignment horizontal="right" vertical="center"/>
    </xf>
    <xf numFmtId="3" fontId="29" fillId="2" borderId="198" xfId="4" applyNumberFormat="1" applyFont="1" applyFill="1" applyBorder="1" applyAlignment="1">
      <alignment vertical="center"/>
    </xf>
    <xf numFmtId="43" fontId="23" fillId="6" borderId="198" xfId="1" applyFont="1" applyFill="1" applyBorder="1" applyAlignment="1">
      <alignment horizontal="right" vertical="center"/>
    </xf>
    <xf numFmtId="0" fontId="7" fillId="0" borderId="203" xfId="4" applyFont="1" applyFill="1" applyBorder="1" applyAlignment="1">
      <alignment vertical="center"/>
    </xf>
    <xf numFmtId="3" fontId="24" fillId="6" borderId="198" xfId="0" applyNumberFormat="1" applyFont="1" applyFill="1" applyBorder="1" applyAlignment="1">
      <alignment horizontal="right" vertical="center"/>
    </xf>
    <xf numFmtId="43" fontId="31" fillId="0" borderId="198" xfId="1" applyFont="1" applyFill="1" applyBorder="1" applyAlignment="1">
      <alignment vertical="center"/>
    </xf>
    <xf numFmtId="0" fontId="24" fillId="8" borderId="14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6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7" fillId="2" borderId="173" xfId="4" applyFont="1" applyFill="1" applyBorder="1" applyAlignment="1">
      <alignment vertical="center"/>
    </xf>
    <xf numFmtId="43" fontId="32" fillId="0" borderId="168" xfId="1" applyFont="1" applyFill="1" applyBorder="1" applyAlignment="1">
      <alignment vertical="center"/>
    </xf>
    <xf numFmtId="3" fontId="27" fillId="2" borderId="167" xfId="4" applyNumberFormat="1" applyFont="1" applyFill="1" applyBorder="1" applyAlignment="1">
      <alignment vertical="center"/>
    </xf>
    <xf numFmtId="0" fontId="25" fillId="6" borderId="189" xfId="4" applyFont="1" applyFill="1" applyBorder="1" applyAlignment="1">
      <alignment horizontal="center" vertical="center"/>
    </xf>
    <xf numFmtId="43" fontId="7" fillId="0" borderId="195" xfId="1" applyFont="1" applyFill="1" applyBorder="1" applyAlignment="1">
      <alignment horizontal="right" vertical="center"/>
    </xf>
    <xf numFmtId="3" fontId="7" fillId="0" borderId="195" xfId="4" applyNumberFormat="1" applyFont="1" applyFill="1" applyBorder="1" applyAlignment="1">
      <alignment horizontal="right" vertical="center"/>
    </xf>
    <xf numFmtId="3" fontId="31" fillId="0" borderId="192" xfId="4" applyNumberFormat="1" applyFont="1" applyFill="1" applyBorder="1" applyAlignment="1">
      <alignment vertical="center"/>
    </xf>
    <xf numFmtId="43" fontId="32" fillId="0" borderId="192" xfId="1" applyFont="1" applyFill="1" applyBorder="1" applyAlignment="1">
      <alignment vertical="center"/>
    </xf>
    <xf numFmtId="0" fontId="27" fillId="2" borderId="203" xfId="4" applyFont="1" applyFill="1" applyBorder="1" applyAlignment="1">
      <alignment vertical="center"/>
    </xf>
    <xf numFmtId="43" fontId="7" fillId="0" borderId="177" xfId="1" applyFont="1" applyFill="1" applyBorder="1" applyAlignment="1">
      <alignment horizontal="right" vertical="center"/>
    </xf>
    <xf numFmtId="0" fontId="24" fillId="6" borderId="189" xfId="4" applyFont="1" applyFill="1" applyBorder="1" applyAlignment="1">
      <alignment horizontal="left" vertical="center"/>
    </xf>
    <xf numFmtId="3" fontId="24" fillId="6" borderId="198" xfId="4" applyNumberFormat="1" applyFont="1" applyFill="1" applyBorder="1" applyAlignment="1">
      <alignment horizontal="right" vertical="center"/>
    </xf>
    <xf numFmtId="3" fontId="29" fillId="0" borderId="198" xfId="4" applyNumberFormat="1" applyFont="1" applyFill="1" applyBorder="1" applyAlignment="1">
      <alignment horizontal="right" vertical="center"/>
    </xf>
    <xf numFmtId="3" fontId="29" fillId="25" borderId="198" xfId="4" applyNumberFormat="1" applyFont="1" applyFill="1" applyBorder="1" applyAlignment="1">
      <alignment horizontal="right" vertical="center"/>
    </xf>
    <xf numFmtId="43" fontId="7" fillId="0" borderId="198" xfId="1" applyFont="1" applyFill="1" applyBorder="1" applyAlignment="1">
      <alignment horizontal="right" vertical="center"/>
    </xf>
    <xf numFmtId="0" fontId="0" fillId="0" borderId="192" xfId="0" applyFont="1" applyBorder="1"/>
    <xf numFmtId="0" fontId="25" fillId="6" borderId="119" xfId="4" applyFont="1" applyFill="1" applyBorder="1" applyAlignment="1">
      <alignment horizontal="left" vertical="center"/>
    </xf>
    <xf numFmtId="3" fontId="27" fillId="2" borderId="122" xfId="4" applyNumberFormat="1" applyFont="1" applyFill="1" applyBorder="1" applyAlignment="1">
      <alignment vertical="center" wrapText="1"/>
    </xf>
    <xf numFmtId="3" fontId="27" fillId="0" borderId="126" xfId="4" applyNumberFormat="1" applyFont="1" applyFill="1" applyBorder="1" applyAlignment="1">
      <alignment horizontal="right" vertical="center"/>
    </xf>
    <xf numFmtId="3" fontId="29" fillId="0" borderId="117" xfId="4" applyNumberFormat="1" applyFont="1" applyFill="1" applyBorder="1" applyAlignment="1">
      <alignment horizontal="right" vertical="center"/>
    </xf>
    <xf numFmtId="3" fontId="27" fillId="0" borderId="117" xfId="4" applyNumberFormat="1" applyFont="1" applyFill="1" applyBorder="1" applyAlignment="1">
      <alignment horizontal="right" vertical="center"/>
    </xf>
    <xf numFmtId="3" fontId="27" fillId="25" borderId="128" xfId="4" applyNumberFormat="1" applyFont="1" applyFill="1" applyBorder="1" applyAlignment="1">
      <alignment horizontal="right" vertical="center"/>
    </xf>
    <xf numFmtId="0" fontId="7" fillId="0" borderId="122" xfId="4" applyFont="1" applyFill="1" applyBorder="1" applyAlignment="1">
      <alignment vertical="center"/>
    </xf>
    <xf numFmtId="3" fontId="7" fillId="0" borderId="117" xfId="4" applyNumberFormat="1" applyFont="1" applyFill="1" applyBorder="1" applyAlignment="1">
      <alignment horizontal="right" vertical="center"/>
    </xf>
    <xf numFmtId="3" fontId="27" fillId="2" borderId="119" xfId="4" applyNumberFormat="1" applyFont="1" applyFill="1" applyBorder="1" applyAlignment="1">
      <alignment vertical="center" wrapText="1"/>
    </xf>
    <xf numFmtId="3" fontId="33" fillId="0" borderId="125" xfId="6" applyNumberFormat="1" applyFont="1" applyFill="1" applyBorder="1" applyAlignment="1">
      <alignment vertical="center"/>
    </xf>
    <xf numFmtId="0" fontId="20" fillId="6" borderId="28" xfId="4" applyFont="1" applyFill="1" applyBorder="1" applyAlignment="1">
      <alignment horizontal="left" vertical="center"/>
    </xf>
    <xf numFmtId="3" fontId="29" fillId="0" borderId="94" xfId="4" applyNumberFormat="1" applyFont="1" applyFill="1" applyBorder="1" applyAlignment="1">
      <alignment horizontal="right" vertical="center"/>
    </xf>
    <xf numFmtId="3" fontId="27" fillId="23" borderId="90" xfId="4" applyNumberFormat="1" applyFont="1" applyFill="1" applyBorder="1" applyAlignment="1">
      <alignment vertical="center"/>
    </xf>
    <xf numFmtId="3" fontId="27" fillId="23" borderId="199" xfId="4" applyNumberFormat="1" applyFont="1" applyFill="1" applyBorder="1" applyAlignment="1">
      <alignment vertical="center"/>
    </xf>
    <xf numFmtId="3" fontId="6" fillId="3" borderId="21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right" vertical="center" wrapText="1"/>
    </xf>
    <xf numFmtId="43" fontId="6" fillId="3" borderId="21" xfId="1" applyFont="1" applyFill="1" applyBorder="1" applyAlignment="1">
      <alignment horizontal="center" vertical="center" wrapText="1"/>
    </xf>
    <xf numFmtId="3" fontId="32" fillId="8" borderId="177" xfId="6" applyNumberFormat="1" applyFont="1" applyFill="1" applyBorder="1" applyAlignment="1">
      <alignment vertical="center"/>
    </xf>
    <xf numFmtId="3" fontId="31" fillId="25" borderId="127" xfId="0" applyNumberFormat="1" applyFont="1" applyFill="1" applyBorder="1" applyAlignment="1">
      <alignment vertical="top"/>
    </xf>
    <xf numFmtId="0" fontId="25" fillId="0" borderId="9" xfId="4" applyFont="1" applyBorder="1" applyAlignment="1">
      <alignment horizontal="center" vertical="center" wrapText="1"/>
    </xf>
    <xf numFmtId="0" fontId="21" fillId="26" borderId="35" xfId="0" quotePrefix="1" applyFont="1" applyFill="1" applyBorder="1" applyAlignment="1">
      <alignment horizontal="center" vertical="top"/>
    </xf>
    <xf numFmtId="0" fontId="21" fillId="2" borderId="46" xfId="0" quotePrefix="1" applyFont="1" applyFill="1" applyBorder="1" applyAlignment="1">
      <alignment horizontal="center" vertical="top"/>
    </xf>
    <xf numFmtId="43" fontId="8" fillId="0" borderId="30" xfId="1" applyFont="1" applyFill="1" applyBorder="1" applyAlignment="1">
      <alignment vertical="center" wrapText="1"/>
    </xf>
    <xf numFmtId="43" fontId="8" fillId="0" borderId="183" xfId="1" applyFont="1" applyFill="1" applyBorder="1" applyAlignment="1">
      <alignment vertical="center" wrapText="1"/>
    </xf>
    <xf numFmtId="3" fontId="65" fillId="17" borderId="70" xfId="0" applyNumberFormat="1" applyFont="1" applyFill="1" applyBorder="1"/>
    <xf numFmtId="3" fontId="65" fillId="17" borderId="35" xfId="0" applyNumberFormat="1" applyFont="1" applyFill="1" applyBorder="1"/>
    <xf numFmtId="3" fontId="8" fillId="8" borderId="127" xfId="0" applyNumberFormat="1" applyFont="1" applyFill="1" applyBorder="1"/>
    <xf numFmtId="0" fontId="24" fillId="8" borderId="16" xfId="4" applyFont="1" applyFill="1" applyBorder="1" applyAlignment="1">
      <alignment horizontal="center" vertical="center" wrapText="1"/>
    </xf>
    <xf numFmtId="3" fontId="33" fillId="8" borderId="18" xfId="6" applyNumberFormat="1" applyFont="1" applyFill="1" applyBorder="1" applyAlignment="1">
      <alignment horizontal="right" vertical="center"/>
    </xf>
    <xf numFmtId="3" fontId="25" fillId="2" borderId="198" xfId="0" applyNumberFormat="1" applyFont="1" applyFill="1" applyBorder="1" applyAlignment="1">
      <alignment vertical="center"/>
    </xf>
    <xf numFmtId="3" fontId="27" fillId="2" borderId="198" xfId="0" applyNumberFormat="1" applyFont="1" applyFill="1" applyBorder="1" applyAlignment="1">
      <alignment vertical="center"/>
    </xf>
    <xf numFmtId="3" fontId="31" fillId="2" borderId="144" xfId="0" applyNumberFormat="1" applyFont="1" applyFill="1" applyBorder="1" applyAlignment="1">
      <alignment vertical="top"/>
    </xf>
    <xf numFmtId="3" fontId="25" fillId="6" borderId="199" xfId="4" applyNumberFormat="1" applyFont="1" applyFill="1" applyBorder="1" applyAlignment="1">
      <alignment horizontal="right" vertical="center"/>
    </xf>
    <xf numFmtId="3" fontId="24" fillId="22" borderId="199" xfId="4" applyNumberFormat="1" applyFont="1" applyFill="1" applyBorder="1" applyAlignment="1">
      <alignment horizontal="right" vertical="center"/>
    </xf>
    <xf numFmtId="3" fontId="25" fillId="6" borderId="198" xfId="4" applyNumberFormat="1" applyFont="1" applyFill="1" applyBorder="1" applyAlignment="1">
      <alignment vertical="center"/>
    </xf>
    <xf numFmtId="3" fontId="25" fillId="6" borderId="199" xfId="4" applyNumberFormat="1" applyFont="1" applyFill="1" applyBorder="1" applyAlignment="1">
      <alignment vertical="center"/>
    </xf>
    <xf numFmtId="43" fontId="25" fillId="6" borderId="199" xfId="1" applyFont="1" applyFill="1" applyBorder="1" applyAlignment="1">
      <alignment vertical="center"/>
    </xf>
    <xf numFmtId="43" fontId="31" fillId="0" borderId="169" xfId="1" applyFont="1" applyFill="1" applyBorder="1" applyAlignment="1">
      <alignment horizontal="right" vertical="center"/>
    </xf>
    <xf numFmtId="43" fontId="33" fillId="0" borderId="199" xfId="1" applyFont="1" applyFill="1" applyBorder="1" applyAlignment="1">
      <alignment vertical="center"/>
    </xf>
    <xf numFmtId="3" fontId="24" fillId="6" borderId="199" xfId="4" applyNumberFormat="1" applyFont="1" applyFill="1" applyBorder="1" applyAlignment="1">
      <alignment vertical="center"/>
    </xf>
    <xf numFmtId="43" fontId="24" fillId="6" borderId="199" xfId="1" applyFont="1" applyFill="1" applyBorder="1" applyAlignment="1">
      <alignment vertical="center"/>
    </xf>
    <xf numFmtId="3" fontId="25" fillId="22" borderId="198" xfId="4" applyNumberFormat="1" applyFont="1" applyFill="1" applyBorder="1" applyAlignment="1">
      <alignment horizontal="right" vertical="center"/>
    </xf>
    <xf numFmtId="3" fontId="23" fillId="6" borderId="199" xfId="6" applyNumberFormat="1" applyFont="1" applyFill="1" applyBorder="1" applyAlignment="1">
      <alignment horizontal="right" vertical="center"/>
    </xf>
    <xf numFmtId="43" fontId="23" fillId="6" borderId="199" xfId="1" applyFont="1" applyFill="1" applyBorder="1" applyAlignment="1">
      <alignment horizontal="right" vertical="center"/>
    </xf>
    <xf numFmtId="3" fontId="31" fillId="2" borderId="141" xfId="4" applyNumberFormat="1" applyFont="1" applyFill="1" applyBorder="1" applyAlignment="1">
      <alignment vertical="center" wrapText="1"/>
    </xf>
    <xf numFmtId="3" fontId="32" fillId="0" borderId="198" xfId="6" applyNumberFormat="1" applyFont="1" applyFill="1" applyBorder="1" applyAlignment="1">
      <alignment vertical="center"/>
    </xf>
    <xf numFmtId="43" fontId="33" fillId="0" borderId="169" xfId="1" applyFont="1" applyFill="1" applyBorder="1" applyAlignment="1">
      <alignment horizontal="right" vertical="center"/>
    </xf>
    <xf numFmtId="43" fontId="31" fillId="0" borderId="127" xfId="1" applyFont="1" applyFill="1" applyBorder="1" applyAlignment="1">
      <alignment horizontal="right" vertical="center"/>
    </xf>
    <xf numFmtId="43" fontId="25" fillId="6" borderId="198" xfId="1" applyFont="1" applyFill="1" applyBorder="1" applyAlignment="1">
      <alignment vertical="top"/>
    </xf>
    <xf numFmtId="3" fontId="25" fillId="22" borderId="198" xfId="0" applyNumberFormat="1" applyFont="1" applyFill="1" applyBorder="1" applyAlignment="1">
      <alignment vertical="top"/>
    </xf>
    <xf numFmtId="0" fontId="7" fillId="6" borderId="189" xfId="0" applyFont="1" applyFill="1" applyBorder="1" applyAlignment="1">
      <alignment horizontal="left" vertical="center" wrapText="1"/>
    </xf>
    <xf numFmtId="3" fontId="27" fillId="2" borderId="206" xfId="4" applyNumberFormat="1" applyFont="1" applyFill="1" applyBorder="1" applyAlignment="1">
      <alignment vertical="center" wrapText="1"/>
    </xf>
    <xf numFmtId="43" fontId="31" fillId="0" borderId="199" xfId="1" applyFont="1" applyFill="1" applyBorder="1" applyAlignment="1">
      <alignment vertical="top"/>
    </xf>
    <xf numFmtId="0" fontId="27" fillId="2" borderId="176" xfId="4" applyFont="1" applyFill="1" applyBorder="1" applyAlignment="1">
      <alignment vertical="top"/>
    </xf>
    <xf numFmtId="43" fontId="27" fillId="25" borderId="199" xfId="1" applyFont="1" applyFill="1" applyBorder="1" applyAlignment="1">
      <alignment horizontal="center" vertical="top"/>
    </xf>
    <xf numFmtId="43" fontId="31" fillId="25" borderId="199" xfId="1" applyFont="1" applyFill="1" applyBorder="1" applyAlignment="1">
      <alignment horizontal="center" vertical="top"/>
    </xf>
    <xf numFmtId="0" fontId="39" fillId="59" borderId="206" xfId="0" applyFont="1" applyFill="1" applyBorder="1"/>
    <xf numFmtId="3" fontId="27" fillId="0" borderId="199" xfId="0" applyNumberFormat="1" applyFont="1" applyFill="1" applyBorder="1" applyAlignment="1">
      <alignment vertical="center"/>
    </xf>
    <xf numFmtId="3" fontId="27" fillId="8" borderId="199" xfId="0" applyNumberFormat="1" applyFont="1" applyFill="1" applyBorder="1" applyAlignment="1">
      <alignment vertical="center"/>
    </xf>
    <xf numFmtId="3" fontId="27" fillId="23" borderId="199" xfId="0" applyNumberFormat="1" applyFont="1" applyFill="1" applyBorder="1" applyAlignment="1">
      <alignment vertical="center"/>
    </xf>
    <xf numFmtId="3" fontId="31" fillId="28" borderId="199" xfId="0" applyNumberFormat="1" applyFont="1" applyFill="1" applyBorder="1" applyAlignment="1">
      <alignment vertical="center"/>
    </xf>
    <xf numFmtId="3" fontId="7" fillId="23" borderId="199" xfId="0" applyNumberFormat="1" applyFont="1" applyFill="1" applyBorder="1" applyAlignment="1">
      <alignment vertical="center"/>
    </xf>
    <xf numFmtId="3" fontId="27" fillId="25" borderId="198" xfId="0" applyNumberFormat="1" applyFont="1" applyFill="1" applyBorder="1" applyAlignment="1">
      <alignment vertical="top"/>
    </xf>
    <xf numFmtId="3" fontId="24" fillId="22" borderId="198" xfId="0" applyNumberFormat="1" applyFont="1" applyFill="1" applyBorder="1" applyAlignment="1">
      <alignment vertical="top"/>
    </xf>
    <xf numFmtId="3" fontId="27" fillId="2" borderId="199" xfId="0" applyNumberFormat="1" applyFont="1" applyFill="1" applyBorder="1" applyAlignment="1">
      <alignment vertical="center"/>
    </xf>
    <xf numFmtId="43" fontId="27" fillId="32" borderId="198" xfId="1" applyFont="1" applyFill="1" applyBorder="1" applyAlignment="1">
      <alignment vertical="center"/>
    </xf>
    <xf numFmtId="3" fontId="29" fillId="26" borderId="198" xfId="0" applyNumberFormat="1" applyFont="1" applyFill="1" applyBorder="1" applyAlignment="1">
      <alignment vertical="center"/>
    </xf>
    <xf numFmtId="3" fontId="24" fillId="8" borderId="198" xfId="4" applyNumberFormat="1" applyFont="1" applyFill="1" applyBorder="1" applyAlignment="1">
      <alignment horizontal="center" vertical="center"/>
    </xf>
    <xf numFmtId="3" fontId="7" fillId="8" borderId="199" xfId="4" applyNumberFormat="1" applyFont="1" applyFill="1" applyBorder="1" applyAlignment="1">
      <alignment horizontal="right" vertical="center"/>
    </xf>
    <xf numFmtId="3" fontId="7" fillId="23" borderId="207" xfId="4" applyNumberFormat="1" applyFont="1" applyFill="1" applyBorder="1" applyAlignment="1">
      <alignment horizontal="right" vertical="center"/>
    </xf>
    <xf numFmtId="3" fontId="17" fillId="6" borderId="189" xfId="4" applyNumberFormat="1" applyFont="1" applyFill="1" applyBorder="1" applyAlignment="1">
      <alignment vertical="center"/>
    </xf>
    <xf numFmtId="3" fontId="24" fillId="22" borderId="199" xfId="4" applyNumberFormat="1" applyFont="1" applyFill="1" applyBorder="1" applyAlignment="1">
      <alignment vertical="center"/>
    </xf>
    <xf numFmtId="3" fontId="29" fillId="0" borderId="199" xfId="4" applyNumberFormat="1" applyFont="1" applyFill="1" applyBorder="1" applyAlignment="1">
      <alignment horizontal="right" vertical="center"/>
    </xf>
    <xf numFmtId="3" fontId="29" fillId="25" borderId="199" xfId="4" applyNumberFormat="1" applyFont="1" applyFill="1" applyBorder="1" applyAlignment="1">
      <alignment horizontal="right" vertical="center"/>
    </xf>
    <xf numFmtId="3" fontId="31" fillId="0" borderId="199" xfId="4" applyNumberFormat="1" applyFont="1" applyFill="1" applyBorder="1" applyAlignment="1"/>
    <xf numFmtId="3" fontId="7" fillId="0" borderId="199" xfId="4" applyNumberFormat="1" applyFont="1" applyFill="1" applyBorder="1" applyAlignment="1">
      <alignment vertical="top"/>
    </xf>
    <xf numFmtId="3" fontId="7" fillId="25" borderId="199" xfId="4" applyNumberFormat="1" applyFont="1" applyFill="1" applyBorder="1" applyAlignment="1">
      <alignment vertical="center"/>
    </xf>
    <xf numFmtId="0" fontId="7" fillId="32" borderId="77" xfId="4" applyFont="1" applyFill="1" applyBorder="1" applyAlignment="1">
      <alignment vertical="top"/>
    </xf>
    <xf numFmtId="0" fontId="24" fillId="6" borderId="203" xfId="4" applyFont="1" applyFill="1" applyBorder="1" applyAlignment="1">
      <alignment horizontal="left" vertical="center"/>
    </xf>
    <xf numFmtId="3" fontId="27" fillId="0" borderId="198" xfId="4" applyNumberFormat="1" applyFont="1" applyFill="1" applyBorder="1" applyAlignment="1">
      <alignment vertical="center"/>
    </xf>
    <xf numFmtId="3" fontId="29" fillId="0" borderId="198" xfId="4" applyNumberFormat="1" applyFont="1" applyFill="1" applyBorder="1" applyAlignment="1">
      <alignment vertical="center"/>
    </xf>
    <xf numFmtId="3" fontId="27" fillId="25" borderId="198" xfId="4" applyNumberFormat="1" applyFont="1" applyFill="1" applyBorder="1" applyAlignment="1">
      <alignment vertical="center"/>
    </xf>
    <xf numFmtId="3" fontId="7" fillId="0" borderId="198" xfId="4" applyNumberFormat="1" applyFont="1" applyFill="1" applyBorder="1" applyAlignment="1">
      <alignment vertical="center"/>
    </xf>
    <xf numFmtId="0" fontId="28" fillId="0" borderId="203" xfId="4" applyFont="1" applyFill="1" applyBorder="1" applyAlignment="1">
      <alignment vertical="center"/>
    </xf>
    <xf numFmtId="3" fontId="28" fillId="0" borderId="198" xfId="4" applyNumberFormat="1" applyFont="1" applyFill="1" applyBorder="1" applyAlignment="1">
      <alignment horizontal="right" vertical="center"/>
    </xf>
    <xf numFmtId="3" fontId="28" fillId="25" borderId="198" xfId="4" applyNumberFormat="1" applyFont="1" applyFill="1" applyBorder="1" applyAlignment="1">
      <alignment horizontal="right" vertical="center"/>
    </xf>
    <xf numFmtId="3" fontId="28" fillId="0" borderId="199" xfId="4" applyNumberFormat="1" applyFont="1" applyFill="1" applyBorder="1" applyAlignment="1">
      <alignment horizontal="right" vertical="center"/>
    </xf>
    <xf numFmtId="0" fontId="31" fillId="0" borderId="203" xfId="4" applyFont="1" applyFill="1" applyBorder="1" applyAlignment="1">
      <alignment vertical="center"/>
    </xf>
    <xf numFmtId="0" fontId="29" fillId="2" borderId="203" xfId="4" applyFont="1" applyFill="1" applyBorder="1" applyAlignment="1">
      <alignment vertical="center"/>
    </xf>
    <xf numFmtId="3" fontId="33" fillId="25" borderId="199" xfId="6" applyNumberFormat="1" applyFont="1" applyFill="1" applyBorder="1" applyAlignment="1">
      <alignment vertical="center"/>
    </xf>
    <xf numFmtId="3" fontId="31" fillId="0" borderId="195" xfId="4" applyNumberFormat="1" applyFont="1" applyFill="1" applyBorder="1" applyAlignment="1">
      <alignment horizontal="right" vertical="center"/>
    </xf>
    <xf numFmtId="3" fontId="63" fillId="0" borderId="188" xfId="6" applyNumberFormat="1" applyFont="1" applyFill="1" applyBorder="1" applyAlignment="1">
      <alignment vertical="center"/>
    </xf>
    <xf numFmtId="3" fontId="38" fillId="0" borderId="188" xfId="4" applyNumberFormat="1" applyFont="1" applyFill="1" applyBorder="1" applyAlignment="1">
      <alignment horizontal="right" vertical="center"/>
    </xf>
    <xf numFmtId="3" fontId="28" fillId="25" borderId="188" xfId="4" applyNumberFormat="1" applyFont="1" applyFill="1" applyBorder="1" applyAlignment="1">
      <alignment horizontal="right" vertical="center"/>
    </xf>
    <xf numFmtId="3" fontId="33" fillId="0" borderId="198" xfId="114" applyNumberFormat="1" applyFont="1" applyFill="1" applyBorder="1" applyAlignment="1">
      <alignment vertical="center"/>
    </xf>
    <xf numFmtId="3" fontId="33" fillId="0" borderId="199" xfId="114" applyNumberFormat="1" applyFont="1" applyFill="1" applyBorder="1" applyAlignment="1">
      <alignment vertical="center"/>
    </xf>
    <xf numFmtId="0" fontId="4" fillId="0" borderId="199" xfId="112" applyFont="1" applyBorder="1" applyAlignment="1">
      <alignment vertical="center"/>
    </xf>
    <xf numFmtId="0" fontId="18" fillId="0" borderId="35" xfId="4" applyFont="1" applyFill="1" applyBorder="1" applyAlignment="1">
      <alignment horizontal="center" vertical="center" wrapText="1"/>
    </xf>
    <xf numFmtId="0" fontId="18" fillId="0" borderId="134" xfId="4" applyFont="1" applyFill="1" applyBorder="1" applyAlignment="1">
      <alignment horizontal="center" vertical="center" wrapText="1"/>
    </xf>
    <xf numFmtId="3" fontId="24" fillId="26" borderId="10" xfId="4" applyNumberFormat="1" applyFont="1" applyFill="1" applyBorder="1" applyAlignment="1">
      <alignment horizontal="center" vertical="center"/>
    </xf>
    <xf numFmtId="3" fontId="24" fillId="26" borderId="74" xfId="4" applyNumberFormat="1" applyFont="1" applyFill="1" applyBorder="1" applyAlignment="1">
      <alignment horizontal="center" vertical="center"/>
    </xf>
    <xf numFmtId="3" fontId="24" fillId="34" borderId="167" xfId="4" applyNumberFormat="1" applyFont="1" applyFill="1" applyBorder="1" applyAlignment="1">
      <alignment horizontal="center" vertical="center"/>
    </xf>
    <xf numFmtId="0" fontId="25" fillId="6" borderId="199" xfId="4" applyFont="1" applyFill="1" applyBorder="1" applyAlignment="1">
      <alignment horizontal="left" vertical="center"/>
    </xf>
    <xf numFmtId="0" fontId="31" fillId="6" borderId="199" xfId="0" applyFont="1" applyFill="1" applyBorder="1" applyAlignment="1">
      <alignment vertical="top"/>
    </xf>
    <xf numFmtId="3" fontId="25" fillId="22" borderId="199" xfId="0" applyNumberFormat="1" applyFont="1" applyFill="1" applyBorder="1" applyAlignment="1">
      <alignment vertical="top"/>
    </xf>
    <xf numFmtId="3" fontId="27" fillId="0" borderId="199" xfId="4" applyNumberFormat="1" applyFont="1" applyFill="1" applyBorder="1" applyAlignment="1">
      <alignment vertical="top" wrapText="1"/>
    </xf>
    <xf numFmtId="0" fontId="32" fillId="0" borderId="199" xfId="0" applyFont="1" applyBorder="1"/>
    <xf numFmtId="3" fontId="31" fillId="2" borderId="199" xfId="0" applyNumberFormat="1" applyFont="1" applyFill="1" applyBorder="1" applyAlignment="1">
      <alignment vertical="top"/>
    </xf>
    <xf numFmtId="0" fontId="32" fillId="0" borderId="199" xfId="0" applyFont="1" applyBorder="1" applyAlignment="1">
      <alignment vertical="center"/>
    </xf>
    <xf numFmtId="3" fontId="31" fillId="2" borderId="199" xfId="0" applyNumberFormat="1" applyFont="1" applyFill="1" applyBorder="1" applyAlignment="1">
      <alignment vertical="center"/>
    </xf>
    <xf numFmtId="3" fontId="31" fillId="23" borderId="199" xfId="0" applyNumberFormat="1" applyFont="1" applyFill="1" applyBorder="1" applyAlignment="1">
      <alignment vertical="top"/>
    </xf>
    <xf numFmtId="0" fontId="33" fillId="0" borderId="199" xfId="0" applyFont="1" applyBorder="1" applyAlignment="1">
      <alignment vertical="center"/>
    </xf>
    <xf numFmtId="3" fontId="31" fillId="0" borderId="199" xfId="0" applyNumberFormat="1" applyFont="1" applyFill="1" applyBorder="1" applyAlignment="1">
      <alignment vertical="center"/>
    </xf>
    <xf numFmtId="0" fontId="31" fillId="6" borderId="199" xfId="0" applyFont="1" applyFill="1" applyBorder="1" applyAlignment="1">
      <alignment vertical="center"/>
    </xf>
    <xf numFmtId="3" fontId="27" fillId="0" borderId="199" xfId="4" applyNumberFormat="1" applyFont="1" applyFill="1" applyBorder="1" applyAlignment="1">
      <alignment vertical="center" wrapText="1"/>
    </xf>
    <xf numFmtId="0" fontId="25" fillId="6" borderId="178" xfId="4" applyFont="1" applyFill="1" applyBorder="1" applyAlignment="1">
      <alignment horizontal="left" vertical="center"/>
    </xf>
    <xf numFmtId="0" fontId="31" fillId="6" borderId="178" xfId="0" applyFont="1" applyFill="1" applyBorder="1" applyAlignment="1">
      <alignment vertical="center"/>
    </xf>
    <xf numFmtId="3" fontId="25" fillId="6" borderId="178" xfId="0" applyNumberFormat="1" applyFont="1" applyFill="1" applyBorder="1" applyAlignment="1">
      <alignment vertical="center"/>
    </xf>
    <xf numFmtId="3" fontId="27" fillId="0" borderId="178" xfId="4" applyNumberFormat="1" applyFont="1" applyFill="1" applyBorder="1" applyAlignment="1">
      <alignment vertical="center" wrapText="1"/>
    </xf>
    <xf numFmtId="43" fontId="27" fillId="2" borderId="178" xfId="1" applyFont="1" applyFill="1" applyBorder="1" applyAlignment="1">
      <alignment vertical="center"/>
    </xf>
    <xf numFmtId="0" fontId="32" fillId="0" borderId="178" xfId="0" applyFont="1" applyBorder="1" applyAlignment="1">
      <alignment vertical="center"/>
    </xf>
    <xf numFmtId="3" fontId="31" fillId="2" borderId="178" xfId="0" applyNumberFormat="1" applyFont="1" applyFill="1" applyBorder="1" applyAlignment="1">
      <alignment vertical="center"/>
    </xf>
    <xf numFmtId="0" fontId="33" fillId="0" borderId="178" xfId="0" applyFont="1" applyBorder="1" applyAlignment="1">
      <alignment vertical="center"/>
    </xf>
    <xf numFmtId="3" fontId="27" fillId="0" borderId="178" xfId="0" applyNumberFormat="1" applyFont="1" applyFill="1" applyBorder="1" applyAlignment="1">
      <alignment vertical="center"/>
    </xf>
    <xf numFmtId="0" fontId="32" fillId="0" borderId="209" xfId="0" applyFont="1" applyBorder="1" applyAlignment="1">
      <alignment vertical="center"/>
    </xf>
    <xf numFmtId="3" fontId="31" fillId="0" borderId="210" xfId="4" applyNumberFormat="1" applyFont="1" applyFill="1" applyBorder="1" applyAlignment="1">
      <alignment vertical="center"/>
    </xf>
    <xf numFmtId="43" fontId="31" fillId="0" borderId="210" xfId="1" applyFont="1" applyFill="1" applyBorder="1" applyAlignment="1"/>
    <xf numFmtId="3" fontId="31" fillId="0" borderId="209" xfId="0" applyNumberFormat="1" applyFont="1" applyFill="1" applyBorder="1" applyAlignment="1">
      <alignment vertical="center"/>
    </xf>
    <xf numFmtId="2" fontId="17" fillId="0" borderId="0" xfId="0" applyNumberFormat="1" applyFont="1" applyBorder="1" applyAlignment="1">
      <alignment vertical="top"/>
    </xf>
    <xf numFmtId="2" fontId="18" fillId="0" borderId="0" xfId="0" applyNumberFormat="1" applyFont="1" applyBorder="1" applyAlignment="1">
      <alignment vertical="top"/>
    </xf>
    <xf numFmtId="2" fontId="11" fillId="0" borderId="0" xfId="0" applyNumberFormat="1" applyFont="1" applyFill="1" applyBorder="1" applyAlignment="1"/>
    <xf numFmtId="2" fontId="14" fillId="2" borderId="0" xfId="3" applyNumberFormat="1" applyFont="1" applyFill="1" applyBorder="1" applyAlignment="1">
      <alignment horizontal="right" vertical="center"/>
    </xf>
    <xf numFmtId="2" fontId="15" fillId="2" borderId="0" xfId="0" applyNumberFormat="1" applyFont="1" applyFill="1" applyBorder="1" applyAlignment="1">
      <alignment horizontal="right" vertical="center"/>
    </xf>
    <xf numFmtId="2" fontId="13" fillId="0" borderId="0" xfId="0" applyNumberFormat="1" applyFont="1" applyFill="1" applyBorder="1" applyAlignment="1">
      <alignment horizontal="left"/>
    </xf>
    <xf numFmtId="2" fontId="20" fillId="2" borderId="5" xfId="0" applyNumberFormat="1" applyFont="1" applyFill="1" applyBorder="1" applyAlignment="1">
      <alignment horizontal="center" vertical="top"/>
    </xf>
    <xf numFmtId="2" fontId="20" fillId="2" borderId="11" xfId="0" applyNumberFormat="1" applyFont="1" applyFill="1" applyBorder="1" applyAlignment="1">
      <alignment horizontal="center" vertical="top"/>
    </xf>
    <xf numFmtId="2" fontId="17" fillId="8" borderId="11" xfId="0" applyNumberFormat="1" applyFont="1" applyFill="1" applyBorder="1" applyAlignment="1">
      <alignment vertical="center"/>
    </xf>
    <xf numFmtId="2" fontId="27" fillId="55" borderId="36" xfId="4" applyNumberFormat="1" applyFont="1" applyFill="1" applyBorder="1" applyAlignment="1">
      <alignment horizontal="left" vertical="center"/>
    </xf>
    <xf numFmtId="2" fontId="27" fillId="55" borderId="20" xfId="4" applyNumberFormat="1" applyFont="1" applyFill="1" applyBorder="1" applyAlignment="1">
      <alignment horizontal="left" vertical="center"/>
    </xf>
    <xf numFmtId="2" fontId="27" fillId="21" borderId="70" xfId="4" applyNumberFormat="1" applyFont="1" applyFill="1" applyBorder="1" applyAlignment="1">
      <alignment horizontal="right" vertical="center"/>
    </xf>
    <xf numFmtId="2" fontId="7" fillId="28" borderId="67" xfId="0" applyNumberFormat="1" applyFont="1" applyFill="1" applyBorder="1" applyAlignment="1">
      <alignment horizontal="center" vertical="top" wrapText="1"/>
    </xf>
    <xf numFmtId="2" fontId="27" fillId="55" borderId="67" xfId="4" applyNumberFormat="1" applyFont="1" applyFill="1" applyBorder="1" applyAlignment="1">
      <alignment horizontal="left" vertical="center"/>
    </xf>
    <xf numFmtId="2" fontId="27" fillId="55" borderId="6" xfId="4" applyNumberFormat="1" applyFont="1" applyFill="1" applyBorder="1" applyAlignment="1">
      <alignment horizontal="left" vertical="center"/>
    </xf>
    <xf numFmtId="2" fontId="27" fillId="55" borderId="27" xfId="4" applyNumberFormat="1" applyFont="1" applyFill="1" applyBorder="1" applyAlignment="1">
      <alignment horizontal="right" vertical="center"/>
    </xf>
    <xf numFmtId="2" fontId="27" fillId="21" borderId="13" xfId="4" applyNumberFormat="1" applyFont="1" applyFill="1" applyBorder="1" applyAlignment="1">
      <alignment horizontal="right" vertical="center"/>
    </xf>
    <xf numFmtId="2" fontId="27" fillId="55" borderId="46" xfId="0" applyNumberFormat="1" applyFont="1" applyFill="1" applyBorder="1" applyAlignment="1">
      <alignment horizontal="left" vertical="top"/>
    </xf>
    <xf numFmtId="2" fontId="24" fillId="28" borderId="11" xfId="0" applyNumberFormat="1" applyFont="1" applyFill="1" applyBorder="1" applyAlignment="1">
      <alignment vertical="top"/>
    </xf>
    <xf numFmtId="2" fontId="24" fillId="6" borderId="19" xfId="4" applyNumberFormat="1" applyFont="1" applyFill="1" applyBorder="1" applyAlignment="1">
      <alignment horizontal="left" vertical="center"/>
    </xf>
    <xf numFmtId="2" fontId="24" fillId="6" borderId="16" xfId="4" applyNumberFormat="1" applyFont="1" applyFill="1" applyBorder="1" applyAlignment="1">
      <alignment horizontal="left" vertical="center"/>
    </xf>
    <xf numFmtId="2" fontId="29" fillId="8" borderId="36" xfId="4" applyNumberFormat="1" applyFont="1" applyFill="1" applyBorder="1" applyAlignment="1">
      <alignment vertical="center"/>
    </xf>
    <xf numFmtId="2" fontId="7" fillId="8" borderId="200" xfId="0" applyNumberFormat="1" applyFont="1" applyFill="1" applyBorder="1" applyAlignment="1">
      <alignment vertical="center" wrapText="1"/>
    </xf>
    <xf numFmtId="2" fontId="18" fillId="8" borderId="67" xfId="0" applyNumberFormat="1" applyFont="1" applyFill="1" applyBorder="1" applyAlignment="1">
      <alignment horizontal="center" vertical="center" wrapText="1"/>
    </xf>
    <xf numFmtId="2" fontId="17" fillId="28" borderId="11" xfId="0" applyNumberFormat="1" applyFont="1" applyFill="1" applyBorder="1" applyAlignment="1">
      <alignment vertical="top"/>
    </xf>
    <xf numFmtId="2" fontId="7" fillId="8" borderId="36" xfId="4" applyNumberFormat="1" applyFont="1" applyFill="1" applyBorder="1" applyAlignment="1">
      <alignment vertical="center"/>
    </xf>
    <xf numFmtId="2" fontId="7" fillId="28" borderId="8" xfId="0" applyNumberFormat="1" applyFont="1" applyFill="1" applyBorder="1" applyAlignment="1">
      <alignment vertical="center" wrapText="1"/>
    </xf>
    <xf numFmtId="2" fontId="29" fillId="8" borderId="131" xfId="4" applyNumberFormat="1" applyFont="1" applyFill="1" applyBorder="1" applyAlignment="1">
      <alignment vertical="center"/>
    </xf>
    <xf numFmtId="2" fontId="24" fillId="8" borderId="200" xfId="0" applyNumberFormat="1" applyFont="1" applyFill="1" applyBorder="1" applyAlignment="1">
      <alignment vertical="center"/>
    </xf>
    <xf numFmtId="2" fontId="17" fillId="8" borderId="11" xfId="0" applyNumberFormat="1" applyFont="1" applyFill="1" applyBorder="1" applyAlignment="1">
      <alignment vertical="top"/>
    </xf>
    <xf numFmtId="2" fontId="7" fillId="8" borderId="204" xfId="0" applyNumberFormat="1" applyFont="1" applyFill="1" applyBorder="1" applyAlignment="1">
      <alignment vertical="top" wrapText="1"/>
    </xf>
    <xf numFmtId="2" fontId="7" fillId="8" borderId="197" xfId="0" applyNumberFormat="1" applyFont="1" applyFill="1" applyBorder="1" applyAlignment="1">
      <alignment vertical="top" wrapText="1"/>
    </xf>
    <xf numFmtId="2" fontId="18" fillId="8" borderId="67" xfId="0" applyNumberFormat="1" applyFont="1" applyFill="1" applyBorder="1" applyAlignment="1">
      <alignment horizontal="center" vertical="top" wrapText="1"/>
    </xf>
    <xf numFmtId="2" fontId="24" fillId="6" borderId="131" xfId="4" applyNumberFormat="1" applyFont="1" applyFill="1" applyBorder="1" applyAlignment="1">
      <alignment horizontal="left" vertical="center"/>
    </xf>
    <xf numFmtId="2" fontId="7" fillId="6" borderId="200" xfId="0" applyNumberFormat="1" applyFont="1" applyFill="1" applyBorder="1" applyAlignment="1">
      <alignment vertical="center" wrapText="1"/>
    </xf>
    <xf numFmtId="2" fontId="7" fillId="28" borderId="67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Border="1" applyAlignment="1">
      <alignment vertical="center"/>
    </xf>
    <xf numFmtId="2" fontId="17" fillId="8" borderId="25" xfId="0" applyNumberFormat="1" applyFont="1" applyFill="1" applyBorder="1" applyAlignment="1">
      <alignment vertical="center"/>
    </xf>
    <xf numFmtId="2" fontId="7" fillId="8" borderId="204" xfId="0" applyNumberFormat="1" applyFont="1" applyFill="1" applyBorder="1" applyAlignment="1">
      <alignment vertical="center" wrapText="1"/>
    </xf>
    <xf numFmtId="2" fontId="7" fillId="8" borderId="37" xfId="0" applyNumberFormat="1" applyFont="1" applyFill="1" applyBorder="1" applyAlignment="1">
      <alignment vertical="center" wrapText="1"/>
    </xf>
    <xf numFmtId="2" fontId="18" fillId="8" borderId="69" xfId="0" applyNumberFormat="1" applyFont="1" applyFill="1" applyBorder="1" applyAlignment="1">
      <alignment horizontal="center" vertical="center" wrapText="1"/>
    </xf>
    <xf numFmtId="2" fontId="25" fillId="8" borderId="5" xfId="0" applyNumberFormat="1" applyFont="1" applyFill="1" applyBorder="1" applyAlignment="1">
      <alignment vertical="center" wrapText="1"/>
    </xf>
    <xf numFmtId="2" fontId="25" fillId="8" borderId="14" xfId="0" applyNumberFormat="1" applyFont="1" applyFill="1" applyBorder="1" applyAlignment="1">
      <alignment horizontal="center" vertical="center" wrapText="1"/>
    </xf>
    <xf numFmtId="2" fontId="7" fillId="23" borderId="15" xfId="0" applyNumberFormat="1" applyFont="1" applyFill="1" applyBorder="1" applyAlignment="1">
      <alignment vertical="center"/>
    </xf>
    <xf numFmtId="2" fontId="25" fillId="6" borderId="131" xfId="4" applyNumberFormat="1" applyFont="1" applyFill="1" applyBorder="1" applyAlignment="1">
      <alignment horizontal="left" vertical="center"/>
    </xf>
    <xf numFmtId="2" fontId="31" fillId="6" borderId="200" xfId="0" applyNumberFormat="1" applyFont="1" applyFill="1" applyBorder="1" applyAlignment="1">
      <alignment vertical="top"/>
    </xf>
    <xf numFmtId="2" fontId="27" fillId="2" borderId="131" xfId="4" applyNumberFormat="1" applyFont="1" applyFill="1" applyBorder="1" applyAlignment="1">
      <alignment vertical="center" wrapText="1"/>
    </xf>
    <xf numFmtId="2" fontId="31" fillId="0" borderId="21" xfId="0" applyNumberFormat="1" applyFont="1" applyFill="1" applyBorder="1" applyAlignment="1">
      <alignment vertical="top"/>
    </xf>
    <xf numFmtId="2" fontId="31" fillId="0" borderId="198" xfId="0" applyNumberFormat="1" applyFont="1" applyFill="1" applyBorder="1" applyAlignment="1">
      <alignment vertical="top"/>
    </xf>
    <xf numFmtId="2" fontId="27" fillId="2" borderId="131" xfId="4" applyNumberFormat="1" applyFont="1" applyFill="1" applyBorder="1" applyAlignment="1">
      <alignment vertical="top"/>
    </xf>
    <xf numFmtId="2" fontId="31" fillId="0" borderId="204" xfId="0" applyNumberFormat="1" applyFont="1" applyFill="1" applyBorder="1" applyAlignment="1">
      <alignment horizontal="left" vertical="center" wrapText="1"/>
    </xf>
    <xf numFmtId="2" fontId="7" fillId="6" borderId="200" xfId="0" applyNumberFormat="1" applyFont="1" applyFill="1" applyBorder="1" applyAlignment="1">
      <alignment horizontal="left" vertical="center" wrapText="1"/>
    </xf>
    <xf numFmtId="2" fontId="27" fillId="2" borderId="206" xfId="4" applyNumberFormat="1" applyFont="1" applyFill="1" applyBorder="1" applyAlignment="1">
      <alignment vertical="center" wrapText="1"/>
    </xf>
    <xf numFmtId="2" fontId="31" fillId="0" borderId="85" xfId="0" applyNumberFormat="1" applyFont="1" applyFill="1" applyBorder="1" applyAlignment="1">
      <alignment vertical="top"/>
    </xf>
    <xf numFmtId="2" fontId="31" fillId="0" borderId="199" xfId="0" applyNumberFormat="1" applyFont="1" applyFill="1" applyBorder="1" applyAlignment="1">
      <alignment vertical="top"/>
    </xf>
    <xf numFmtId="2" fontId="27" fillId="2" borderId="202" xfId="4" applyNumberFormat="1" applyFont="1" applyFill="1" applyBorder="1" applyAlignment="1">
      <alignment vertical="top"/>
    </xf>
    <xf numFmtId="2" fontId="31" fillId="0" borderId="77" xfId="0" applyNumberFormat="1" applyFont="1" applyFill="1" applyBorder="1" applyAlignment="1">
      <alignment horizontal="left" vertical="center" wrapText="1"/>
    </xf>
    <xf numFmtId="2" fontId="27" fillId="2" borderId="206" xfId="4" applyNumberFormat="1" applyFont="1" applyFill="1" applyBorder="1" applyAlignment="1">
      <alignment vertical="top"/>
    </xf>
    <xf numFmtId="2" fontId="31" fillId="0" borderId="211" xfId="0" applyNumberFormat="1" applyFont="1" applyFill="1" applyBorder="1" applyAlignment="1">
      <alignment horizontal="left" vertical="center" wrapText="1"/>
    </xf>
    <xf numFmtId="2" fontId="25" fillId="6" borderId="206" xfId="4" applyNumberFormat="1" applyFont="1" applyFill="1" applyBorder="1" applyAlignment="1">
      <alignment horizontal="left" vertical="center"/>
    </xf>
    <xf numFmtId="2" fontId="7" fillId="6" borderId="20" xfId="0" applyNumberFormat="1" applyFont="1" applyFill="1" applyBorder="1" applyAlignment="1">
      <alignment horizontal="left" vertical="center" wrapText="1"/>
    </xf>
    <xf numFmtId="2" fontId="31" fillId="0" borderId="212" xfId="0" applyNumberFormat="1" applyFont="1" applyFill="1" applyBorder="1" applyAlignment="1">
      <alignment horizontal="left" vertical="center" wrapText="1"/>
    </xf>
    <xf numFmtId="2" fontId="25" fillId="6" borderId="9" xfId="0" applyNumberFormat="1" applyFont="1" applyFill="1" applyBorder="1" applyAlignment="1">
      <alignment vertical="top"/>
    </xf>
    <xf numFmtId="2" fontId="0" fillId="0" borderId="0" xfId="0" applyNumberFormat="1" applyFont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left" vertical="center" wrapText="1"/>
    </xf>
    <xf numFmtId="2" fontId="26" fillId="0" borderId="0" xfId="0" applyNumberFormat="1" applyFont="1" applyBorder="1" applyAlignment="1">
      <alignment horizontal="center" vertical="center" wrapText="1"/>
    </xf>
    <xf numFmtId="2" fontId="21" fillId="0" borderId="0" xfId="0" applyNumberFormat="1" applyFont="1" applyFill="1" applyBorder="1" applyAlignment="1">
      <alignment vertical="top"/>
    </xf>
    <xf numFmtId="2" fontId="21" fillId="0" borderId="0" xfId="0" applyNumberFormat="1" applyFont="1" applyFill="1" applyBorder="1" applyAlignment="1">
      <alignment horizontal="right" vertical="center"/>
    </xf>
    <xf numFmtId="2" fontId="20" fillId="0" borderId="0" xfId="0" applyNumberFormat="1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center" vertical="center"/>
    </xf>
    <xf numFmtId="2" fontId="24" fillId="2" borderId="24" xfId="0" applyNumberFormat="1" applyFont="1" applyFill="1" applyBorder="1" applyAlignment="1">
      <alignment horizontal="left" vertical="top" wrapText="1"/>
    </xf>
    <xf numFmtId="2" fontId="18" fillId="2" borderId="24" xfId="0" applyNumberFormat="1" applyFont="1" applyFill="1" applyBorder="1" applyAlignment="1">
      <alignment vertical="top"/>
    </xf>
    <xf numFmtId="2" fontId="18" fillId="0" borderId="0" xfId="0" applyNumberFormat="1" applyFont="1" applyFill="1" applyBorder="1" applyAlignment="1">
      <alignment vertical="top"/>
    </xf>
    <xf numFmtId="2" fontId="18" fillId="30" borderId="0" xfId="0" applyNumberFormat="1" applyFont="1" applyFill="1" applyBorder="1" applyAlignment="1">
      <alignment vertical="top"/>
    </xf>
    <xf numFmtId="2" fontId="27" fillId="55" borderId="203" xfId="4" applyNumberFormat="1" applyFont="1" applyFill="1" applyBorder="1" applyAlignment="1">
      <alignment horizontal="left" vertical="center"/>
    </xf>
    <xf numFmtId="2" fontId="27" fillId="55" borderId="16" xfId="4" applyNumberFormat="1" applyFont="1" applyFill="1" applyBorder="1" applyAlignment="1">
      <alignment horizontal="left" vertical="center"/>
    </xf>
    <xf numFmtId="2" fontId="27" fillId="55" borderId="198" xfId="4" applyNumberFormat="1" applyFont="1" applyFill="1" applyBorder="1" applyAlignment="1">
      <alignment horizontal="right" vertical="center"/>
    </xf>
    <xf numFmtId="2" fontId="27" fillId="55" borderId="67" xfId="0" applyNumberFormat="1" applyFont="1" applyFill="1" applyBorder="1" applyAlignment="1">
      <alignment horizontal="left" vertical="top"/>
    </xf>
    <xf numFmtId="2" fontId="28" fillId="55" borderId="22" xfId="0" quotePrefix="1" applyNumberFormat="1" applyFont="1" applyFill="1" applyBorder="1" applyAlignment="1">
      <alignment horizontal="center" vertical="top"/>
    </xf>
    <xf numFmtId="2" fontId="27" fillId="55" borderId="27" xfId="0" quotePrefix="1" applyNumberFormat="1" applyFont="1" applyFill="1" applyBorder="1" applyAlignment="1">
      <alignment horizontal="right" vertical="top"/>
    </xf>
    <xf numFmtId="2" fontId="25" fillId="6" borderId="19" xfId="4" applyNumberFormat="1" applyFont="1" applyFill="1" applyBorder="1" applyAlignment="1">
      <alignment horizontal="left" vertical="center"/>
    </xf>
    <xf numFmtId="2" fontId="25" fillId="6" borderId="16" xfId="4" applyNumberFormat="1" applyFont="1" applyFill="1" applyBorder="1" applyAlignment="1">
      <alignment horizontal="left" vertical="center"/>
    </xf>
    <xf numFmtId="2" fontId="25" fillId="6" borderId="17" xfId="0" applyNumberFormat="1" applyFont="1" applyFill="1" applyBorder="1" applyAlignment="1">
      <alignment vertical="top"/>
    </xf>
    <xf numFmtId="2" fontId="25" fillId="22" borderId="70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top"/>
    </xf>
    <xf numFmtId="2" fontId="27" fillId="8" borderId="198" xfId="0" applyNumberFormat="1" applyFont="1" applyFill="1" applyBorder="1" applyAlignment="1">
      <alignment vertical="top"/>
    </xf>
    <xf numFmtId="2" fontId="27" fillId="23" borderId="199" xfId="0" applyNumberFormat="1" applyFont="1" applyFill="1" applyBorder="1" applyAlignment="1">
      <alignment vertical="top"/>
    </xf>
    <xf numFmtId="2" fontId="31" fillId="8" borderId="131" xfId="0" applyNumberFormat="1" applyFont="1" applyFill="1" applyBorder="1" applyAlignment="1">
      <alignment vertical="top"/>
    </xf>
    <xf numFmtId="2" fontId="31" fillId="8" borderId="198" xfId="0" applyNumberFormat="1" applyFont="1" applyFill="1" applyBorder="1" applyAlignment="1">
      <alignment vertical="top"/>
    </xf>
    <xf numFmtId="2" fontId="25" fillId="23" borderId="198" xfId="0" applyNumberFormat="1" applyFont="1" applyFill="1" applyBorder="1" applyAlignment="1">
      <alignment horizontal="center" vertical="top"/>
    </xf>
    <xf numFmtId="2" fontId="7" fillId="23" borderId="195" xfId="0" applyNumberFormat="1" applyFont="1" applyFill="1" applyBorder="1" applyAlignment="1">
      <alignment vertical="top"/>
    </xf>
    <xf numFmtId="2" fontId="31" fillId="8" borderId="131" xfId="0" applyNumberFormat="1" applyFont="1" applyFill="1" applyBorder="1" applyAlignment="1">
      <alignment vertical="center"/>
    </xf>
    <xf numFmtId="2" fontId="31" fillId="8" borderId="198" xfId="0" applyNumberFormat="1" applyFont="1" applyFill="1" applyBorder="1" applyAlignment="1">
      <alignment vertical="center"/>
    </xf>
    <xf numFmtId="2" fontId="25" fillId="23" borderId="198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vertical="center"/>
    </xf>
    <xf numFmtId="2" fontId="18" fillId="30" borderId="0" xfId="0" applyNumberFormat="1" applyFont="1" applyFill="1" applyBorder="1" applyAlignment="1">
      <alignment vertical="center"/>
    </xf>
    <xf numFmtId="2" fontId="27" fillId="8" borderId="198" xfId="0" applyNumberFormat="1" applyFont="1" applyFill="1" applyBorder="1" applyAlignment="1">
      <alignment horizontal="right" vertical="center"/>
    </xf>
    <xf numFmtId="2" fontId="27" fillId="8" borderId="199" xfId="0" applyNumberFormat="1" applyFont="1" applyFill="1" applyBorder="1" applyAlignment="1">
      <alignment horizontal="right" vertical="center"/>
    </xf>
    <xf numFmtId="2" fontId="25" fillId="23" borderId="198" xfId="0" applyNumberFormat="1" applyFont="1" applyFill="1" applyBorder="1" applyAlignment="1">
      <alignment horizontal="center" vertical="center"/>
    </xf>
    <xf numFmtId="2" fontId="20" fillId="8" borderId="67" xfId="0" applyNumberFormat="1" applyFont="1" applyFill="1" applyBorder="1" applyAlignment="1">
      <alignment horizontal="center" vertical="center" wrapText="1"/>
    </xf>
    <xf numFmtId="2" fontId="31" fillId="8" borderId="199" xfId="0" applyNumberFormat="1" applyFont="1" applyFill="1" applyBorder="1" applyAlignment="1">
      <alignment vertical="top"/>
    </xf>
    <xf numFmtId="2" fontId="25" fillId="23" borderId="199" xfId="0" applyNumberFormat="1" applyFont="1" applyFill="1" applyBorder="1" applyAlignment="1">
      <alignment horizontal="center" vertical="center"/>
    </xf>
    <xf numFmtId="2" fontId="25" fillId="6" borderId="21" xfId="4" applyNumberFormat="1" applyFont="1" applyFill="1" applyBorder="1" applyAlignment="1">
      <alignment horizontal="left" vertical="center"/>
    </xf>
    <xf numFmtId="2" fontId="25" fillId="6" borderId="20" xfId="4" applyNumberFormat="1" applyFont="1" applyFill="1" applyBorder="1" applyAlignment="1">
      <alignment horizontal="left" vertical="center"/>
    </xf>
    <xf numFmtId="2" fontId="25" fillId="6" borderId="199" xfId="4" applyNumberFormat="1" applyFont="1" applyFill="1" applyBorder="1" applyAlignment="1">
      <alignment horizontal="right" vertical="center"/>
    </xf>
    <xf numFmtId="2" fontId="25" fillId="22" borderId="35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center"/>
    </xf>
    <xf numFmtId="2" fontId="27" fillId="8" borderId="6" xfId="4" applyNumberFormat="1" applyFont="1" applyFill="1" applyBorder="1" applyAlignment="1">
      <alignment horizontal="center" vertical="center"/>
    </xf>
    <xf numFmtId="2" fontId="25" fillId="8" borderId="198" xfId="0" applyNumberFormat="1" applyFont="1" applyFill="1" applyBorder="1" applyAlignment="1">
      <alignment vertical="center"/>
    </xf>
    <xf numFmtId="2" fontId="35" fillId="8" borderId="11" xfId="0" applyNumberFormat="1" applyFont="1" applyFill="1" applyBorder="1" applyAlignment="1">
      <alignment vertical="top"/>
    </xf>
    <xf numFmtId="2" fontId="27" fillId="8" borderId="198" xfId="0" applyNumberFormat="1" applyFont="1" applyFill="1" applyBorder="1" applyAlignment="1">
      <alignment vertical="center"/>
    </xf>
    <xf numFmtId="2" fontId="35" fillId="8" borderId="67" xfId="0" applyNumberFormat="1" applyFont="1" applyFill="1" applyBorder="1" applyAlignment="1">
      <alignment horizontal="center" vertical="center" wrapText="1"/>
    </xf>
    <xf numFmtId="2" fontId="35" fillId="0" borderId="0" xfId="0" applyNumberFormat="1" applyFont="1" applyFill="1" applyBorder="1" applyAlignment="1">
      <alignment vertical="top"/>
    </xf>
    <xf numFmtId="2" fontId="35" fillId="30" borderId="0" xfId="0" applyNumberFormat="1" applyFont="1" applyFill="1" applyBorder="1" applyAlignment="1">
      <alignment vertical="top"/>
    </xf>
    <xf numFmtId="2" fontId="24" fillId="8" borderId="19" xfId="0" applyNumberFormat="1" applyFont="1" applyFill="1" applyBorder="1" applyAlignment="1">
      <alignment vertical="center" wrapText="1"/>
    </xf>
    <xf numFmtId="2" fontId="24" fillId="8" borderId="17" xfId="0" applyNumberFormat="1" applyFont="1" applyFill="1" applyBorder="1" applyAlignment="1">
      <alignment horizontal="center" vertical="center" wrapText="1"/>
    </xf>
    <xf numFmtId="2" fontId="7" fillId="8" borderId="18" xfId="0" applyNumberFormat="1" applyFont="1" applyFill="1" applyBorder="1" applyAlignment="1">
      <alignment vertical="top"/>
    </xf>
    <xf numFmtId="2" fontId="7" fillId="8" borderId="79" xfId="0" applyNumberFormat="1" applyFont="1" applyFill="1" applyBorder="1" applyAlignment="1">
      <alignment vertical="top"/>
    </xf>
    <xf numFmtId="2" fontId="7" fillId="23" borderId="70" xfId="0" applyNumberFormat="1" applyFont="1" applyFill="1" applyBorder="1" applyAlignment="1">
      <alignment vertical="top"/>
    </xf>
    <xf numFmtId="2" fontId="24" fillId="6" borderId="21" xfId="4" applyNumberFormat="1" applyFont="1" applyFill="1" applyBorder="1" applyAlignment="1">
      <alignment horizontal="left" vertical="center"/>
    </xf>
    <xf numFmtId="2" fontId="25" fillId="6" borderId="9" xfId="4" applyNumberFormat="1" applyFont="1" applyFill="1" applyBorder="1" applyAlignment="1">
      <alignment horizontal="left" vertical="center"/>
    </xf>
    <xf numFmtId="2" fontId="27" fillId="0" borderId="36" xfId="4" applyNumberFormat="1" applyFont="1" applyFill="1" applyBorder="1" applyAlignment="1">
      <alignment vertical="center"/>
    </xf>
    <xf numFmtId="2" fontId="31" fillId="0" borderId="198" xfId="0" applyNumberFormat="1" applyFont="1" applyFill="1" applyBorder="1" applyAlignment="1">
      <alignment vertical="center"/>
    </xf>
    <xf numFmtId="2" fontId="25" fillId="0" borderId="198" xfId="0" applyNumberFormat="1" applyFont="1" applyFill="1" applyBorder="1" applyAlignment="1">
      <alignment vertical="center"/>
    </xf>
    <xf numFmtId="2" fontId="31" fillId="32" borderId="131" xfId="0" applyNumberFormat="1" applyFont="1" applyFill="1" applyBorder="1" applyAlignment="1">
      <alignment vertical="center"/>
    </xf>
    <xf numFmtId="2" fontId="31" fillId="32" borderId="198" xfId="0" applyNumberFormat="1" applyFont="1" applyFill="1" applyBorder="1" applyAlignment="1">
      <alignment vertical="center"/>
    </xf>
    <xf numFmtId="2" fontId="0" fillId="0" borderId="11" xfId="0" applyNumberFormat="1" applyFont="1" applyBorder="1"/>
    <xf numFmtId="2" fontId="32" fillId="0" borderId="0" xfId="0" applyNumberFormat="1" applyFont="1" applyBorder="1"/>
    <xf numFmtId="2" fontId="25" fillId="6" borderId="198" xfId="4" applyNumberFormat="1" applyFont="1" applyFill="1" applyBorder="1" applyAlignment="1">
      <alignment horizontal="left" vertical="center"/>
    </xf>
    <xf numFmtId="2" fontId="24" fillId="8" borderId="4" xfId="0" applyNumberFormat="1" applyFont="1" applyFill="1" applyBorder="1" applyAlignment="1">
      <alignment horizontal="center" vertical="center" wrapText="1"/>
    </xf>
    <xf numFmtId="2" fontId="7" fillId="8" borderId="3" xfId="0" applyNumberFormat="1" applyFont="1" applyFill="1" applyBorder="1" applyAlignment="1">
      <alignment vertical="top"/>
    </xf>
    <xf numFmtId="2" fontId="7" fillId="23" borderId="70" xfId="0" applyNumberFormat="1" applyFont="1" applyFill="1" applyBorder="1" applyAlignment="1">
      <alignment vertical="center"/>
    </xf>
    <xf numFmtId="2" fontId="25" fillId="6" borderId="199" xfId="0" applyNumberFormat="1" applyFont="1" applyFill="1" applyBorder="1" applyAlignment="1"/>
    <xf numFmtId="2" fontId="29" fillId="2" borderId="131" xfId="4" applyNumberFormat="1" applyFont="1" applyFill="1" applyBorder="1" applyAlignment="1">
      <alignment vertical="center" wrapText="1"/>
    </xf>
    <xf numFmtId="2" fontId="27" fillId="2" borderId="199" xfId="0" applyNumberFormat="1" applyFont="1" applyFill="1" applyBorder="1" applyAlignment="1"/>
    <xf numFmtId="2" fontId="7" fillId="0" borderId="21" xfId="0" applyNumberFormat="1" applyFont="1" applyFill="1" applyBorder="1" applyAlignment="1">
      <alignment vertical="center"/>
    </xf>
    <xf numFmtId="2" fontId="7" fillId="0" borderId="131" xfId="0" applyNumberFormat="1" applyFont="1" applyFill="1" applyBorder="1" applyAlignment="1">
      <alignment vertical="center" wrapText="1"/>
    </xf>
    <xf numFmtId="2" fontId="31" fillId="0" borderId="195" xfId="0" applyNumberFormat="1" applyFont="1" applyFill="1" applyBorder="1" applyAlignment="1">
      <alignment vertical="top"/>
    </xf>
    <xf numFmtId="2" fontId="31" fillId="2" borderId="131" xfId="4" applyNumberFormat="1" applyFont="1" applyFill="1" applyBorder="1" applyAlignment="1">
      <alignment vertical="center" wrapText="1"/>
    </xf>
    <xf numFmtId="2" fontId="0" fillId="0" borderId="199" xfId="0" applyNumberFormat="1" applyFont="1" applyBorder="1"/>
    <xf numFmtId="2" fontId="7" fillId="23" borderId="199" xfId="0" applyNumberFormat="1" applyFont="1" applyFill="1" applyBorder="1" applyAlignment="1">
      <alignment horizontal="center" vertical="top"/>
    </xf>
    <xf numFmtId="2" fontId="25" fillId="2" borderId="199" xfId="0" applyNumberFormat="1" applyFont="1" applyFill="1" applyBorder="1" applyAlignment="1"/>
    <xf numFmtId="2" fontId="28" fillId="2" borderId="199" xfId="0" applyNumberFormat="1" applyFont="1" applyFill="1" applyBorder="1" applyAlignment="1"/>
    <xf numFmtId="2" fontId="31" fillId="2" borderId="199" xfId="0" applyNumberFormat="1" applyFont="1" applyFill="1" applyBorder="1" applyAlignment="1"/>
    <xf numFmtId="2" fontId="31" fillId="2" borderId="77" xfId="4" applyNumberFormat="1" applyFont="1" applyFill="1" applyBorder="1" applyAlignment="1">
      <alignment vertical="center" wrapText="1"/>
    </xf>
    <xf numFmtId="2" fontId="24" fillId="8" borderId="86" xfId="0" applyNumberFormat="1" applyFont="1" applyFill="1" applyBorder="1" applyAlignment="1">
      <alignment vertical="center" wrapText="1"/>
    </xf>
    <xf numFmtId="2" fontId="24" fillId="8" borderId="70" xfId="0" applyNumberFormat="1" applyFont="1" applyFill="1" applyBorder="1" applyAlignment="1">
      <alignment horizontal="center" vertical="center" wrapText="1"/>
    </xf>
    <xf numFmtId="2" fontId="7" fillId="8" borderId="17" xfId="0" applyNumberFormat="1" applyFont="1" applyFill="1" applyBorder="1" applyAlignment="1">
      <alignment vertical="top"/>
    </xf>
    <xf numFmtId="2" fontId="24" fillId="6" borderId="85" xfId="4" applyNumberFormat="1" applyFont="1" applyFill="1" applyBorder="1" applyAlignment="1">
      <alignment horizontal="left" vertical="center"/>
    </xf>
    <xf numFmtId="2" fontId="25" fillId="6" borderId="199" xfId="0" applyNumberFormat="1" applyFont="1" applyFill="1" applyBorder="1" applyAlignment="1">
      <alignment vertical="center"/>
    </xf>
    <xf numFmtId="2" fontId="25" fillId="22" borderId="199" xfId="0" applyNumberFormat="1" applyFont="1" applyFill="1" applyBorder="1" applyAlignment="1">
      <alignment vertical="center"/>
    </xf>
    <xf numFmtId="2" fontId="29" fillId="0" borderId="85" xfId="0" applyNumberFormat="1" applyFont="1" applyFill="1" applyBorder="1" applyAlignment="1">
      <alignment vertical="center"/>
    </xf>
    <xf numFmtId="2" fontId="25" fillId="25" borderId="199" xfId="0" applyNumberFormat="1" applyFont="1" applyFill="1" applyBorder="1" applyAlignment="1">
      <alignment vertical="center"/>
    </xf>
    <xf numFmtId="2" fontId="30" fillId="0" borderId="0" xfId="0" applyNumberFormat="1" applyFont="1" applyBorder="1" applyAlignment="1">
      <alignment vertical="top"/>
    </xf>
    <xf numFmtId="2" fontId="7" fillId="0" borderId="212" xfId="0" applyNumberFormat="1" applyFont="1" applyFill="1" applyBorder="1" applyAlignment="1">
      <alignment vertical="center" wrapText="1"/>
    </xf>
    <xf numFmtId="2" fontId="31" fillId="0" borderId="210" xfId="0" applyNumberFormat="1" applyFont="1" applyFill="1" applyBorder="1" applyAlignment="1">
      <alignment vertical="center"/>
    </xf>
    <xf numFmtId="2" fontId="31" fillId="2" borderId="209" xfId="0" applyNumberFormat="1" applyFont="1" applyFill="1" applyBorder="1" applyAlignment="1">
      <alignment vertical="center"/>
    </xf>
    <xf numFmtId="2" fontId="31" fillId="25" borderId="12" xfId="0" applyNumberFormat="1" applyFont="1" applyFill="1" applyBorder="1" applyAlignment="1">
      <alignment vertical="center"/>
    </xf>
    <xf numFmtId="2" fontId="18" fillId="0" borderId="0" xfId="0" applyNumberFormat="1" applyFont="1" applyBorder="1" applyAlignment="1">
      <alignment horizontal="center" vertical="top" wrapText="1"/>
    </xf>
    <xf numFmtId="2" fontId="0" fillId="0" borderId="199" xfId="0" applyNumberFormat="1" applyFont="1" applyBorder="1" applyAlignment="1">
      <alignment vertical="center"/>
    </xf>
    <xf numFmtId="2" fontId="37" fillId="0" borderId="199" xfId="0" applyNumberFormat="1" applyFont="1" applyBorder="1"/>
    <xf numFmtId="2" fontId="39" fillId="0" borderId="199" xfId="0" applyNumberFormat="1" applyFont="1" applyBorder="1" applyAlignment="1">
      <alignment vertical="center"/>
    </xf>
    <xf numFmtId="2" fontId="18" fillId="0" borderId="199" xfId="0" applyNumberFormat="1" applyFont="1" applyBorder="1" applyAlignment="1">
      <alignment vertical="top"/>
    </xf>
    <xf numFmtId="2" fontId="8" fillId="0" borderId="199" xfId="0" applyNumberFormat="1" applyFont="1" applyBorder="1" applyAlignment="1">
      <alignment vertical="top"/>
    </xf>
    <xf numFmtId="3" fontId="29" fillId="8" borderId="199" xfId="0" applyNumberFormat="1" applyFont="1" applyFill="1" applyBorder="1" applyAlignment="1">
      <alignment vertical="center"/>
    </xf>
    <xf numFmtId="3" fontId="29" fillId="23" borderId="199" xfId="0" applyNumberFormat="1" applyFont="1" applyFill="1" applyBorder="1" applyAlignment="1">
      <alignment vertical="center"/>
    </xf>
    <xf numFmtId="3" fontId="7" fillId="28" borderId="199" xfId="0" applyNumberFormat="1" applyFont="1" applyFill="1" applyBorder="1" applyAlignment="1">
      <alignment vertical="center"/>
    </xf>
    <xf numFmtId="3" fontId="24" fillId="6" borderId="199" xfId="0" applyNumberFormat="1" applyFont="1" applyFill="1" applyBorder="1" applyAlignment="1">
      <alignment vertical="center"/>
    </xf>
    <xf numFmtId="3" fontId="7" fillId="28" borderId="209" xfId="0" applyNumberFormat="1" applyFont="1" applyFill="1" applyBorder="1" applyAlignment="1">
      <alignment vertical="center"/>
    </xf>
    <xf numFmtId="3" fontId="7" fillId="8" borderId="4" xfId="0" applyNumberFormat="1" applyFont="1" applyFill="1" applyBorder="1" applyAlignment="1">
      <alignment vertical="top"/>
    </xf>
    <xf numFmtId="3" fontId="7" fillId="8" borderId="2" xfId="0" applyNumberFormat="1" applyFont="1" applyFill="1" applyBorder="1" applyAlignment="1">
      <alignment vertical="top"/>
    </xf>
    <xf numFmtId="3" fontId="7" fillId="23" borderId="1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vertical="top"/>
    </xf>
    <xf numFmtId="3" fontId="31" fillId="0" borderId="169" xfId="0" applyNumberFormat="1" applyFont="1" applyFill="1" applyBorder="1" applyAlignment="1">
      <alignment vertical="top"/>
    </xf>
    <xf numFmtId="3" fontId="31" fillId="0" borderId="195" xfId="0" applyNumberFormat="1" applyFont="1" applyFill="1" applyBorder="1" applyAlignment="1">
      <alignment horizontal="right" vertical="center"/>
    </xf>
    <xf numFmtId="3" fontId="25" fillId="6" borderId="195" xfId="0" applyNumberFormat="1" applyFont="1" applyFill="1" applyBorder="1" applyAlignment="1">
      <alignment vertical="top"/>
    </xf>
    <xf numFmtId="3" fontId="27" fillId="2" borderId="13" xfId="0" applyNumberFormat="1" applyFont="1" applyFill="1" applyBorder="1" applyAlignment="1">
      <alignment vertical="top"/>
    </xf>
    <xf numFmtId="3" fontId="31" fillId="0" borderId="209" xfId="0" applyNumberFormat="1" applyFont="1" applyFill="1" applyBorder="1" applyAlignment="1">
      <alignment vertical="top"/>
    </xf>
    <xf numFmtId="3" fontId="31" fillId="0" borderId="209" xfId="0" applyNumberFormat="1" applyFont="1" applyFill="1" applyBorder="1" applyAlignment="1">
      <alignment horizontal="right" vertical="center"/>
    </xf>
    <xf numFmtId="3" fontId="31" fillId="0" borderId="198" xfId="4" applyNumberFormat="1" applyFont="1" applyFill="1" applyBorder="1" applyAlignment="1"/>
    <xf numFmtId="3" fontId="31" fillId="0" borderId="169" xfId="4" applyNumberFormat="1" applyFont="1" applyFill="1" applyBorder="1" applyAlignment="1"/>
    <xf numFmtId="3" fontId="25" fillId="6" borderId="9" xfId="0" applyNumberFormat="1" applyFont="1" applyFill="1" applyBorder="1" applyAlignment="1">
      <alignment vertical="top"/>
    </xf>
    <xf numFmtId="1" fontId="21" fillId="2" borderId="200" xfId="0" applyNumberFormat="1" applyFont="1" applyFill="1" applyBorder="1" applyAlignment="1">
      <alignment horizontal="center" vertical="top"/>
    </xf>
    <xf numFmtId="1" fontId="21" fillId="2" borderId="199" xfId="0" applyNumberFormat="1" applyFont="1" applyFill="1" applyBorder="1" applyAlignment="1">
      <alignment horizontal="center" vertical="top"/>
    </xf>
    <xf numFmtId="1" fontId="21" fillId="2" borderId="199" xfId="0" quotePrefix="1" applyNumberFormat="1" applyFont="1" applyFill="1" applyBorder="1" applyAlignment="1">
      <alignment horizontal="center" vertical="top"/>
    </xf>
    <xf numFmtId="1" fontId="21" fillId="2" borderId="194" xfId="0" quotePrefix="1" applyNumberFormat="1" applyFont="1" applyFill="1" applyBorder="1" applyAlignment="1">
      <alignment horizontal="center" vertical="top"/>
    </xf>
    <xf numFmtId="1" fontId="21" fillId="0" borderId="70" xfId="0" quotePrefix="1" applyNumberFormat="1" applyFont="1" applyFill="1" applyBorder="1" applyAlignment="1">
      <alignment horizontal="center" vertical="top"/>
    </xf>
    <xf numFmtId="3" fontId="7" fillId="24" borderId="207" xfId="4" applyNumberFormat="1" applyFont="1" applyFill="1" applyBorder="1" applyAlignment="1">
      <alignment horizontal="right" vertical="center"/>
    </xf>
    <xf numFmtId="3" fontId="7" fillId="24" borderId="199" xfId="4" applyNumberFormat="1" applyFont="1" applyFill="1" applyBorder="1" applyAlignment="1">
      <alignment horizontal="right" vertical="center"/>
    </xf>
    <xf numFmtId="0" fontId="7" fillId="0" borderId="3" xfId="0" quotePrefix="1" applyFont="1" applyBorder="1" applyAlignment="1">
      <alignment horizontal="center"/>
    </xf>
    <xf numFmtId="3" fontId="66" fillId="4" borderId="18" xfId="0" applyNumberFormat="1" applyFont="1" applyFill="1" applyBorder="1" applyAlignment="1">
      <alignment horizontal="right" vertical="center" wrapText="1"/>
    </xf>
    <xf numFmtId="3" fontId="36" fillId="4" borderId="8" xfId="0" applyNumberFormat="1" applyFont="1" applyFill="1" applyBorder="1" applyAlignment="1">
      <alignment horizontal="right" vertical="center" wrapText="1"/>
    </xf>
    <xf numFmtId="3" fontId="36" fillId="4" borderId="24" xfId="0" applyNumberFormat="1" applyFont="1" applyFill="1" applyBorder="1" applyAlignment="1">
      <alignment horizontal="right" vertical="center" wrapText="1"/>
    </xf>
    <xf numFmtId="3" fontId="66" fillId="6" borderId="202" xfId="0" applyNumberFormat="1" applyFont="1" applyFill="1" applyBorder="1" applyAlignment="1">
      <alignment horizontal="right" vertical="center" wrapText="1"/>
    </xf>
    <xf numFmtId="3" fontId="64" fillId="8" borderId="8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vertical="center" wrapText="1"/>
    </xf>
    <xf numFmtId="43" fontId="8" fillId="0" borderId="8" xfId="1" applyFont="1" applyFill="1" applyBorder="1" applyAlignment="1">
      <alignment vertical="center" wrapText="1"/>
    </xf>
    <xf numFmtId="3" fontId="64" fillId="8" borderId="202" xfId="0" applyNumberFormat="1" applyFont="1" applyFill="1" applyBorder="1" applyAlignment="1">
      <alignment vertical="center" wrapText="1"/>
    </xf>
    <xf numFmtId="3" fontId="62" fillId="6" borderId="202" xfId="0" applyNumberFormat="1" applyFont="1" applyFill="1" applyBorder="1" applyAlignment="1">
      <alignment wrapText="1"/>
    </xf>
    <xf numFmtId="3" fontId="65" fillId="8" borderId="202" xfId="0" applyNumberFormat="1" applyFont="1" applyFill="1" applyBorder="1" applyAlignment="1">
      <alignment vertical="center" wrapText="1"/>
    </xf>
    <xf numFmtId="3" fontId="8" fillId="0" borderId="24" xfId="0" applyNumberFormat="1" applyFont="1" applyFill="1" applyBorder="1" applyAlignment="1">
      <alignment vertical="center" wrapText="1"/>
    </xf>
    <xf numFmtId="3" fontId="62" fillId="57" borderId="51" xfId="0" applyNumberFormat="1" applyFont="1" applyFill="1" applyBorder="1" applyAlignment="1">
      <alignment vertical="center" wrapText="1"/>
    </xf>
    <xf numFmtId="3" fontId="62" fillId="57" borderId="24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6" fillId="7" borderId="131" xfId="0" applyNumberFormat="1" applyFont="1" applyFill="1" applyBorder="1" applyAlignment="1">
      <alignment horizontal="right" vertical="center" wrapText="1"/>
    </xf>
    <xf numFmtId="3" fontId="64" fillId="9" borderId="131" xfId="0" applyNumberFormat="1" applyFont="1" applyFill="1" applyBorder="1" applyAlignment="1">
      <alignment vertical="center" wrapText="1"/>
    </xf>
    <xf numFmtId="3" fontId="62" fillId="57" borderId="52" xfId="0" applyNumberFormat="1" applyFont="1" applyFill="1" applyBorder="1" applyAlignment="1">
      <alignment vertical="center" wrapText="1"/>
    </xf>
    <xf numFmtId="3" fontId="62" fillId="57" borderId="25" xfId="0" applyNumberFormat="1" applyFont="1" applyFill="1" applyBorder="1" applyAlignment="1">
      <alignment horizontal="center" vertical="center" wrapText="1"/>
    </xf>
    <xf numFmtId="3" fontId="66" fillId="4" borderId="79" xfId="0" applyNumberFormat="1" applyFont="1" applyFill="1" applyBorder="1" applyAlignment="1">
      <alignment horizontal="right" vertical="center" wrapText="1"/>
    </xf>
    <xf numFmtId="3" fontId="36" fillId="4" borderId="7" xfId="0" quotePrefix="1" applyNumberFormat="1" applyFont="1" applyFill="1" applyBorder="1" applyAlignment="1">
      <alignment horizontal="right" vertical="center"/>
    </xf>
    <xf numFmtId="3" fontId="36" fillId="4" borderId="145" xfId="0" quotePrefix="1" applyNumberFormat="1" applyFont="1" applyFill="1" applyBorder="1" applyAlignment="1">
      <alignment horizontal="right"/>
    </xf>
    <xf numFmtId="3" fontId="65" fillId="8" borderId="8" xfId="0" applyNumberFormat="1" applyFont="1" applyFill="1" applyBorder="1" applyAlignment="1">
      <alignment horizontal="right" vertical="center" wrapText="1"/>
    </xf>
    <xf numFmtId="3" fontId="62" fillId="6" borderId="202" xfId="0" applyNumberFormat="1" applyFont="1" applyFill="1" applyBorder="1" applyAlignment="1">
      <alignment vertical="center" wrapText="1"/>
    </xf>
    <xf numFmtId="3" fontId="65" fillId="8" borderId="8" xfId="0" applyNumberFormat="1" applyFont="1" applyFill="1" applyBorder="1" applyAlignment="1">
      <alignment vertical="center" wrapText="1"/>
    </xf>
    <xf numFmtId="3" fontId="8" fillId="0" borderId="145" xfId="0" applyNumberFormat="1" applyFont="1" applyFill="1" applyBorder="1" applyAlignment="1">
      <alignment vertical="center" wrapText="1"/>
    </xf>
    <xf numFmtId="3" fontId="7" fillId="2" borderId="11" xfId="0" applyNumberFormat="1" applyFont="1" applyFill="1" applyBorder="1" applyAlignment="1">
      <alignment vertical="center" wrapText="1"/>
    </xf>
    <xf numFmtId="3" fontId="65" fillId="9" borderId="21" xfId="0" applyNumberFormat="1" applyFont="1" applyFill="1" applyBorder="1" applyAlignment="1">
      <alignment horizontal="right" vertical="center" wrapText="1"/>
    </xf>
    <xf numFmtId="43" fontId="64" fillId="9" borderId="131" xfId="1" applyFont="1" applyFill="1" applyBorder="1" applyAlignment="1">
      <alignment horizontal="center" vertical="center" wrapText="1"/>
    </xf>
    <xf numFmtId="43" fontId="32" fillId="0" borderId="167" xfId="1" applyFont="1" applyFill="1" applyBorder="1" applyAlignment="1">
      <alignment vertical="center"/>
    </xf>
    <xf numFmtId="3" fontId="31" fillId="0" borderId="209" xfId="4" applyNumberFormat="1" applyFont="1" applyFill="1" applyBorder="1" applyAlignment="1">
      <alignment vertical="center"/>
    </xf>
    <xf numFmtId="3" fontId="31" fillId="0" borderId="210" xfId="4" applyNumberFormat="1" applyFont="1" applyFill="1" applyBorder="1" applyAlignment="1"/>
    <xf numFmtId="3" fontId="27" fillId="55" borderId="195" xfId="4" applyNumberFormat="1" applyFont="1" applyFill="1" applyBorder="1" applyAlignment="1">
      <alignment horizontal="right" vertical="center"/>
    </xf>
    <xf numFmtId="3" fontId="27" fillId="55" borderId="169" xfId="4" applyNumberFormat="1" applyFont="1" applyFill="1" applyBorder="1" applyAlignment="1">
      <alignment horizontal="right" vertical="center"/>
    </xf>
    <xf numFmtId="3" fontId="27" fillId="55" borderId="12" xfId="0" quotePrefix="1" applyNumberFormat="1" applyFont="1" applyFill="1" applyBorder="1" applyAlignment="1">
      <alignment horizontal="right" vertical="top"/>
    </xf>
    <xf numFmtId="3" fontId="27" fillId="21" borderId="205" xfId="4" applyNumberFormat="1" applyFont="1" applyFill="1" applyBorder="1" applyAlignment="1">
      <alignment horizontal="right" vertical="center"/>
    </xf>
    <xf numFmtId="3" fontId="27" fillId="21" borderId="209" xfId="4" applyNumberFormat="1" applyFont="1" applyFill="1" applyBorder="1" applyAlignment="1">
      <alignment horizontal="right" vertical="center"/>
    </xf>
    <xf numFmtId="3" fontId="27" fillId="21" borderId="195" xfId="4" applyNumberFormat="1" applyFont="1" applyFill="1" applyBorder="1" applyAlignment="1">
      <alignment horizontal="right" vertical="center"/>
    </xf>
    <xf numFmtId="0" fontId="24" fillId="8" borderId="45" xfId="0" applyFont="1" applyFill="1" applyBorder="1" applyAlignment="1">
      <alignment vertical="center" wrapText="1"/>
    </xf>
    <xf numFmtId="3" fontId="27" fillId="2" borderId="199" xfId="4" applyNumberFormat="1" applyFont="1" applyFill="1" applyBorder="1" applyAlignment="1">
      <alignment vertical="top" wrapText="1"/>
    </xf>
    <xf numFmtId="0" fontId="31" fillId="0" borderId="199" xfId="0" applyFont="1" applyFill="1" applyBorder="1" applyAlignment="1">
      <alignment horizontal="left" vertical="center" wrapText="1"/>
    </xf>
    <xf numFmtId="0" fontId="31" fillId="0" borderId="199" xfId="4" applyFont="1" applyFill="1" applyBorder="1" applyAlignment="1">
      <alignment vertical="center"/>
    </xf>
    <xf numFmtId="3" fontId="31" fillId="2" borderId="209" xfId="0" applyNumberFormat="1" applyFont="1" applyFill="1" applyBorder="1" applyAlignment="1">
      <alignment vertical="center"/>
    </xf>
    <xf numFmtId="3" fontId="31" fillId="23" borderId="209" xfId="0" applyNumberFormat="1" applyFont="1" applyFill="1" applyBorder="1" applyAlignment="1">
      <alignment vertical="top"/>
    </xf>
    <xf numFmtId="3" fontId="31" fillId="23" borderId="35" xfId="0" applyNumberFormat="1" applyFont="1" applyFill="1" applyBorder="1" applyAlignment="1">
      <alignment vertical="top"/>
    </xf>
    <xf numFmtId="3" fontId="7" fillId="8" borderId="17" xfId="0" applyNumberFormat="1" applyFont="1" applyFill="1" applyBorder="1" applyAlignment="1">
      <alignment vertical="top"/>
    </xf>
    <xf numFmtId="3" fontId="24" fillId="22" borderId="70" xfId="0" applyNumberFormat="1" applyFont="1" applyFill="1" applyBorder="1" applyAlignment="1">
      <alignment vertical="top"/>
    </xf>
    <xf numFmtId="3" fontId="24" fillId="22" borderId="168" xfId="0" applyNumberFormat="1" applyFont="1" applyFill="1" applyBorder="1" applyAlignment="1">
      <alignment vertical="top"/>
    </xf>
    <xf numFmtId="3" fontId="29" fillId="26" borderId="168" xfId="0" applyNumberFormat="1" applyFont="1" applyFill="1" applyBorder="1" applyAlignment="1">
      <alignment vertical="center"/>
    </xf>
    <xf numFmtId="0" fontId="0" fillId="0" borderId="77" xfId="0" applyFont="1" applyBorder="1"/>
    <xf numFmtId="3" fontId="28" fillId="2" borderId="127" xfId="0" applyNumberFormat="1" applyFont="1" applyFill="1" applyBorder="1" applyAlignment="1">
      <alignment vertical="top"/>
    </xf>
    <xf numFmtId="3" fontId="31" fillId="0" borderId="144" xfId="0" applyNumberFormat="1" applyFont="1" applyFill="1" applyBorder="1" applyAlignment="1">
      <alignment vertical="center"/>
    </xf>
    <xf numFmtId="43" fontId="0" fillId="0" borderId="127" xfId="1" applyFont="1" applyBorder="1"/>
    <xf numFmtId="3" fontId="29" fillId="0" borderId="202" xfId="4" applyNumberFormat="1" applyFont="1" applyFill="1" applyBorder="1" applyAlignment="1">
      <alignment horizontal="right" vertical="center"/>
    </xf>
    <xf numFmtId="3" fontId="27" fillId="0" borderId="199" xfId="4" applyNumberFormat="1" applyFont="1" applyFill="1" applyBorder="1" applyAlignment="1">
      <alignment horizontal="right" vertical="center"/>
    </xf>
    <xf numFmtId="0" fontId="0" fillId="0" borderId="131" xfId="0" applyFont="1" applyBorder="1" applyAlignment="1">
      <alignment vertical="center"/>
    </xf>
    <xf numFmtId="43" fontId="25" fillId="6" borderId="198" xfId="1" applyFont="1" applyFill="1" applyBorder="1" applyAlignment="1">
      <alignment horizontal="right" vertical="center"/>
    </xf>
    <xf numFmtId="43" fontId="27" fillId="0" borderId="198" xfId="1" applyFont="1" applyFill="1" applyBorder="1" applyAlignment="1">
      <alignment horizontal="right" vertical="center"/>
    </xf>
    <xf numFmtId="43" fontId="33" fillId="0" borderId="198" xfId="1" applyFont="1" applyFill="1" applyBorder="1" applyAlignment="1">
      <alignment vertical="center"/>
    </xf>
    <xf numFmtId="0" fontId="31" fillId="0" borderId="213" xfId="4" applyFont="1" applyFill="1" applyBorder="1" applyAlignment="1">
      <alignment vertical="center"/>
    </xf>
    <xf numFmtId="43" fontId="24" fillId="6" borderId="198" xfId="1" applyFont="1" applyFill="1" applyBorder="1" applyAlignment="1">
      <alignment vertical="center"/>
    </xf>
    <xf numFmtId="43" fontId="27" fillId="2" borderId="198" xfId="1" applyFont="1" applyFill="1" applyBorder="1" applyAlignment="1">
      <alignment vertical="center"/>
    </xf>
    <xf numFmtId="0" fontId="70" fillId="2" borderId="0" xfId="0" applyFont="1" applyFill="1" applyBorder="1" applyAlignment="1">
      <alignment horizontal="center" wrapText="1"/>
    </xf>
    <xf numFmtId="3" fontId="24" fillId="6" borderId="188" xfId="4" applyNumberFormat="1" applyFont="1" applyFill="1" applyBorder="1" applyAlignment="1">
      <alignment vertical="center"/>
    </xf>
    <xf numFmtId="3" fontId="27" fillId="2" borderId="199" xfId="4" applyNumberFormat="1" applyFont="1" applyFill="1" applyBorder="1" applyAlignment="1">
      <alignment vertical="center"/>
    </xf>
    <xf numFmtId="3" fontId="32" fillId="0" borderId="209" xfId="6" applyNumberFormat="1" applyFont="1" applyFill="1" applyBorder="1" applyAlignment="1">
      <alignment vertical="center"/>
    </xf>
    <xf numFmtId="3" fontId="27" fillId="25" borderId="199" xfId="4" applyNumberFormat="1" applyFont="1" applyFill="1" applyBorder="1" applyAlignment="1">
      <alignment horizontal="right" vertical="center"/>
    </xf>
    <xf numFmtId="0" fontId="7" fillId="0" borderId="213" xfId="4" applyFont="1" applyFill="1" applyBorder="1" applyAlignment="1">
      <alignment vertical="center"/>
    </xf>
    <xf numFmtId="43" fontId="29" fillId="2" borderId="198" xfId="1" applyFont="1" applyFill="1" applyBorder="1" applyAlignment="1">
      <alignment vertical="center"/>
    </xf>
    <xf numFmtId="43" fontId="31" fillId="0" borderId="210" xfId="1" applyFont="1" applyFill="1" applyBorder="1" applyAlignment="1">
      <alignment vertical="center"/>
    </xf>
    <xf numFmtId="3" fontId="7" fillId="0" borderId="209" xfId="4" applyNumberFormat="1" applyFont="1" applyFill="1" applyBorder="1" applyAlignment="1">
      <alignment horizontal="right" vertical="center"/>
    </xf>
    <xf numFmtId="43" fontId="7" fillId="0" borderId="209" xfId="1" applyFont="1" applyFill="1" applyBorder="1" applyAlignment="1">
      <alignment horizontal="right" vertical="center"/>
    </xf>
    <xf numFmtId="3" fontId="24" fillId="6" borderId="199" xfId="0" applyNumberFormat="1" applyFont="1" applyFill="1" applyBorder="1" applyAlignment="1">
      <alignment horizontal="right" vertical="center"/>
    </xf>
    <xf numFmtId="3" fontId="29" fillId="0" borderId="199" xfId="0" applyNumberFormat="1" applyFont="1" applyFill="1" applyBorder="1" applyAlignment="1">
      <alignment horizontal="right" vertical="center"/>
    </xf>
    <xf numFmtId="3" fontId="7" fillId="0" borderId="199" xfId="0" applyNumberFormat="1" applyFont="1" applyFill="1" applyBorder="1" applyAlignment="1">
      <alignment horizontal="right" vertical="center"/>
    </xf>
    <xf numFmtId="43" fontId="31" fillId="0" borderId="199" xfId="1" applyFont="1" applyFill="1" applyBorder="1" applyAlignment="1">
      <alignment vertical="center"/>
    </xf>
    <xf numFmtId="43" fontId="31" fillId="0" borderId="209" xfId="1" applyFont="1" applyFill="1" applyBorder="1" applyAlignment="1">
      <alignment vertical="center"/>
    </xf>
    <xf numFmtId="3" fontId="31" fillId="0" borderId="210" xfId="4" applyNumberFormat="1" applyFont="1" applyFill="1" applyBorder="1" applyAlignment="1">
      <alignment horizontal="right" vertical="center"/>
    </xf>
    <xf numFmtId="43" fontId="31" fillId="0" borderId="210" xfId="1" applyFont="1" applyFill="1" applyBorder="1" applyAlignment="1">
      <alignment horizontal="right" vertical="center"/>
    </xf>
    <xf numFmtId="3" fontId="31" fillId="25" borderId="210" xfId="4" applyNumberFormat="1" applyFont="1" applyFill="1" applyBorder="1" applyAlignment="1">
      <alignment horizontal="right" vertical="center"/>
    </xf>
    <xf numFmtId="0" fontId="24" fillId="8" borderId="199" xfId="4" applyFont="1" applyFill="1" applyBorder="1" applyAlignment="1">
      <alignment horizontal="center" vertical="center" wrapText="1"/>
    </xf>
    <xf numFmtId="3" fontId="24" fillId="8" borderId="199" xfId="4" applyNumberFormat="1" applyFont="1" applyFill="1" applyBorder="1" applyAlignment="1">
      <alignment horizontal="right" vertical="center"/>
    </xf>
    <xf numFmtId="3" fontId="28" fillId="23" borderId="199" xfId="4" applyNumberFormat="1" applyFont="1" applyFill="1" applyBorder="1" applyAlignment="1">
      <alignment horizontal="right" vertical="center"/>
    </xf>
    <xf numFmtId="3" fontId="24" fillId="6" borderId="199" xfId="4" applyNumberFormat="1" applyFont="1" applyFill="1" applyBorder="1" applyAlignment="1"/>
    <xf numFmtId="3" fontId="33" fillId="23" borderId="199" xfId="6" applyNumberFormat="1" applyFont="1" applyFill="1" applyBorder="1" applyAlignment="1">
      <alignment vertical="center"/>
    </xf>
    <xf numFmtId="3" fontId="7" fillId="25" borderId="199" xfId="4" applyNumberFormat="1" applyFont="1" applyFill="1" applyBorder="1" applyAlignment="1">
      <alignment horizontal="right" vertical="center"/>
    </xf>
    <xf numFmtId="3" fontId="31" fillId="23" borderId="199" xfId="4" applyNumberFormat="1" applyFont="1" applyFill="1" applyBorder="1" applyAlignment="1">
      <alignment vertical="center"/>
    </xf>
    <xf numFmtId="3" fontId="24" fillId="6" borderId="198" xfId="1" applyNumberFormat="1" applyFont="1" applyFill="1" applyBorder="1" applyAlignment="1">
      <alignment horizontal="right" vertical="center"/>
    </xf>
    <xf numFmtId="3" fontId="27" fillId="0" borderId="195" xfId="1" applyNumberFormat="1" applyFont="1" applyFill="1" applyBorder="1" applyAlignment="1">
      <alignment horizontal="right" vertical="center"/>
    </xf>
    <xf numFmtId="43" fontId="27" fillId="0" borderId="195" xfId="1" applyFont="1" applyFill="1" applyBorder="1" applyAlignment="1">
      <alignment horizontal="right" vertical="center"/>
    </xf>
    <xf numFmtId="43" fontId="31" fillId="0" borderId="198" xfId="1" applyFont="1" applyFill="1" applyBorder="1" applyAlignment="1"/>
    <xf numFmtId="3" fontId="31" fillId="0" borderId="198" xfId="1" applyNumberFormat="1" applyFont="1" applyFill="1" applyBorder="1" applyAlignment="1">
      <alignment horizontal="right"/>
    </xf>
    <xf numFmtId="3" fontId="33" fillId="0" borderId="199" xfId="1" applyNumberFormat="1" applyFont="1" applyFill="1" applyBorder="1" applyAlignment="1">
      <alignment horizontal="right" vertical="center"/>
    </xf>
    <xf numFmtId="3" fontId="31" fillId="0" borderId="210" xfId="1" applyNumberFormat="1" applyFont="1" applyFill="1" applyBorder="1" applyAlignment="1">
      <alignment horizontal="right"/>
    </xf>
    <xf numFmtId="0" fontId="25" fillId="0" borderId="12" xfId="4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 vertical="center"/>
    </xf>
    <xf numFmtId="0" fontId="32" fillId="0" borderId="134" xfId="0" applyFont="1" applyBorder="1" applyAlignment="1">
      <alignment horizontal="center" vertical="center"/>
    </xf>
    <xf numFmtId="3" fontId="25" fillId="2" borderId="13" xfId="4" applyNumberFormat="1" applyFont="1" applyFill="1" applyBorder="1" applyAlignment="1">
      <alignment horizontal="center" vertical="center" wrapText="1"/>
    </xf>
    <xf numFmtId="0" fontId="18" fillId="0" borderId="13" xfId="4" applyFont="1" applyFill="1" applyBorder="1" applyAlignment="1">
      <alignment horizontal="center" vertical="center" wrapText="1"/>
    </xf>
    <xf numFmtId="0" fontId="18" fillId="0" borderId="12" xfId="4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/>
    </xf>
    <xf numFmtId="0" fontId="25" fillId="0" borderId="35" xfId="4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3" fillId="0" borderId="0" xfId="4" applyFont="1" applyFill="1" applyBorder="1" applyAlignment="1">
      <alignment horizontal="left" vertical="center" wrapText="1"/>
    </xf>
    <xf numFmtId="0" fontId="27" fillId="55" borderId="200" xfId="4" applyFont="1" applyFill="1" applyBorder="1" applyAlignment="1">
      <alignment horizontal="left" vertical="center"/>
    </xf>
    <xf numFmtId="3" fontId="27" fillId="55" borderId="198" xfId="4" applyNumberFormat="1" applyFont="1" applyFill="1" applyBorder="1" applyAlignment="1">
      <alignment horizontal="right" vertical="center"/>
    </xf>
    <xf numFmtId="43" fontId="27" fillId="55" borderId="198" xfId="1" applyFont="1" applyFill="1" applyBorder="1" applyAlignment="1">
      <alignment horizontal="right" vertical="center"/>
    </xf>
    <xf numFmtId="3" fontId="27" fillId="21" borderId="199" xfId="4" applyNumberFormat="1" applyFont="1" applyFill="1" applyBorder="1" applyAlignment="1">
      <alignment horizontal="right" vertical="center"/>
    </xf>
    <xf numFmtId="0" fontId="28" fillId="55" borderId="200" xfId="0" quotePrefix="1" applyFont="1" applyFill="1" applyBorder="1" applyAlignment="1">
      <alignment horizontal="center" vertical="top"/>
    </xf>
    <xf numFmtId="3" fontId="27" fillId="55" borderId="198" xfId="0" quotePrefix="1" applyNumberFormat="1" applyFont="1" applyFill="1" applyBorder="1" applyAlignment="1">
      <alignment horizontal="right" vertical="top"/>
    </xf>
    <xf numFmtId="43" fontId="27" fillId="55" borderId="198" xfId="1" quotePrefix="1" applyFont="1" applyFill="1" applyBorder="1" applyAlignment="1">
      <alignment horizontal="right" vertical="top"/>
    </xf>
    <xf numFmtId="0" fontId="25" fillId="6" borderId="198" xfId="0" applyFont="1" applyFill="1" applyBorder="1" applyAlignment="1">
      <alignment vertical="center"/>
    </xf>
    <xf numFmtId="3" fontId="25" fillId="6" borderId="202" xfId="0" applyNumberFormat="1" applyFont="1" applyFill="1" applyBorder="1" applyAlignment="1">
      <alignment vertical="center"/>
    </xf>
    <xf numFmtId="43" fontId="25" fillId="6" borderId="207" xfId="1" applyFont="1" applyFill="1" applyBorder="1" applyAlignment="1">
      <alignment vertical="center"/>
    </xf>
    <xf numFmtId="3" fontId="25" fillId="6" borderId="207" xfId="0" applyNumberFormat="1" applyFont="1" applyFill="1" applyBorder="1" applyAlignment="1">
      <alignment vertical="center"/>
    </xf>
    <xf numFmtId="0" fontId="27" fillId="8" borderId="198" xfId="4" applyFont="1" applyFill="1" applyBorder="1" applyAlignment="1">
      <alignment horizontal="left" vertical="center"/>
    </xf>
    <xf numFmtId="3" fontId="27" fillId="8" borderId="199" xfId="4" applyNumberFormat="1" applyFont="1" applyFill="1" applyBorder="1" applyAlignment="1">
      <alignment vertical="top"/>
    </xf>
    <xf numFmtId="43" fontId="27" fillId="8" borderId="199" xfId="1" applyFont="1" applyFill="1" applyBorder="1" applyAlignment="1">
      <alignment vertical="top"/>
    </xf>
    <xf numFmtId="3" fontId="27" fillId="23" borderId="199" xfId="4" applyNumberFormat="1" applyFont="1" applyFill="1" applyBorder="1" applyAlignment="1">
      <alignment vertical="top"/>
    </xf>
    <xf numFmtId="0" fontId="7" fillId="8" borderId="198" xfId="4" applyFont="1" applyFill="1" applyBorder="1" applyAlignment="1">
      <alignment vertical="top"/>
    </xf>
    <xf numFmtId="3" fontId="7" fillId="8" borderId="199" xfId="4" applyNumberFormat="1" applyFont="1" applyFill="1" applyBorder="1" applyAlignment="1">
      <alignment vertical="top"/>
    </xf>
    <xf numFmtId="43" fontId="7" fillId="8" borderId="199" xfId="1" applyFont="1" applyFill="1" applyBorder="1" applyAlignment="1">
      <alignment vertical="top"/>
    </xf>
    <xf numFmtId="3" fontId="7" fillId="25" borderId="199" xfId="4" applyNumberFormat="1" applyFont="1" applyFill="1" applyBorder="1" applyAlignment="1">
      <alignment vertical="top"/>
    </xf>
    <xf numFmtId="0" fontId="7" fillId="8" borderId="198" xfId="4" applyFont="1" applyFill="1" applyBorder="1" applyAlignment="1">
      <alignment vertical="center"/>
    </xf>
    <xf numFmtId="3" fontId="7" fillId="8" borderId="199" xfId="4" applyNumberFormat="1" applyFont="1" applyFill="1" applyBorder="1" applyAlignment="1">
      <alignment vertical="center"/>
    </xf>
    <xf numFmtId="43" fontId="31" fillId="8" borderId="199" xfId="1" applyFont="1" applyFill="1" applyBorder="1" applyAlignment="1">
      <alignment vertical="center"/>
    </xf>
    <xf numFmtId="43" fontId="7" fillId="8" borderId="199" xfId="1" applyFont="1" applyFill="1" applyBorder="1" applyAlignment="1">
      <alignment vertical="center"/>
    </xf>
    <xf numFmtId="0" fontId="7" fillId="8" borderId="200" xfId="4" applyFont="1" applyFill="1" applyBorder="1" applyAlignment="1">
      <alignment vertical="top"/>
    </xf>
    <xf numFmtId="3" fontId="31" fillId="8" borderId="199" xfId="4" applyNumberFormat="1" applyFont="1" applyFill="1" applyBorder="1" applyAlignment="1">
      <alignment vertical="top"/>
    </xf>
    <xf numFmtId="43" fontId="31" fillId="8" borderId="199" xfId="1" applyFont="1" applyFill="1" applyBorder="1" applyAlignment="1">
      <alignment vertical="top"/>
    </xf>
    <xf numFmtId="0" fontId="7" fillId="8" borderId="210" xfId="4" applyFont="1" applyFill="1" applyBorder="1" applyAlignment="1">
      <alignment vertical="top"/>
    </xf>
    <xf numFmtId="3" fontId="31" fillId="8" borderId="209" xfId="4" applyNumberFormat="1" applyFont="1" applyFill="1" applyBorder="1" applyAlignment="1">
      <alignment vertical="top"/>
    </xf>
    <xf numFmtId="3" fontId="25" fillId="6" borderId="200" xfId="4" applyNumberFormat="1" applyFont="1" applyFill="1" applyBorder="1" applyAlignment="1">
      <alignment vertical="center"/>
    </xf>
    <xf numFmtId="3" fontId="25" fillId="22" borderId="199" xfId="4" applyNumberFormat="1" applyFont="1" applyFill="1" applyBorder="1" applyAlignment="1">
      <alignment vertical="center"/>
    </xf>
    <xf numFmtId="3" fontId="31" fillId="0" borderId="199" xfId="4" applyNumberFormat="1" applyFont="1" applyFill="1" applyBorder="1" applyAlignment="1">
      <alignment horizontal="right" vertical="center"/>
    </xf>
    <xf numFmtId="3" fontId="7" fillId="0" borderId="199" xfId="0" applyNumberFormat="1" applyFont="1" applyFill="1" applyBorder="1" applyAlignment="1">
      <alignment vertical="top"/>
    </xf>
    <xf numFmtId="43" fontId="7" fillId="0" borderId="199" xfId="1" applyFont="1" applyFill="1" applyBorder="1" applyAlignment="1">
      <alignment vertical="top"/>
    </xf>
    <xf numFmtId="3" fontId="31" fillId="0" borderId="209" xfId="4" applyNumberFormat="1" applyFont="1" applyFill="1" applyBorder="1" applyAlignment="1"/>
    <xf numFmtId="3" fontId="31" fillId="0" borderId="209" xfId="4" applyNumberFormat="1" applyFont="1" applyFill="1" applyBorder="1" applyAlignment="1">
      <alignment horizontal="right" vertical="center"/>
    </xf>
    <xf numFmtId="3" fontId="29" fillId="0" borderId="209" xfId="4" applyNumberFormat="1" applyFont="1" applyFill="1" applyBorder="1" applyAlignment="1">
      <alignment horizontal="right" vertical="center"/>
    </xf>
    <xf numFmtId="0" fontId="31" fillId="0" borderId="36" xfId="4" applyFont="1" applyFill="1" applyBorder="1" applyAlignment="1">
      <alignment horizontal="left" vertical="center"/>
    </xf>
    <xf numFmtId="0" fontId="24" fillId="6" borderId="172" xfId="4" applyFont="1" applyFill="1" applyBorder="1" applyAlignment="1">
      <alignment horizontal="left" vertical="center"/>
    </xf>
    <xf numFmtId="43" fontId="7" fillId="0" borderId="167" xfId="1" applyFont="1" applyFill="1" applyBorder="1" applyAlignment="1">
      <alignment vertical="center"/>
    </xf>
    <xf numFmtId="0" fontId="24" fillId="6" borderId="200" xfId="4" applyFont="1" applyFill="1" applyBorder="1" applyAlignment="1">
      <alignment horizontal="left" vertical="center"/>
    </xf>
    <xf numFmtId="43" fontId="7" fillId="0" borderId="199" xfId="1" applyFont="1" applyFill="1" applyBorder="1" applyAlignment="1">
      <alignment vertical="center"/>
    </xf>
    <xf numFmtId="3" fontId="24" fillId="6" borderId="202" xfId="4" applyNumberFormat="1" applyFont="1" applyFill="1" applyBorder="1" applyAlignment="1">
      <alignment horizontal="right" vertical="center"/>
    </xf>
    <xf numFmtId="43" fontId="33" fillId="0" borderId="192" xfId="1" applyFont="1" applyFill="1" applyBorder="1" applyAlignment="1">
      <alignment vertical="center"/>
    </xf>
    <xf numFmtId="0" fontId="24" fillId="6" borderId="199" xfId="4" applyFont="1" applyFill="1" applyBorder="1" applyAlignment="1">
      <alignment horizontal="left" vertical="center"/>
    </xf>
    <xf numFmtId="3" fontId="29" fillId="2" borderId="199" xfId="4" applyNumberFormat="1" applyFont="1" applyFill="1" applyBorder="1" applyAlignment="1">
      <alignment vertical="top" wrapText="1"/>
    </xf>
    <xf numFmtId="0" fontId="7" fillId="0" borderId="199" xfId="4" applyFont="1" applyFill="1" applyBorder="1" applyAlignment="1">
      <alignment vertical="top"/>
    </xf>
    <xf numFmtId="0" fontId="29" fillId="2" borderId="199" xfId="4" applyFont="1" applyFill="1" applyBorder="1" applyAlignment="1">
      <alignment vertical="top"/>
    </xf>
    <xf numFmtId="0" fontId="32" fillId="0" borderId="209" xfId="0" applyFont="1" applyBorder="1"/>
    <xf numFmtId="0" fontId="24" fillId="8" borderId="183" xfId="4" applyFont="1" applyFill="1" applyBorder="1" applyAlignment="1">
      <alignment vertical="center" wrapText="1"/>
    </xf>
    <xf numFmtId="0" fontId="24" fillId="6" borderId="183" xfId="4" applyFont="1" applyFill="1" applyBorder="1" applyAlignment="1">
      <alignment horizontal="left" vertical="center"/>
    </xf>
    <xf numFmtId="3" fontId="29" fillId="2" borderId="183" xfId="4" applyNumberFormat="1" applyFont="1" applyFill="1" applyBorder="1" applyAlignment="1">
      <alignment vertical="top" wrapText="1"/>
    </xf>
    <xf numFmtId="0" fontId="7" fillId="0" borderId="183" xfId="4" applyFont="1" applyFill="1" applyBorder="1" applyAlignment="1">
      <alignment vertical="top"/>
    </xf>
    <xf numFmtId="0" fontId="29" fillId="2" borderId="183" xfId="4" applyFont="1" applyFill="1" applyBorder="1" applyAlignment="1">
      <alignment vertical="top"/>
    </xf>
    <xf numFmtId="3" fontId="24" fillId="6" borderId="199" xfId="4" applyNumberFormat="1" applyFont="1" applyFill="1" applyBorder="1" applyAlignment="1">
      <alignment horizontal="right" vertical="center"/>
    </xf>
    <xf numFmtId="3" fontId="29" fillId="2" borderId="199" xfId="4" applyNumberFormat="1" applyFont="1" applyFill="1" applyBorder="1" applyAlignment="1">
      <alignment vertical="center" wrapText="1"/>
    </xf>
    <xf numFmtId="0" fontId="7" fillId="0" borderId="199" xfId="4" applyFont="1" applyFill="1" applyBorder="1" applyAlignment="1">
      <alignment vertical="center"/>
    </xf>
    <xf numFmtId="0" fontId="7" fillId="0" borderId="209" xfId="4" applyFont="1" applyFill="1" applyBorder="1" applyAlignment="1">
      <alignment vertical="center"/>
    </xf>
    <xf numFmtId="0" fontId="7" fillId="0" borderId="192" xfId="4" applyFont="1" applyFill="1" applyBorder="1" applyAlignment="1">
      <alignment vertical="center"/>
    </xf>
    <xf numFmtId="0" fontId="32" fillId="0" borderId="35" xfId="0" applyFont="1" applyFill="1" applyBorder="1" applyAlignment="1">
      <alignment horizontal="center" vertical="center" wrapText="1"/>
    </xf>
    <xf numFmtId="0" fontId="7" fillId="6" borderId="200" xfId="0" applyFont="1" applyFill="1" applyBorder="1" applyAlignment="1">
      <alignment vertical="top"/>
    </xf>
    <xf numFmtId="3" fontId="25" fillId="6" borderId="199" xfId="0" applyNumberFormat="1" applyFont="1" applyFill="1" applyBorder="1" applyAlignment="1"/>
    <xf numFmtId="43" fontId="25" fillId="6" borderId="202" xfId="1" applyFont="1" applyFill="1" applyBorder="1" applyAlignment="1"/>
    <xf numFmtId="3" fontId="25" fillId="22" borderId="194" xfId="0" applyNumberFormat="1" applyFont="1" applyFill="1" applyBorder="1" applyAlignment="1"/>
    <xf numFmtId="43" fontId="27" fillId="2" borderId="202" xfId="1" applyFont="1" applyFill="1" applyBorder="1" applyAlignment="1">
      <alignment vertical="center"/>
    </xf>
    <xf numFmtId="3" fontId="27" fillId="23" borderId="194" xfId="0" applyNumberFormat="1" applyFont="1" applyFill="1" applyBorder="1" applyAlignment="1"/>
    <xf numFmtId="43" fontId="31" fillId="0" borderId="202" xfId="1" applyFont="1" applyFill="1" applyBorder="1" applyAlignment="1">
      <alignment vertical="center"/>
    </xf>
    <xf numFmtId="3" fontId="31" fillId="25" borderId="194" xfId="0" applyNumberFormat="1" applyFont="1" applyFill="1" applyBorder="1" applyAlignment="1">
      <alignment vertical="top"/>
    </xf>
    <xf numFmtId="3" fontId="31" fillId="0" borderId="12" xfId="0" applyNumberFormat="1" applyFont="1" applyFill="1" applyBorder="1" applyAlignment="1">
      <alignment vertical="center"/>
    </xf>
    <xf numFmtId="43" fontId="31" fillId="0" borderId="130" xfId="1" applyFont="1" applyFill="1" applyBorder="1" applyAlignment="1">
      <alignment vertical="center"/>
    </xf>
    <xf numFmtId="3" fontId="31" fillId="25" borderId="129" xfId="0" applyNumberFormat="1" applyFont="1" applyFill="1" applyBorder="1" applyAlignment="1">
      <alignment vertical="top"/>
    </xf>
    <xf numFmtId="0" fontId="24" fillId="8" borderId="5" xfId="0" applyFont="1" applyFill="1" applyBorder="1" applyAlignment="1">
      <alignment vertical="top" wrapText="1"/>
    </xf>
    <xf numFmtId="3" fontId="25" fillId="8" borderId="17" xfId="0" applyNumberFormat="1" applyFont="1" applyFill="1" applyBorder="1" applyAlignment="1">
      <alignment vertical="top"/>
    </xf>
    <xf numFmtId="3" fontId="31" fillId="23" borderId="45" xfId="0" applyNumberFormat="1" applyFont="1" applyFill="1" applyBorder="1" applyAlignment="1"/>
    <xf numFmtId="3" fontId="25" fillId="6" borderId="178" xfId="0" applyNumberFormat="1" applyFont="1" applyFill="1" applyBorder="1" applyAlignment="1"/>
    <xf numFmtId="3" fontId="25" fillId="22" borderId="173" xfId="0" applyNumberFormat="1" applyFont="1" applyFill="1" applyBorder="1" applyAlignment="1"/>
    <xf numFmtId="0" fontId="31" fillId="6" borderId="28" xfId="0" applyFont="1" applyFill="1" applyBorder="1" applyAlignment="1">
      <alignment vertical="top"/>
    </xf>
    <xf numFmtId="3" fontId="25" fillId="22" borderId="92" xfId="0" applyNumberFormat="1" applyFont="1" applyFill="1" applyBorder="1" applyAlignment="1">
      <alignment vertical="top"/>
    </xf>
    <xf numFmtId="3" fontId="18" fillId="2" borderId="0" xfId="0" applyNumberFormat="1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3" fontId="28" fillId="2" borderId="9" xfId="0" applyNumberFormat="1" applyFont="1" applyFill="1" applyBorder="1" applyAlignment="1">
      <alignment vertical="top"/>
    </xf>
    <xf numFmtId="3" fontId="18" fillId="56" borderId="0" xfId="0" applyNumberFormat="1" applyFont="1" applyFill="1" applyBorder="1" applyAlignment="1">
      <alignment vertical="top"/>
    </xf>
    <xf numFmtId="3" fontId="31" fillId="0" borderId="133" xfId="0" applyNumberFormat="1" applyFont="1" applyFill="1" applyBorder="1" applyAlignment="1">
      <alignment horizontal="right" vertical="center"/>
    </xf>
    <xf numFmtId="0" fontId="28" fillId="0" borderId="141" xfId="0" applyFont="1" applyFill="1" applyBorder="1" applyAlignment="1">
      <alignment vertical="top"/>
    </xf>
    <xf numFmtId="3" fontId="31" fillId="0" borderId="169" xfId="0" applyNumberFormat="1" applyFont="1" applyFill="1" applyBorder="1" applyAlignment="1">
      <alignment horizontal="right" vertical="center"/>
    </xf>
    <xf numFmtId="3" fontId="31" fillId="25" borderId="177" xfId="0" applyNumberFormat="1" applyFont="1" applyFill="1" applyBorder="1" applyAlignment="1">
      <alignment vertical="top"/>
    </xf>
    <xf numFmtId="0" fontId="28" fillId="0" borderId="21" xfId="0" applyFont="1" applyFill="1" applyBorder="1" applyAlignment="1">
      <alignment vertical="top"/>
    </xf>
    <xf numFmtId="3" fontId="28" fillId="0" borderId="9" xfId="0" applyNumberFormat="1" applyFont="1" applyFill="1" applyBorder="1" applyAlignment="1">
      <alignment horizontal="right" vertical="center"/>
    </xf>
    <xf numFmtId="3" fontId="28" fillId="25" borderId="35" xfId="0" applyNumberFormat="1" applyFont="1" applyFill="1" applyBorder="1" applyAlignment="1">
      <alignment vertical="top"/>
    </xf>
    <xf numFmtId="3" fontId="28" fillId="0" borderId="168" xfId="0" applyNumberFormat="1" applyFont="1" applyFill="1" applyBorder="1" applyAlignment="1">
      <alignment horizontal="right" vertical="center"/>
    </xf>
    <xf numFmtId="3" fontId="28" fillId="25" borderId="133" xfId="0" applyNumberFormat="1" applyFont="1" applyFill="1" applyBorder="1" applyAlignment="1">
      <alignment vertical="top"/>
    </xf>
    <xf numFmtId="3" fontId="25" fillId="6" borderId="190" xfId="0" applyNumberFormat="1" applyFont="1" applyFill="1" applyBorder="1" applyAlignment="1">
      <alignment vertical="top"/>
    </xf>
    <xf numFmtId="43" fontId="25" fillId="6" borderId="190" xfId="1" applyFont="1" applyFill="1" applyBorder="1" applyAlignment="1">
      <alignment vertical="top"/>
    </xf>
    <xf numFmtId="3" fontId="25" fillId="22" borderId="190" xfId="0" applyNumberFormat="1" applyFont="1" applyFill="1" applyBorder="1" applyAlignment="1">
      <alignment vertical="top"/>
    </xf>
    <xf numFmtId="43" fontId="31" fillId="2" borderId="9" xfId="1" applyFont="1" applyFill="1" applyBorder="1" applyAlignment="1">
      <alignment vertical="top"/>
    </xf>
    <xf numFmtId="0" fontId="31" fillId="0" borderId="21" xfId="0" applyFont="1" applyFill="1" applyBorder="1" applyAlignment="1">
      <alignment vertical="center"/>
    </xf>
    <xf numFmtId="3" fontId="28" fillId="2" borderId="198" xfId="0" applyNumberFormat="1" applyFont="1" applyFill="1" applyBorder="1" applyAlignment="1">
      <alignment vertical="center"/>
    </xf>
    <xf numFmtId="3" fontId="31" fillId="0" borderId="9" xfId="0" applyNumberFormat="1" applyFont="1" applyFill="1" applyBorder="1" applyAlignment="1">
      <alignment vertical="center"/>
    </xf>
    <xf numFmtId="43" fontId="31" fillId="0" borderId="9" xfId="1" applyFont="1" applyFill="1" applyBorder="1" applyAlignment="1">
      <alignment vertical="center"/>
    </xf>
    <xf numFmtId="3" fontId="31" fillId="25" borderId="133" xfId="0" applyNumberFormat="1" applyFont="1" applyFill="1" applyBorder="1" applyAlignment="1">
      <alignment vertical="center"/>
    </xf>
    <xf numFmtId="0" fontId="31" fillId="0" borderId="11" xfId="4" applyFont="1" applyFill="1" applyBorder="1" applyAlignment="1">
      <alignment vertical="center"/>
    </xf>
    <xf numFmtId="3" fontId="31" fillId="0" borderId="35" xfId="0" applyNumberFormat="1" applyFont="1" applyFill="1" applyBorder="1" applyAlignment="1">
      <alignment horizontal="right" vertical="center"/>
    </xf>
    <xf numFmtId="43" fontId="31" fillId="0" borderId="35" xfId="1" applyFont="1" applyFill="1" applyBorder="1" applyAlignment="1">
      <alignment horizontal="right" vertical="center"/>
    </xf>
    <xf numFmtId="0" fontId="31" fillId="0" borderId="21" xfId="0" applyFont="1" applyFill="1" applyBorder="1" applyAlignment="1">
      <alignment horizontal="left" vertical="center" wrapText="1"/>
    </xf>
    <xf numFmtId="3" fontId="31" fillId="0" borderId="9" xfId="0" applyNumberFormat="1" applyFont="1" applyFill="1" applyBorder="1" applyAlignment="1">
      <alignment horizontal="right" vertical="center"/>
    </xf>
    <xf numFmtId="3" fontId="31" fillId="0" borderId="199" xfId="0" applyNumberFormat="1" applyFont="1" applyFill="1" applyBorder="1" applyAlignment="1">
      <alignment horizontal="right" vertical="center"/>
    </xf>
    <xf numFmtId="3" fontId="28" fillId="56" borderId="9" xfId="0" applyNumberFormat="1" applyFont="1" applyFill="1" applyBorder="1" applyAlignment="1">
      <alignment vertical="center"/>
    </xf>
    <xf numFmtId="0" fontId="39" fillId="59" borderId="201" xfId="0" applyFont="1" applyFill="1" applyBorder="1"/>
    <xf numFmtId="0" fontId="24" fillId="8" borderId="1" xfId="0" applyFont="1" applyFill="1" applyBorder="1" applyAlignment="1">
      <alignment horizontal="center" vertical="center" wrapText="1"/>
    </xf>
    <xf numFmtId="0" fontId="7" fillId="23" borderId="70" xfId="0" applyFont="1" applyFill="1" applyBorder="1" applyAlignment="1">
      <alignment vertical="top"/>
    </xf>
    <xf numFmtId="0" fontId="66" fillId="6" borderId="174" xfId="4" applyFont="1" applyFill="1" applyBorder="1" applyAlignment="1">
      <alignment horizontal="left" vertical="center"/>
    </xf>
    <xf numFmtId="3" fontId="24" fillId="6" borderId="183" xfId="0" applyNumberFormat="1" applyFont="1" applyFill="1" applyBorder="1" applyAlignment="1">
      <alignment vertical="center"/>
    </xf>
    <xf numFmtId="3" fontId="24" fillId="6" borderId="167" xfId="0" applyNumberFormat="1" applyFont="1" applyFill="1" applyBorder="1" applyAlignment="1">
      <alignment vertical="center"/>
    </xf>
    <xf numFmtId="3" fontId="24" fillId="22" borderId="35" xfId="0" applyNumberFormat="1" applyFont="1" applyFill="1" applyBorder="1" applyAlignment="1">
      <alignment vertical="center"/>
    </xf>
    <xf numFmtId="3" fontId="29" fillId="0" borderId="183" xfId="0" applyNumberFormat="1" applyFont="1" applyFill="1" applyBorder="1" applyAlignment="1">
      <alignment vertical="center"/>
    </xf>
    <xf numFmtId="3" fontId="29" fillId="0" borderId="167" xfId="0" applyNumberFormat="1" applyFont="1" applyFill="1" applyBorder="1" applyAlignment="1">
      <alignment vertical="center"/>
    </xf>
    <xf numFmtId="3" fontId="29" fillId="25" borderId="167" xfId="0" applyNumberFormat="1" applyFont="1" applyFill="1" applyBorder="1" applyAlignment="1">
      <alignment vertical="top"/>
    </xf>
    <xf numFmtId="0" fontId="8" fillId="0" borderId="131" xfId="0" applyFont="1" applyFill="1" applyBorder="1" applyAlignment="1">
      <alignment vertical="center" wrapText="1"/>
    </xf>
    <xf numFmtId="3" fontId="31" fillId="0" borderId="177" xfId="4" applyNumberFormat="1" applyFont="1" applyFill="1" applyBorder="1" applyAlignment="1">
      <alignment vertical="center"/>
    </xf>
    <xf numFmtId="3" fontId="7" fillId="0" borderId="168" xfId="4" applyNumberFormat="1" applyFont="1" applyFill="1" applyBorder="1" applyAlignment="1">
      <alignment vertical="center"/>
    </xf>
    <xf numFmtId="0" fontId="29" fillId="2" borderId="131" xfId="4" applyFont="1" applyFill="1" applyBorder="1" applyAlignment="1">
      <alignment vertical="top"/>
    </xf>
    <xf numFmtId="3" fontId="29" fillId="0" borderId="183" xfId="0" applyNumberFormat="1" applyFont="1" applyFill="1" applyBorder="1" applyAlignment="1">
      <alignment horizontal="right" vertical="center"/>
    </xf>
    <xf numFmtId="3" fontId="29" fillId="0" borderId="167" xfId="0" applyNumberFormat="1" applyFont="1" applyFill="1" applyBorder="1" applyAlignment="1">
      <alignment horizontal="right" vertical="center"/>
    </xf>
    <xf numFmtId="3" fontId="38" fillId="0" borderId="183" xfId="0" applyNumberFormat="1" applyFont="1" applyFill="1" applyBorder="1" applyAlignment="1">
      <alignment vertical="center"/>
    </xf>
    <xf numFmtId="3" fontId="38" fillId="0" borderId="177" xfId="0" applyNumberFormat="1" applyFont="1" applyFill="1" applyBorder="1" applyAlignment="1">
      <alignment vertical="center"/>
    </xf>
    <xf numFmtId="3" fontId="7" fillId="0" borderId="167" xfId="0" applyNumberFormat="1" applyFont="1" applyFill="1" applyBorder="1" applyAlignment="1">
      <alignment vertical="center"/>
    </xf>
    <xf numFmtId="0" fontId="24" fillId="8" borderId="32" xfId="0" applyFont="1" applyFill="1" applyBorder="1" applyAlignment="1">
      <alignment vertical="center" wrapText="1"/>
    </xf>
    <xf numFmtId="0" fontId="24" fillId="8" borderId="114" xfId="0" applyFont="1" applyFill="1" applyBorder="1" applyAlignment="1">
      <alignment horizontal="center" vertical="center" wrapText="1"/>
    </xf>
    <xf numFmtId="3" fontId="7" fillId="8" borderId="111" xfId="0" applyNumberFormat="1" applyFont="1" applyFill="1" applyBorder="1" applyAlignment="1">
      <alignment vertical="top"/>
    </xf>
    <xf numFmtId="3" fontId="7" fillId="8" borderId="108" xfId="0" applyNumberFormat="1" applyFont="1" applyFill="1" applyBorder="1" applyAlignment="1">
      <alignment vertical="top"/>
    </xf>
    <xf numFmtId="0" fontId="7" fillId="8" borderId="108" xfId="0" applyFont="1" applyFill="1" applyBorder="1" applyAlignment="1">
      <alignment vertical="top"/>
    </xf>
    <xf numFmtId="0" fontId="7" fillId="8" borderId="103" xfId="0" applyFont="1" applyFill="1" applyBorder="1" applyAlignment="1">
      <alignment vertical="top"/>
    </xf>
    <xf numFmtId="3" fontId="24" fillId="22" borderId="102" xfId="0" applyNumberFormat="1" applyFont="1" applyFill="1" applyBorder="1" applyAlignment="1">
      <alignment horizontal="center" vertical="center"/>
    </xf>
    <xf numFmtId="0" fontId="66" fillId="6" borderId="104" xfId="4" applyFont="1" applyFill="1" applyBorder="1" applyAlignment="1">
      <alignment horizontal="left" vertical="center"/>
    </xf>
    <xf numFmtId="3" fontId="24" fillId="6" borderId="9" xfId="0" applyNumberFormat="1" applyFont="1" applyFill="1" applyBorder="1" applyAlignment="1">
      <alignment vertical="center"/>
    </xf>
    <xf numFmtId="3" fontId="29" fillId="0" borderId="102" xfId="0" applyNumberFormat="1" applyFont="1" applyFill="1" applyBorder="1" applyAlignment="1">
      <alignment vertical="center"/>
    </xf>
    <xf numFmtId="3" fontId="29" fillId="0" borderId="102" xfId="0" applyNumberFormat="1" applyFont="1" applyFill="1" applyBorder="1" applyAlignment="1">
      <alignment vertical="top"/>
    </xf>
    <xf numFmtId="3" fontId="24" fillId="22" borderId="102" xfId="0" applyNumberFormat="1" applyFont="1" applyFill="1" applyBorder="1" applyAlignment="1">
      <alignment horizontal="right" vertical="center"/>
    </xf>
    <xf numFmtId="3" fontId="7" fillId="0" borderId="102" xfId="0" applyNumberFormat="1" applyFont="1" applyFill="1" applyBorder="1" applyAlignment="1">
      <alignment vertical="center"/>
    </xf>
    <xf numFmtId="3" fontId="7" fillId="0" borderId="102" xfId="0" applyNumberFormat="1" applyFont="1" applyFill="1" applyBorder="1" applyAlignment="1">
      <alignment vertical="top"/>
    </xf>
    <xf numFmtId="3" fontId="7" fillId="22" borderId="102" xfId="0" applyNumberFormat="1" applyFont="1" applyFill="1" applyBorder="1" applyAlignment="1">
      <alignment horizontal="right" vertical="center"/>
    </xf>
    <xf numFmtId="3" fontId="38" fillId="0" borderId="102" xfId="0" applyNumberFormat="1" applyFont="1" applyFill="1" applyBorder="1" applyAlignment="1">
      <alignment vertical="center"/>
    </xf>
    <xf numFmtId="3" fontId="38" fillId="0" borderId="102" xfId="0" applyNumberFormat="1" applyFont="1" applyFill="1" applyBorder="1" applyAlignment="1">
      <alignment vertical="top"/>
    </xf>
    <xf numFmtId="0" fontId="17" fillId="0" borderId="26" xfId="0" applyFont="1" applyFill="1" applyBorder="1" applyAlignment="1">
      <alignment horizontal="center" vertical="center"/>
    </xf>
    <xf numFmtId="0" fontId="7" fillId="0" borderId="105" xfId="0" applyFont="1" applyFill="1" applyBorder="1" applyAlignment="1">
      <alignment horizontal="center" vertical="center" wrapText="1"/>
    </xf>
    <xf numFmtId="3" fontId="31" fillId="8" borderId="111" xfId="0" applyNumberFormat="1" applyFont="1" applyFill="1" applyBorder="1" applyAlignment="1">
      <alignment vertical="top"/>
    </xf>
    <xf numFmtId="3" fontId="31" fillId="8" borderId="108" xfId="0" applyNumberFormat="1" applyFont="1" applyFill="1" applyBorder="1" applyAlignment="1">
      <alignment vertical="top"/>
    </xf>
    <xf numFmtId="0" fontId="31" fillId="8" borderId="108" xfId="0" applyFont="1" applyFill="1" applyBorder="1" applyAlignment="1">
      <alignment vertical="top"/>
    </xf>
    <xf numFmtId="0" fontId="31" fillId="8" borderId="103" xfId="0" applyFont="1" applyFill="1" applyBorder="1" applyAlignment="1">
      <alignment vertical="top"/>
    </xf>
    <xf numFmtId="3" fontId="25" fillId="22" borderId="102" xfId="0" applyNumberFormat="1" applyFont="1" applyFill="1" applyBorder="1" applyAlignment="1">
      <alignment horizontal="center" vertical="center"/>
    </xf>
    <xf numFmtId="0" fontId="62" fillId="6" borderId="104" xfId="4" applyFont="1" applyFill="1" applyBorder="1" applyAlignment="1">
      <alignment horizontal="left" vertical="center"/>
    </xf>
    <xf numFmtId="3" fontId="25" fillId="22" borderId="35" xfId="0" applyNumberFormat="1" applyFont="1" applyFill="1" applyBorder="1" applyAlignment="1">
      <alignment horizontal="right" vertical="center"/>
    </xf>
    <xf numFmtId="3" fontId="27" fillId="2" borderId="21" xfId="4" applyNumberFormat="1" applyFont="1" applyFill="1" applyBorder="1" applyAlignment="1">
      <alignment vertical="center" wrapText="1"/>
    </xf>
    <xf numFmtId="3" fontId="25" fillId="22" borderId="102" xfId="0" applyNumberFormat="1" applyFont="1" applyFill="1" applyBorder="1" applyAlignment="1">
      <alignment horizontal="right" vertical="center"/>
    </xf>
    <xf numFmtId="0" fontId="8" fillId="0" borderId="21" xfId="0" applyFont="1" applyBorder="1" applyAlignment="1">
      <alignment vertical="center" wrapText="1"/>
    </xf>
    <xf numFmtId="3" fontId="28" fillId="0" borderId="102" xfId="0" applyNumberFormat="1" applyFont="1" applyFill="1" applyBorder="1" applyAlignment="1">
      <alignment vertical="top"/>
    </xf>
    <xf numFmtId="3" fontId="28" fillId="22" borderId="102" xfId="0" applyNumberFormat="1" applyFont="1" applyFill="1" applyBorder="1" applyAlignment="1">
      <alignment horizontal="right" vertical="center"/>
    </xf>
    <xf numFmtId="3" fontId="31" fillId="22" borderId="102" xfId="0" applyNumberFormat="1" applyFont="1" applyFill="1" applyBorder="1" applyAlignment="1">
      <alignment horizontal="right" vertical="center"/>
    </xf>
    <xf numFmtId="0" fontId="7" fillId="0" borderId="32" xfId="0" applyFont="1" applyBorder="1" applyAlignment="1">
      <alignment vertical="center" wrapText="1"/>
    </xf>
    <xf numFmtId="3" fontId="31" fillId="0" borderId="47" xfId="0" applyNumberFormat="1" applyFont="1" applyFill="1" applyBorder="1" applyAlignment="1">
      <alignment vertical="center"/>
    </xf>
    <xf numFmtId="3" fontId="31" fillId="0" borderId="72" xfId="0" applyNumberFormat="1" applyFont="1" applyFill="1" applyBorder="1" applyAlignment="1">
      <alignment vertical="top"/>
    </xf>
    <xf numFmtId="0" fontId="17" fillId="0" borderId="68" xfId="0" applyFont="1" applyFill="1" applyBorder="1" applyAlignment="1">
      <alignment horizontal="center" vertical="center"/>
    </xf>
    <xf numFmtId="0" fontId="7" fillId="0" borderId="2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28" fillId="0" borderId="12" xfId="0" applyNumberFormat="1" applyFont="1" applyFill="1" applyBorder="1" applyAlignment="1">
      <alignment vertical="center"/>
    </xf>
    <xf numFmtId="3" fontId="28" fillId="0" borderId="23" xfId="0" applyNumberFormat="1" applyFont="1" applyFill="1" applyBorder="1" applyAlignment="1">
      <alignment vertical="top"/>
    </xf>
    <xf numFmtId="3" fontId="28" fillId="0" borderId="74" xfId="0" applyNumberFormat="1" applyFont="1" applyFill="1" applyBorder="1" applyAlignment="1">
      <alignment vertical="center"/>
    </xf>
    <xf numFmtId="3" fontId="25" fillId="22" borderId="12" xfId="0" applyNumberFormat="1" applyFont="1" applyFill="1" applyBorder="1" applyAlignment="1">
      <alignment vertical="center"/>
    </xf>
    <xf numFmtId="0" fontId="25" fillId="8" borderId="20" xfId="0" applyFont="1" applyFill="1" applyBorder="1" applyAlignment="1">
      <alignment horizontal="center" vertical="center" wrapText="1"/>
    </xf>
    <xf numFmtId="0" fontId="62" fillId="6" borderId="28" xfId="4" applyFont="1" applyFill="1" applyBorder="1" applyAlignment="1">
      <alignment horizontal="left" vertical="center"/>
    </xf>
    <xf numFmtId="3" fontId="60" fillId="22" borderId="90" xfId="0" applyNumberFormat="1" applyFont="1" applyFill="1" applyBorder="1" applyAlignment="1">
      <alignment horizontal="right" vertical="center"/>
    </xf>
    <xf numFmtId="3" fontId="27" fillId="22" borderId="90" xfId="0" applyNumberFormat="1" applyFont="1" applyFill="1" applyBorder="1" applyAlignment="1">
      <alignment horizontal="right" vertical="center"/>
    </xf>
    <xf numFmtId="3" fontId="28" fillId="0" borderId="90" xfId="0" applyNumberFormat="1" applyFont="1" applyFill="1" applyBorder="1" applyAlignment="1">
      <alignment vertical="top"/>
    </xf>
    <xf numFmtId="0" fontId="7" fillId="0" borderId="97" xfId="0" applyFont="1" applyFill="1" applyBorder="1" applyAlignment="1">
      <alignment vertical="center" wrapText="1"/>
    </xf>
    <xf numFmtId="3" fontId="28" fillId="0" borderId="95" xfId="0" applyNumberFormat="1" applyFont="1" applyFill="1" applyBorder="1" applyAlignment="1">
      <alignment vertical="top"/>
    </xf>
    <xf numFmtId="3" fontId="28" fillId="0" borderId="95" xfId="0" applyNumberFormat="1" applyFont="1" applyFill="1" applyBorder="1" applyAlignment="1">
      <alignment vertical="center"/>
    </xf>
    <xf numFmtId="3" fontId="38" fillId="0" borderId="90" xfId="0" applyNumberFormat="1" applyFont="1" applyFill="1" applyBorder="1" applyAlignment="1">
      <alignment vertical="center"/>
    </xf>
    <xf numFmtId="3" fontId="38" fillId="0" borderId="90" xfId="0" applyNumberFormat="1" applyFont="1" applyFill="1" applyBorder="1" applyAlignment="1">
      <alignment vertical="top"/>
    </xf>
    <xf numFmtId="0" fontId="17" fillId="2" borderId="43" xfId="0" applyFont="1" applyFill="1" applyBorder="1" applyAlignment="1">
      <alignment horizontal="center" vertical="center" wrapText="1"/>
    </xf>
    <xf numFmtId="3" fontId="38" fillId="0" borderId="47" xfId="0" applyNumberFormat="1" applyFont="1" applyFill="1" applyBorder="1" applyAlignment="1">
      <alignment vertical="center"/>
    </xf>
    <xf numFmtId="3" fontId="38" fillId="0" borderId="47" xfId="0" applyNumberFormat="1" applyFont="1" applyFill="1" applyBorder="1" applyAlignment="1">
      <alignment vertical="top"/>
    </xf>
    <xf numFmtId="0" fontId="27" fillId="55" borderId="142" xfId="4" applyFont="1" applyFill="1" applyBorder="1" applyAlignment="1">
      <alignment horizontal="left" vertical="center"/>
    </xf>
    <xf numFmtId="0" fontId="27" fillId="55" borderId="133" xfId="4" applyFont="1" applyFill="1" applyBorder="1" applyAlignment="1">
      <alignment horizontal="left" vertical="center"/>
    </xf>
    <xf numFmtId="3" fontId="27" fillId="55" borderId="135" xfId="4" applyNumberFormat="1" applyFont="1" applyFill="1" applyBorder="1" applyAlignment="1">
      <alignment horizontal="right" vertical="center"/>
    </xf>
    <xf numFmtId="0" fontId="27" fillId="55" borderId="10" xfId="4" applyFont="1" applyFill="1" applyBorder="1" applyAlignment="1">
      <alignment horizontal="left" vertical="center"/>
    </xf>
    <xf numFmtId="0" fontId="27" fillId="55" borderId="13" xfId="4" applyFont="1" applyFill="1" applyBorder="1" applyAlignment="1">
      <alignment horizontal="left" vertical="center"/>
    </xf>
    <xf numFmtId="0" fontId="27" fillId="55" borderId="74" xfId="0" applyFont="1" applyFill="1" applyBorder="1" applyAlignment="1">
      <alignment horizontal="left" vertical="top"/>
    </xf>
    <xf numFmtId="0" fontId="28" fillId="55" borderId="12" xfId="0" quotePrefix="1" applyFont="1" applyFill="1" applyBorder="1" applyAlignment="1">
      <alignment horizontal="center" vertical="top"/>
    </xf>
    <xf numFmtId="0" fontId="27" fillId="8" borderId="133" xfId="4" applyFont="1" applyFill="1" applyBorder="1" applyAlignment="1">
      <alignment vertical="center"/>
    </xf>
    <xf numFmtId="3" fontId="27" fillId="8" borderId="133" xfId="0" applyNumberFormat="1" applyFont="1" applyFill="1" applyBorder="1" applyAlignment="1">
      <alignment vertical="top"/>
    </xf>
    <xf numFmtId="0" fontId="31" fillId="8" borderId="133" xfId="0" applyFont="1" applyFill="1" applyBorder="1" applyAlignment="1">
      <alignment vertical="top"/>
    </xf>
    <xf numFmtId="3" fontId="31" fillId="8" borderId="133" xfId="0" applyNumberFormat="1" applyFont="1" applyFill="1" applyBorder="1" applyAlignment="1">
      <alignment vertical="top"/>
    </xf>
    <xf numFmtId="0" fontId="31" fillId="8" borderId="199" xfId="0" applyFont="1" applyFill="1" applyBorder="1" applyAlignment="1">
      <alignment vertical="top"/>
    </xf>
    <xf numFmtId="3" fontId="31" fillId="8" borderId="199" xfId="0" applyNumberFormat="1" applyFont="1" applyFill="1" applyBorder="1" applyAlignment="1">
      <alignment vertical="top"/>
    </xf>
    <xf numFmtId="0" fontId="31" fillId="8" borderId="133" xfId="4" applyFont="1" applyFill="1" applyBorder="1" applyAlignment="1">
      <alignment vertical="center"/>
    </xf>
    <xf numFmtId="0" fontId="31" fillId="8" borderId="35" xfId="4" applyFont="1" applyFill="1" applyBorder="1" applyAlignment="1">
      <alignment vertical="center"/>
    </xf>
    <xf numFmtId="0" fontId="27" fillId="8" borderId="35" xfId="4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top"/>
    </xf>
    <xf numFmtId="0" fontId="31" fillId="8" borderId="127" xfId="4" applyFont="1" applyFill="1" applyBorder="1" applyAlignment="1">
      <alignment vertical="center"/>
    </xf>
    <xf numFmtId="0" fontId="31" fillId="0" borderId="133" xfId="4" applyFont="1" applyFill="1" applyBorder="1" applyAlignment="1">
      <alignment vertical="center"/>
    </xf>
    <xf numFmtId="3" fontId="60" fillId="0" borderId="133" xfId="0" applyNumberFormat="1" applyFont="1" applyBorder="1"/>
    <xf numFmtId="3" fontId="0" fillId="0" borderId="127" xfId="0" applyNumberFormat="1" applyFont="1" applyBorder="1"/>
    <xf numFmtId="3" fontId="31" fillId="2" borderId="35" xfId="0" applyNumberFormat="1" applyFont="1" applyFill="1" applyBorder="1" applyAlignment="1">
      <alignment vertical="center"/>
    </xf>
    <xf numFmtId="3" fontId="27" fillId="0" borderId="133" xfId="4" applyNumberFormat="1" applyFont="1" applyFill="1" applyBorder="1" applyAlignment="1">
      <alignment vertical="top" wrapText="1"/>
    </xf>
    <xf numFmtId="0" fontId="33" fillId="0" borderId="133" xfId="0" applyFont="1" applyBorder="1" applyAlignment="1">
      <alignment vertical="center"/>
    </xf>
    <xf numFmtId="3" fontId="27" fillId="0" borderId="133" xfId="0" applyNumberFormat="1" applyFont="1" applyFill="1" applyBorder="1" applyAlignment="1">
      <alignment vertical="center"/>
    </xf>
    <xf numFmtId="0" fontId="31" fillId="6" borderId="133" xfId="0" applyFont="1" applyFill="1" applyBorder="1" applyAlignment="1">
      <alignment vertical="center"/>
    </xf>
    <xf numFmtId="3" fontId="27" fillId="2" borderId="133" xfId="0" applyNumberFormat="1" applyFont="1" applyFill="1" applyBorder="1" applyAlignment="1">
      <alignment vertical="center"/>
    </xf>
    <xf numFmtId="0" fontId="24" fillId="8" borderId="19" xfId="4" applyFont="1" applyFill="1" applyBorder="1" applyAlignment="1">
      <alignment horizontal="left" vertical="center" wrapText="1"/>
    </xf>
    <xf numFmtId="0" fontId="7" fillId="0" borderId="131" xfId="4" applyFont="1" applyFill="1" applyBorder="1" applyAlignment="1"/>
    <xf numFmtId="3" fontId="31" fillId="0" borderId="207" xfId="4" applyNumberFormat="1" applyFont="1" applyFill="1" applyBorder="1" applyAlignment="1"/>
    <xf numFmtId="3" fontId="31" fillId="0" borderId="193" xfId="4" applyNumberFormat="1" applyFont="1" applyFill="1" applyBorder="1" applyAlignment="1">
      <alignment horizontal="right" vertical="center"/>
    </xf>
    <xf numFmtId="0" fontId="29" fillId="0" borderId="131" xfId="4" applyFont="1" applyFill="1" applyBorder="1" applyAlignment="1">
      <alignment vertical="center"/>
    </xf>
    <xf numFmtId="3" fontId="31" fillId="25" borderId="199" xfId="4" applyNumberFormat="1" applyFont="1" applyFill="1" applyBorder="1" applyAlignment="1">
      <alignment vertical="center"/>
    </xf>
    <xf numFmtId="3" fontId="31" fillId="0" borderId="199" xfId="4" applyNumberFormat="1" applyFont="1" applyFill="1" applyBorder="1" applyAlignment="1">
      <alignment vertical="top"/>
    </xf>
    <xf numFmtId="3" fontId="7" fillId="8" borderId="202" xfId="4" applyNumberFormat="1" applyFont="1" applyFill="1" applyBorder="1" applyAlignment="1">
      <alignment vertical="center" wrapText="1"/>
    </xf>
    <xf numFmtId="3" fontId="7" fillId="8" borderId="200" xfId="0" applyNumberFormat="1" applyFont="1" applyFill="1" applyBorder="1" applyAlignment="1">
      <alignment vertical="center"/>
    </xf>
    <xf numFmtId="3" fontId="7" fillId="8" borderId="199" xfId="0" applyNumberFormat="1" applyFont="1" applyFill="1" applyBorder="1" applyAlignment="1">
      <alignment vertical="center"/>
    </xf>
    <xf numFmtId="3" fontId="7" fillId="23" borderId="199" xfId="4" applyNumberFormat="1" applyFont="1" applyFill="1" applyBorder="1" applyAlignment="1">
      <alignment vertical="center"/>
    </xf>
    <xf numFmtId="3" fontId="32" fillId="8" borderId="200" xfId="6" applyNumberFormat="1" applyFont="1" applyFill="1" applyBorder="1" applyAlignment="1">
      <alignment vertical="center"/>
    </xf>
    <xf numFmtId="3" fontId="32" fillId="8" borderId="198" xfId="6" applyNumberFormat="1" applyFont="1" applyFill="1" applyBorder="1" applyAlignment="1">
      <alignment vertical="center"/>
    </xf>
    <xf numFmtId="0" fontId="20" fillId="6" borderId="200" xfId="4" applyFont="1" applyFill="1" applyBorder="1" applyAlignment="1">
      <alignment horizontal="left" vertical="center"/>
    </xf>
    <xf numFmtId="3" fontId="27" fillId="0" borderId="195" xfId="4" applyNumberFormat="1" applyFont="1" applyFill="1" applyBorder="1" applyAlignment="1">
      <alignment horizontal="right" vertical="center"/>
    </xf>
    <xf numFmtId="3" fontId="29" fillId="0" borderId="188" xfId="4" applyNumberFormat="1" applyFont="1" applyFill="1" applyBorder="1" applyAlignment="1">
      <alignment horizontal="right" vertical="center"/>
    </xf>
    <xf numFmtId="3" fontId="31" fillId="0" borderId="94" xfId="4" applyNumberFormat="1" applyFont="1" applyFill="1" applyBorder="1" applyAlignment="1">
      <alignment horizontal="right" vertical="center"/>
    </xf>
    <xf numFmtId="3" fontId="24" fillId="32" borderId="198" xfId="4" applyNumberFormat="1" applyFont="1" applyFill="1" applyBorder="1" applyAlignment="1">
      <alignment vertical="center"/>
    </xf>
    <xf numFmtId="3" fontId="31" fillId="2" borderId="206" xfId="4" applyNumberFormat="1" applyFont="1" applyFill="1" applyBorder="1" applyAlignment="1">
      <alignment vertical="center" wrapText="1"/>
    </xf>
    <xf numFmtId="3" fontId="31" fillId="32" borderId="198" xfId="4" applyNumberFormat="1" applyFont="1" applyFill="1" applyBorder="1" applyAlignment="1">
      <alignment vertical="center"/>
    </xf>
    <xf numFmtId="3" fontId="28" fillId="0" borderId="94" xfId="4" applyNumberFormat="1" applyFont="1" applyFill="1" applyBorder="1" applyAlignment="1">
      <alignment horizontal="right" vertical="center"/>
    </xf>
    <xf numFmtId="166" fontId="24" fillId="6" borderId="198" xfId="1" applyNumberFormat="1" applyFont="1" applyFill="1" applyBorder="1" applyAlignment="1">
      <alignment vertical="center"/>
    </xf>
    <xf numFmtId="43" fontId="7" fillId="0" borderId="188" xfId="1" applyFont="1" applyFill="1" applyBorder="1" applyAlignment="1">
      <alignment horizontal="right" vertical="center"/>
    </xf>
    <xf numFmtId="3" fontId="7" fillId="0" borderId="188" xfId="1" applyNumberFormat="1" applyFont="1" applyFill="1" applyBorder="1" applyAlignment="1">
      <alignment horizontal="right" vertical="center"/>
    </xf>
    <xf numFmtId="43" fontId="7" fillId="0" borderId="188" xfId="1" applyNumberFormat="1" applyFont="1" applyFill="1" applyBorder="1" applyAlignment="1">
      <alignment horizontal="right" vertical="center"/>
    </xf>
    <xf numFmtId="3" fontId="31" fillId="23" borderId="198" xfId="4" applyNumberFormat="1" applyFont="1" applyFill="1" applyBorder="1" applyAlignment="1">
      <alignment vertical="center"/>
    </xf>
    <xf numFmtId="43" fontId="27" fillId="0" borderId="188" xfId="1" applyFont="1" applyFill="1" applyBorder="1" applyAlignment="1">
      <alignment horizontal="right" vertical="center"/>
    </xf>
    <xf numFmtId="3" fontId="33" fillId="0" borderId="199" xfId="1" applyNumberFormat="1" applyFont="1" applyFill="1" applyBorder="1" applyAlignment="1">
      <alignment vertical="center"/>
    </xf>
    <xf numFmtId="0" fontId="0" fillId="0" borderId="85" xfId="0" applyFont="1" applyBorder="1" applyAlignment="1">
      <alignment vertical="center"/>
    </xf>
    <xf numFmtId="3" fontId="7" fillId="0" borderId="199" xfId="1" applyNumberFormat="1" applyFont="1" applyFill="1" applyBorder="1" applyAlignment="1">
      <alignment horizontal="right" vertical="center"/>
    </xf>
    <xf numFmtId="3" fontId="33" fillId="0" borderId="35" xfId="6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horizontal="right" vertical="center"/>
    </xf>
    <xf numFmtId="43" fontId="33" fillId="0" borderId="35" xfId="1" applyFont="1" applyFill="1" applyBorder="1" applyAlignment="1">
      <alignment vertical="center"/>
    </xf>
    <xf numFmtId="43" fontId="7" fillId="0" borderId="210" xfId="1" applyFont="1" applyFill="1" applyBorder="1" applyAlignment="1">
      <alignment horizontal="right" vertical="center"/>
    </xf>
    <xf numFmtId="3" fontId="31" fillId="0" borderId="132" xfId="4" applyNumberFormat="1" applyFont="1" applyFill="1" applyBorder="1" applyAlignment="1">
      <alignment horizontal="right" vertical="center"/>
    </xf>
    <xf numFmtId="3" fontId="27" fillId="0" borderId="168" xfId="0" applyNumberFormat="1" applyFont="1" applyFill="1" applyBorder="1" applyAlignment="1">
      <alignment vertical="center"/>
    </xf>
    <xf numFmtId="3" fontId="31" fillId="25" borderId="209" xfId="4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2" fillId="38" borderId="0" xfId="0" applyNumberFormat="1" applyFont="1" applyFill="1" applyBorder="1" applyAlignment="1">
      <alignment vertical="center" wrapText="1"/>
    </xf>
    <xf numFmtId="3" fontId="62" fillId="39" borderId="0" xfId="0" applyNumberFormat="1" applyFont="1" applyFill="1" applyBorder="1" applyAlignment="1">
      <alignment horizontal="center" vertical="center" wrapText="1"/>
    </xf>
    <xf numFmtId="3" fontId="62" fillId="0" borderId="0" xfId="0" applyNumberFormat="1" applyFont="1" applyFill="1" applyBorder="1" applyAlignment="1">
      <alignment horizontal="center" vertical="center" wrapText="1"/>
    </xf>
    <xf numFmtId="3" fontId="65" fillId="40" borderId="0" xfId="0" applyNumberFormat="1" applyFont="1" applyFill="1" applyBorder="1" applyAlignment="1">
      <alignment vertical="center" wrapText="1"/>
    </xf>
    <xf numFmtId="3" fontId="62" fillId="41" borderId="0" xfId="0" applyNumberFormat="1" applyFont="1" applyFill="1" applyBorder="1" applyAlignment="1">
      <alignment horizontal="center" vertical="center" wrapText="1"/>
    </xf>
    <xf numFmtId="3" fontId="65" fillId="40" borderId="0" xfId="0" applyNumberFormat="1" applyFont="1" applyFill="1" applyBorder="1" applyAlignment="1">
      <alignment horizontal="center" vertical="center" wrapText="1"/>
    </xf>
    <xf numFmtId="164" fontId="62" fillId="38" borderId="0" xfId="0" applyNumberFormat="1" applyFont="1" applyFill="1" applyBorder="1" applyAlignment="1">
      <alignment vertical="center" wrapText="1"/>
    </xf>
    <xf numFmtId="164" fontId="8" fillId="0" borderId="0" xfId="0" applyNumberFormat="1" applyFont="1" applyBorder="1"/>
    <xf numFmtId="3" fontId="27" fillId="21" borderId="74" xfId="4" applyNumberFormat="1" applyFont="1" applyFill="1" applyBorder="1" applyAlignment="1">
      <alignment horizontal="right" vertical="center"/>
    </xf>
    <xf numFmtId="3" fontId="27" fillId="21" borderId="208" xfId="4" applyNumberFormat="1" applyFont="1" applyFill="1" applyBorder="1" applyAlignment="1">
      <alignment horizontal="right" vertical="center"/>
    </xf>
    <xf numFmtId="43" fontId="27" fillId="0" borderId="199" xfId="1" applyFont="1" applyFill="1" applyBorder="1" applyAlignment="1">
      <alignment vertical="center"/>
    </xf>
    <xf numFmtId="3" fontId="27" fillId="25" borderId="198" xfId="0" applyNumberFormat="1" applyFont="1" applyFill="1" applyBorder="1" applyAlignment="1">
      <alignment vertical="center"/>
    </xf>
    <xf numFmtId="0" fontId="7" fillId="3" borderId="1" xfId="0" quotePrefix="1" applyFont="1" applyFill="1" applyBorder="1" applyAlignment="1">
      <alignment horizontal="center"/>
    </xf>
    <xf numFmtId="3" fontId="66" fillId="5" borderId="86" xfId="0" applyNumberFormat="1" applyFont="1" applyFill="1" applyBorder="1" applyAlignment="1">
      <alignment horizontal="right" vertical="center" wrapText="1"/>
    </xf>
    <xf numFmtId="3" fontId="36" fillId="3" borderId="85" xfId="0" applyNumberFormat="1" applyFont="1" applyFill="1" applyBorder="1" applyAlignment="1">
      <alignment vertical="center" wrapText="1"/>
    </xf>
    <xf numFmtId="3" fontId="36" fillId="3" borderId="68" xfId="0" applyNumberFormat="1" applyFont="1" applyFill="1" applyBorder="1" applyAlignment="1">
      <alignment vertical="center" wrapText="1"/>
    </xf>
    <xf numFmtId="3" fontId="7" fillId="0" borderId="26" xfId="0" applyNumberFormat="1" applyFont="1" applyFill="1" applyBorder="1" applyAlignment="1">
      <alignment vertical="center" wrapText="1"/>
    </xf>
    <xf numFmtId="3" fontId="66" fillId="7" borderId="206" xfId="0" applyNumberFormat="1" applyFont="1" applyFill="1" applyBorder="1" applyAlignment="1">
      <alignment horizontal="right" vertical="center" wrapText="1"/>
    </xf>
    <xf numFmtId="3" fontId="64" fillId="9" borderId="85" xfId="0" applyNumberFormat="1" applyFont="1" applyFill="1" applyBorder="1" applyAlignment="1">
      <alignment horizontal="right" vertical="center" wrapText="1"/>
    </xf>
    <xf numFmtId="3" fontId="6" fillId="3" borderId="85" xfId="0" applyNumberFormat="1" applyFont="1" applyFill="1" applyBorder="1" applyAlignment="1">
      <alignment vertical="center" wrapText="1"/>
    </xf>
    <xf numFmtId="3" fontId="6" fillId="3" borderId="85" xfId="0" applyNumberFormat="1" applyFont="1" applyFill="1" applyBorder="1" applyAlignment="1">
      <alignment horizontal="right" vertical="center" wrapText="1"/>
    </xf>
    <xf numFmtId="3" fontId="6" fillId="3" borderId="85" xfId="0" applyNumberFormat="1" applyFont="1" applyFill="1" applyBorder="1" applyAlignment="1">
      <alignment horizontal="center" vertical="center" wrapText="1"/>
    </xf>
    <xf numFmtId="3" fontId="64" fillId="9" borderId="206" xfId="0" applyNumberFormat="1" applyFont="1" applyFill="1" applyBorder="1" applyAlignment="1">
      <alignment vertical="center" wrapText="1"/>
    </xf>
    <xf numFmtId="3" fontId="0" fillId="0" borderId="8" xfId="0" applyNumberFormat="1" applyFont="1" applyBorder="1" applyAlignment="1">
      <alignment vertical="center"/>
    </xf>
    <xf numFmtId="3" fontId="85" fillId="2" borderId="131" xfId="4" applyNumberFormat="1" applyFont="1" applyFill="1" applyBorder="1" applyAlignment="1">
      <alignment vertical="center" wrapText="1"/>
    </xf>
    <xf numFmtId="3" fontId="83" fillId="0" borderId="65" xfId="4" applyNumberFormat="1" applyFont="1" applyFill="1" applyBorder="1" applyAlignment="1">
      <alignment vertical="center"/>
    </xf>
    <xf numFmtId="0" fontId="79" fillId="8" borderId="5" xfId="0" applyFont="1" applyFill="1" applyBorder="1" applyAlignment="1">
      <alignment vertical="center" wrapText="1"/>
    </xf>
    <xf numFmtId="0" fontId="79" fillId="8" borderId="17" xfId="0" applyFont="1" applyFill="1" applyBorder="1" applyAlignment="1">
      <alignment horizontal="center" vertical="center" wrapText="1"/>
    </xf>
    <xf numFmtId="3" fontId="82" fillId="8" borderId="3" xfId="0" applyNumberFormat="1" applyFont="1" applyFill="1" applyBorder="1" applyAlignment="1">
      <alignment vertical="top"/>
    </xf>
    <xf numFmtId="3" fontId="82" fillId="8" borderId="15" xfId="0" applyNumberFormat="1" applyFont="1" applyFill="1" applyBorder="1" applyAlignment="1">
      <alignment vertical="top"/>
    </xf>
    <xf numFmtId="3" fontId="82" fillId="8" borderId="4" xfId="0" applyNumberFormat="1" applyFont="1" applyFill="1" applyBorder="1" applyAlignment="1">
      <alignment vertical="top"/>
    </xf>
    <xf numFmtId="3" fontId="82" fillId="23" borderId="42" xfId="0" applyNumberFormat="1" applyFont="1" applyFill="1" applyBorder="1" applyAlignment="1">
      <alignment vertical="top"/>
    </xf>
    <xf numFmtId="0" fontId="79" fillId="6" borderId="131" xfId="4" applyFont="1" applyFill="1" applyBorder="1" applyAlignment="1">
      <alignment horizontal="left" vertical="center"/>
    </xf>
    <xf numFmtId="0" fontId="81" fillId="6" borderId="135" xfId="0" applyFont="1" applyFill="1" applyBorder="1" applyAlignment="1">
      <alignment vertical="top"/>
    </xf>
    <xf numFmtId="3" fontId="82" fillId="6" borderId="167" xfId="0" applyNumberFormat="1" applyFont="1" applyFill="1" applyBorder="1" applyAlignment="1"/>
    <xf numFmtId="43" fontId="82" fillId="6" borderId="167" xfId="1" applyFont="1" applyFill="1" applyBorder="1" applyAlignment="1"/>
    <xf numFmtId="43" fontId="82" fillId="6" borderId="135" xfId="1" applyFont="1" applyFill="1" applyBorder="1" applyAlignment="1"/>
    <xf numFmtId="3" fontId="82" fillId="22" borderId="170" xfId="0" applyNumberFormat="1" applyFont="1" applyFill="1" applyBorder="1" applyAlignment="1"/>
    <xf numFmtId="3" fontId="80" fillId="2" borderId="131" xfId="4" applyNumberFormat="1" applyFont="1" applyFill="1" applyBorder="1" applyAlignment="1">
      <alignment vertical="top" wrapText="1"/>
    </xf>
    <xf numFmtId="3" fontId="85" fillId="2" borderId="167" xfId="0" applyNumberFormat="1" applyFont="1" applyFill="1" applyBorder="1" applyAlignment="1"/>
    <xf numFmtId="43" fontId="85" fillId="2" borderId="167" xfId="1" applyFont="1" applyFill="1" applyBorder="1" applyAlignment="1"/>
    <xf numFmtId="43" fontId="85" fillId="2" borderId="135" xfId="1" applyFont="1" applyFill="1" applyBorder="1" applyAlignment="1"/>
    <xf numFmtId="3" fontId="85" fillId="25" borderId="170" xfId="0" applyNumberFormat="1" applyFont="1" applyFill="1" applyBorder="1" applyAlignment="1"/>
    <xf numFmtId="0" fontId="81" fillId="0" borderId="21" xfId="0" applyFont="1" applyFill="1" applyBorder="1" applyAlignment="1">
      <alignment vertical="top"/>
    </xf>
    <xf numFmtId="3" fontId="83" fillId="0" borderId="135" xfId="4" applyNumberFormat="1" applyFont="1" applyFill="1" applyBorder="1" applyAlignment="1"/>
    <xf numFmtId="3" fontId="83" fillId="0" borderId="167" xfId="0" applyNumberFormat="1" applyFont="1" applyFill="1" applyBorder="1" applyAlignment="1">
      <alignment vertical="top"/>
    </xf>
    <xf numFmtId="43" fontId="83" fillId="0" borderId="167" xfId="1" applyFont="1" applyFill="1" applyBorder="1" applyAlignment="1">
      <alignment vertical="top"/>
    </xf>
    <xf numFmtId="43" fontId="83" fillId="0" borderId="135" xfId="1" applyFont="1" applyFill="1" applyBorder="1" applyAlignment="1">
      <alignment vertical="top"/>
    </xf>
    <xf numFmtId="3" fontId="83" fillId="25" borderId="170" xfId="0" applyNumberFormat="1" applyFont="1" applyFill="1" applyBorder="1" applyAlignment="1">
      <alignment horizontal="center" vertical="top"/>
    </xf>
    <xf numFmtId="0" fontId="81" fillId="0" borderId="131" xfId="0" applyFont="1" applyFill="1" applyBorder="1" applyAlignment="1">
      <alignment vertical="top" wrapText="1"/>
    </xf>
    <xf numFmtId="3" fontId="83" fillId="25" borderId="170" xfId="0" applyNumberFormat="1" applyFont="1" applyFill="1" applyBorder="1" applyAlignment="1">
      <alignment vertical="top"/>
    </xf>
    <xf numFmtId="0" fontId="81" fillId="0" borderId="21" xfId="0" applyFont="1" applyFill="1" applyBorder="1" applyAlignment="1">
      <alignment horizontal="left" vertical="center"/>
    </xf>
    <xf numFmtId="43" fontId="83" fillId="0" borderId="134" xfId="1" applyFont="1" applyFill="1" applyBorder="1" applyAlignment="1">
      <alignment vertical="top"/>
    </xf>
    <xf numFmtId="43" fontId="83" fillId="0" borderId="169" xfId="1" applyFont="1" applyFill="1" applyBorder="1" applyAlignment="1">
      <alignment vertical="top"/>
    </xf>
    <xf numFmtId="43" fontId="78" fillId="0" borderId="8" xfId="1" applyFont="1" applyBorder="1"/>
    <xf numFmtId="43" fontId="78" fillId="0" borderId="9" xfId="1" applyFont="1" applyBorder="1"/>
    <xf numFmtId="43" fontId="78" fillId="0" borderId="35" xfId="1" applyFont="1" applyBorder="1"/>
    <xf numFmtId="3" fontId="83" fillId="25" borderId="43" xfId="0" applyNumberFormat="1" applyFont="1" applyFill="1" applyBorder="1" applyAlignment="1">
      <alignment horizontal="center" vertical="top"/>
    </xf>
    <xf numFmtId="0" fontId="81" fillId="6" borderId="20" xfId="0" applyFont="1" applyFill="1" applyBorder="1" applyAlignment="1">
      <alignment vertical="top"/>
    </xf>
    <xf numFmtId="43" fontId="82" fillId="22" borderId="46" xfId="1" applyFont="1" applyFill="1" applyBorder="1" applyAlignment="1">
      <alignment horizontal="center" vertical="center"/>
    </xf>
    <xf numFmtId="3" fontId="85" fillId="2" borderId="167" xfId="0" applyNumberFormat="1" applyFont="1" applyFill="1" applyBorder="1" applyAlignment="1">
      <alignment vertical="center"/>
    </xf>
    <xf numFmtId="43" fontId="85" fillId="2" borderId="167" xfId="1" applyFont="1" applyFill="1" applyBorder="1" applyAlignment="1">
      <alignment vertical="center"/>
    </xf>
    <xf numFmtId="43" fontId="85" fillId="2" borderId="135" xfId="1" applyFont="1" applyFill="1" applyBorder="1" applyAlignment="1">
      <alignment vertical="center"/>
    </xf>
    <xf numFmtId="0" fontId="81" fillId="0" borderId="25" xfId="0" applyFont="1" applyFill="1" applyBorder="1" applyAlignment="1">
      <alignment horizontal="left" vertical="center"/>
    </xf>
    <xf numFmtId="3" fontId="83" fillId="0" borderId="209" xfId="4" applyNumberFormat="1" applyFont="1" applyFill="1" applyBorder="1" applyAlignment="1">
      <alignment vertical="center"/>
    </xf>
    <xf numFmtId="3" fontId="83" fillId="0" borderId="210" xfId="4" applyNumberFormat="1" applyFont="1" applyFill="1" applyBorder="1" applyAlignment="1"/>
    <xf numFmtId="43" fontId="83" fillId="0" borderId="127" xfId="1" applyFont="1" applyFill="1" applyBorder="1" applyAlignment="1">
      <alignment vertical="top"/>
    </xf>
    <xf numFmtId="43" fontId="83" fillId="0" borderId="144" xfId="1" applyFont="1" applyFill="1" applyBorder="1" applyAlignment="1">
      <alignment vertical="top"/>
    </xf>
    <xf numFmtId="43" fontId="83" fillId="0" borderId="65" xfId="1" applyFont="1" applyFill="1" applyBorder="1" applyAlignment="1">
      <alignment vertical="center"/>
    </xf>
    <xf numFmtId="0" fontId="0" fillId="0" borderId="27" xfId="0" applyFont="1" applyBorder="1" applyAlignment="1">
      <alignment horizontal="center" vertical="center" wrapText="1"/>
    </xf>
    <xf numFmtId="0" fontId="7" fillId="0" borderId="13" xfId="4" applyFont="1" applyFill="1" applyBorder="1" applyAlignment="1">
      <alignment vertical="top"/>
    </xf>
    <xf numFmtId="3" fontId="7" fillId="0" borderId="13" xfId="4" applyNumberFormat="1" applyFont="1" applyFill="1" applyBorder="1" applyAlignment="1">
      <alignment horizontal="right" vertical="center"/>
    </xf>
    <xf numFmtId="0" fontId="37" fillId="0" borderId="10" xfId="0" applyFont="1" applyBorder="1" applyAlignment="1">
      <alignment horizontal="center" vertical="center" wrapText="1"/>
    </xf>
    <xf numFmtId="3" fontId="0" fillId="0" borderId="199" xfId="0" applyNumberFormat="1" applyFont="1" applyBorder="1"/>
    <xf numFmtId="0" fontId="0" fillId="0" borderId="199" xfId="0" applyFont="1" applyBorder="1"/>
    <xf numFmtId="0" fontId="24" fillId="8" borderId="167" xfId="4" applyFont="1" applyFill="1" applyBorder="1" applyAlignment="1">
      <alignment vertical="center" wrapText="1"/>
    </xf>
    <xf numFmtId="0" fontId="24" fillId="8" borderId="167" xfId="4" applyFont="1" applyFill="1" applyBorder="1" applyAlignment="1">
      <alignment horizontal="center" vertical="center" wrapText="1"/>
    </xf>
    <xf numFmtId="3" fontId="24" fillId="8" borderId="167" xfId="4" applyNumberFormat="1" applyFont="1" applyFill="1" applyBorder="1" applyAlignment="1">
      <alignment horizontal="right" vertical="center"/>
    </xf>
    <xf numFmtId="3" fontId="29" fillId="2" borderId="167" xfId="4" applyNumberFormat="1" applyFont="1" applyFill="1" applyBorder="1" applyAlignment="1">
      <alignment vertical="center" wrapText="1"/>
    </xf>
    <xf numFmtId="0" fontId="28" fillId="0" borderId="167" xfId="4" applyFont="1" applyFill="1" applyBorder="1" applyAlignment="1">
      <alignment vertical="center"/>
    </xf>
    <xf numFmtId="43" fontId="28" fillId="0" borderId="167" xfId="1" applyFont="1" applyFill="1" applyBorder="1" applyAlignment="1">
      <alignment horizontal="right" vertical="center"/>
    </xf>
    <xf numFmtId="3" fontId="28" fillId="0" borderId="167" xfId="4" applyNumberFormat="1" applyFont="1" applyFill="1" applyBorder="1" applyAlignment="1">
      <alignment horizontal="right" vertical="center"/>
    </xf>
    <xf numFmtId="3" fontId="28" fillId="25" borderId="167" xfId="4" applyNumberFormat="1" applyFont="1" applyFill="1" applyBorder="1" applyAlignment="1">
      <alignment horizontal="right" vertical="center"/>
    </xf>
    <xf numFmtId="0" fontId="29" fillId="2" borderId="167" xfId="4" applyFont="1" applyFill="1" applyBorder="1" applyAlignment="1">
      <alignment vertical="center"/>
    </xf>
    <xf numFmtId="3" fontId="32" fillId="0" borderId="20" xfId="0" applyNumberFormat="1" applyFont="1" applyBorder="1" applyAlignment="1">
      <alignment horizontal="center" vertical="center"/>
    </xf>
    <xf numFmtId="3" fontId="8" fillId="0" borderId="145" xfId="4" applyNumberFormat="1" applyFont="1" applyFill="1" applyBorder="1" applyAlignment="1">
      <alignment horizontal="right" vertical="center"/>
    </xf>
    <xf numFmtId="3" fontId="31" fillId="25" borderId="188" xfId="4" applyNumberFormat="1" applyFont="1" applyFill="1" applyBorder="1" applyAlignment="1">
      <alignment horizontal="right" vertical="center"/>
    </xf>
    <xf numFmtId="0" fontId="24" fillId="8" borderId="199" xfId="4" applyFont="1" applyFill="1" applyBorder="1" applyAlignment="1">
      <alignment vertical="center" wrapText="1"/>
    </xf>
    <xf numFmtId="0" fontId="24" fillId="8" borderId="21" xfId="0" applyFont="1" applyFill="1" applyBorder="1" applyAlignment="1">
      <alignment vertical="center" wrapText="1"/>
    </xf>
    <xf numFmtId="0" fontId="24" fillId="8" borderId="131" xfId="4" applyFont="1" applyFill="1" applyBorder="1" applyAlignment="1">
      <alignment horizontal="left" vertical="center" wrapText="1"/>
    </xf>
    <xf numFmtId="0" fontId="25" fillId="8" borderId="19" xfId="4" applyFont="1" applyFill="1" applyBorder="1" applyAlignment="1">
      <alignment vertical="center" wrapText="1"/>
    </xf>
    <xf numFmtId="43" fontId="32" fillId="0" borderId="199" xfId="1" applyFont="1" applyFill="1" applyBorder="1" applyAlignment="1">
      <alignment vertical="center"/>
    </xf>
    <xf numFmtId="3" fontId="24" fillId="26" borderId="208" xfId="4" applyNumberFormat="1" applyFont="1" applyFill="1" applyBorder="1" applyAlignment="1">
      <alignment horizontal="center" vertical="center"/>
    </xf>
    <xf numFmtId="3" fontId="8" fillId="0" borderId="209" xfId="4" applyNumberFormat="1" applyFont="1" applyFill="1" applyBorder="1" applyAlignment="1">
      <alignment horizontal="right" vertical="center"/>
    </xf>
    <xf numFmtId="3" fontId="7" fillId="0" borderId="210" xfId="0" applyNumberFormat="1" applyFont="1" applyFill="1" applyBorder="1" applyAlignment="1">
      <alignment horizontal="right" vertical="center"/>
    </xf>
    <xf numFmtId="0" fontId="7" fillId="0" borderId="131" xfId="4" applyFont="1" applyFill="1" applyBorder="1" applyAlignment="1">
      <alignment horizontal="left" vertical="center"/>
    </xf>
    <xf numFmtId="3" fontId="24" fillId="22" borderId="198" xfId="4" applyNumberFormat="1" applyFont="1" applyFill="1" applyBorder="1" applyAlignment="1">
      <alignment horizontal="right" vertical="center"/>
    </xf>
    <xf numFmtId="0" fontId="7" fillId="0" borderId="204" xfId="4" applyFont="1" applyFill="1" applyBorder="1" applyAlignment="1">
      <alignment horizontal="left" vertical="center"/>
    </xf>
    <xf numFmtId="0" fontId="25" fillId="0" borderId="12" xfId="4" applyFont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23" fillId="0" borderId="137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1" fillId="32" borderId="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3" fontId="25" fillId="22" borderId="35" xfId="0" applyNumberFormat="1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43" fontId="25" fillId="6" borderId="167" xfId="1" applyFont="1" applyFill="1" applyBorder="1" applyAlignment="1">
      <alignment horizontal="right" vertical="center"/>
    </xf>
    <xf numFmtId="43" fontId="27" fillId="0" borderId="167" xfId="1" applyFont="1" applyFill="1" applyBorder="1" applyAlignment="1">
      <alignment horizontal="right" vertical="center"/>
    </xf>
    <xf numFmtId="43" fontId="31" fillId="0" borderId="29" xfId="1" applyFont="1" applyFill="1" applyBorder="1" applyAlignment="1">
      <alignment vertical="center"/>
    </xf>
    <xf numFmtId="0" fontId="31" fillId="6" borderId="178" xfId="0" applyFont="1" applyFill="1" applyBorder="1" applyAlignment="1">
      <alignment vertical="top"/>
    </xf>
    <xf numFmtId="3" fontId="25" fillId="6" borderId="178" xfId="0" applyNumberFormat="1" applyFont="1" applyFill="1" applyBorder="1" applyAlignment="1">
      <alignment vertical="top"/>
    </xf>
    <xf numFmtId="3" fontId="25" fillId="22" borderId="178" xfId="0" applyNumberFormat="1" applyFont="1" applyFill="1" applyBorder="1" applyAlignment="1">
      <alignment vertical="top"/>
    </xf>
    <xf numFmtId="3" fontId="27" fillId="0" borderId="178" xfId="4" applyNumberFormat="1" applyFont="1" applyFill="1" applyBorder="1" applyAlignment="1">
      <alignment vertical="top" wrapText="1"/>
    </xf>
    <xf numFmtId="3" fontId="27" fillId="0" borderId="178" xfId="0" applyNumberFormat="1" applyFont="1" applyFill="1" applyBorder="1" applyAlignment="1">
      <alignment vertical="top"/>
    </xf>
    <xf numFmtId="3" fontId="25" fillId="25" borderId="178" xfId="0" applyNumberFormat="1" applyFont="1" applyFill="1" applyBorder="1" applyAlignment="1">
      <alignment vertical="top"/>
    </xf>
    <xf numFmtId="0" fontId="32" fillId="0" borderId="178" xfId="0" applyFont="1" applyBorder="1"/>
    <xf numFmtId="3" fontId="31" fillId="0" borderId="178" xfId="0" applyNumberFormat="1" applyFont="1" applyFill="1" applyBorder="1" applyAlignment="1">
      <alignment vertical="top"/>
    </xf>
    <xf numFmtId="3" fontId="31" fillId="2" borderId="178" xfId="0" applyNumberFormat="1" applyFont="1" applyFill="1" applyBorder="1" applyAlignment="1">
      <alignment vertical="top"/>
    </xf>
    <xf numFmtId="3" fontId="31" fillId="23" borderId="178" xfId="0" applyNumberFormat="1" applyFont="1" applyFill="1" applyBorder="1" applyAlignment="1">
      <alignment vertical="top"/>
    </xf>
    <xf numFmtId="3" fontId="31" fillId="0" borderId="214" xfId="4" applyNumberFormat="1" applyFont="1" applyFill="1" applyBorder="1" applyAlignment="1">
      <alignment vertical="center"/>
    </xf>
    <xf numFmtId="3" fontId="24" fillId="26" borderId="13" xfId="4" applyNumberFormat="1" applyFont="1" applyFill="1" applyBorder="1" applyAlignment="1">
      <alignment horizontal="center" vertical="center"/>
    </xf>
    <xf numFmtId="3" fontId="24" fillId="26" borderId="167" xfId="4" applyNumberFormat="1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wrapText="1"/>
    </xf>
    <xf numFmtId="0" fontId="17" fillId="0" borderId="172" xfId="4" applyFont="1" applyFill="1" applyBorder="1" applyAlignment="1">
      <alignment horizontal="center" vertical="center"/>
    </xf>
    <xf numFmtId="0" fontId="37" fillId="0" borderId="170" xfId="0" applyFont="1" applyFill="1" applyBorder="1" applyAlignment="1">
      <alignment horizontal="center" vertical="center" wrapText="1"/>
    </xf>
    <xf numFmtId="0" fontId="32" fillId="0" borderId="192" xfId="0" applyFont="1" applyFill="1" applyBorder="1" applyAlignment="1">
      <alignment horizontal="center" vertical="center" wrapText="1"/>
    </xf>
    <xf numFmtId="0" fontId="32" fillId="0" borderId="167" xfId="0" applyFont="1" applyBorder="1" applyAlignment="1">
      <alignment wrapText="1"/>
    </xf>
    <xf numFmtId="0" fontId="23" fillId="0" borderId="12" xfId="6" applyFont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 wrapText="1"/>
    </xf>
    <xf numFmtId="2" fontId="0" fillId="0" borderId="0" xfId="0" applyNumberFormat="1" applyFont="1" applyBorder="1"/>
    <xf numFmtId="0" fontId="25" fillId="32" borderId="12" xfId="4" applyFont="1" applyFill="1" applyBorder="1" applyAlignment="1">
      <alignment horizontal="center" vertical="center" wrapText="1"/>
    </xf>
    <xf numFmtId="0" fontId="7" fillId="8" borderId="167" xfId="4" applyFont="1" applyFill="1" applyBorder="1" applyAlignment="1">
      <alignment vertical="top" wrapText="1"/>
    </xf>
    <xf numFmtId="3" fontId="0" fillId="0" borderId="135" xfId="0" applyNumberFormat="1" applyFont="1" applyBorder="1" applyAlignment="1">
      <alignment vertical="center"/>
    </xf>
    <xf numFmtId="3" fontId="0" fillId="0" borderId="102" xfId="0" applyNumberFormat="1" applyFont="1" applyBorder="1" applyAlignment="1">
      <alignment vertical="center"/>
    </xf>
    <xf numFmtId="0" fontId="0" fillId="0" borderId="125" xfId="0" applyFont="1" applyBorder="1" applyAlignment="1">
      <alignment vertical="center"/>
    </xf>
    <xf numFmtId="0" fontId="7" fillId="0" borderId="127" xfId="4" applyFont="1" applyFill="1" applyBorder="1" applyAlignment="1">
      <alignment vertical="center"/>
    </xf>
    <xf numFmtId="43" fontId="31" fillId="0" borderId="167" xfId="1" applyFont="1" applyFill="1" applyBorder="1" applyAlignment="1">
      <alignment horizontal="right" vertical="center"/>
    </xf>
    <xf numFmtId="0" fontId="28" fillId="62" borderId="167" xfId="4" applyFont="1" applyFill="1" applyBorder="1" applyAlignment="1">
      <alignment vertical="top"/>
    </xf>
    <xf numFmtId="3" fontId="63" fillId="62" borderId="167" xfId="6" applyNumberFormat="1" applyFont="1" applyFill="1" applyBorder="1" applyAlignment="1">
      <alignment vertical="center"/>
    </xf>
    <xf numFmtId="43" fontId="38" fillId="62" borderId="199" xfId="1" applyFont="1" applyFill="1" applyBorder="1" applyAlignment="1">
      <alignment horizontal="right" vertical="center"/>
    </xf>
    <xf numFmtId="43" fontId="28" fillId="62" borderId="167" xfId="1" applyFont="1" applyFill="1" applyBorder="1" applyAlignment="1">
      <alignment horizontal="right" vertical="center"/>
    </xf>
    <xf numFmtId="3" fontId="38" fillId="62" borderId="167" xfId="4" applyNumberFormat="1" applyFont="1" applyFill="1" applyBorder="1" applyAlignment="1">
      <alignment horizontal="right" vertical="center"/>
    </xf>
    <xf numFmtId="0" fontId="0" fillId="0" borderId="123" xfId="0" applyFont="1" applyBorder="1"/>
    <xf numFmtId="0" fontId="28" fillId="61" borderId="167" xfId="4" applyFont="1" applyFill="1" applyBorder="1" applyAlignment="1">
      <alignment vertical="top"/>
    </xf>
    <xf numFmtId="3" fontId="63" fillId="61" borderId="167" xfId="6" applyNumberFormat="1" applyFont="1" applyFill="1" applyBorder="1" applyAlignment="1">
      <alignment vertical="center"/>
    </xf>
    <xf numFmtId="43" fontId="38" fillId="61" borderId="199" xfId="1" applyFont="1" applyFill="1" applyBorder="1" applyAlignment="1">
      <alignment horizontal="right" vertical="center"/>
    </xf>
    <xf numFmtId="43" fontId="28" fillId="61" borderId="167" xfId="1" applyFont="1" applyFill="1" applyBorder="1" applyAlignment="1">
      <alignment horizontal="right" vertical="center"/>
    </xf>
    <xf numFmtId="3" fontId="38" fillId="61" borderId="167" xfId="4" applyNumberFormat="1" applyFont="1" applyFill="1" applyBorder="1" applyAlignment="1">
      <alignment horizontal="right" vertical="center"/>
    </xf>
    <xf numFmtId="0" fontId="7" fillId="62" borderId="167" xfId="4" applyFont="1" applyFill="1" applyBorder="1" applyAlignment="1">
      <alignment vertical="top"/>
    </xf>
    <xf numFmtId="3" fontId="32" fillId="62" borderId="167" xfId="6" applyNumberFormat="1" applyFont="1" applyFill="1" applyBorder="1" applyAlignment="1">
      <alignment vertical="center"/>
    </xf>
    <xf numFmtId="43" fontId="7" fillId="62" borderId="199" xfId="1" applyFont="1" applyFill="1" applyBorder="1" applyAlignment="1">
      <alignment horizontal="right" vertical="center"/>
    </xf>
    <xf numFmtId="43" fontId="7" fillId="62" borderId="167" xfId="1" applyFont="1" applyFill="1" applyBorder="1" applyAlignment="1">
      <alignment horizontal="right" vertical="center"/>
    </xf>
    <xf numFmtId="3" fontId="7" fillId="62" borderId="167" xfId="4" applyNumberFormat="1" applyFont="1" applyFill="1" applyBorder="1" applyAlignment="1">
      <alignment horizontal="right" vertical="center"/>
    </xf>
    <xf numFmtId="0" fontId="17" fillId="0" borderId="43" xfId="4" applyFont="1" applyFill="1" applyBorder="1" applyAlignment="1">
      <alignment vertical="center" wrapText="1"/>
    </xf>
    <xf numFmtId="0" fontId="7" fillId="61" borderId="167" xfId="4" applyFont="1" applyFill="1" applyBorder="1" applyAlignment="1">
      <alignment vertical="top"/>
    </xf>
    <xf numFmtId="0" fontId="32" fillId="61" borderId="167" xfId="0" applyFont="1" applyFill="1" applyBorder="1" applyAlignment="1">
      <alignment horizontal="center" vertical="center" wrapText="1"/>
    </xf>
    <xf numFmtId="3" fontId="32" fillId="61" borderId="167" xfId="6" applyNumberFormat="1" applyFont="1" applyFill="1" applyBorder="1" applyAlignment="1">
      <alignment vertical="center"/>
    </xf>
    <xf numFmtId="43" fontId="7" fillId="61" borderId="199" xfId="1" applyFont="1" applyFill="1" applyBorder="1" applyAlignment="1">
      <alignment horizontal="right" vertical="center"/>
    </xf>
    <xf numFmtId="43" fontId="7" fillId="61" borderId="167" xfId="1" applyFont="1" applyFill="1" applyBorder="1" applyAlignment="1">
      <alignment horizontal="right" vertical="center"/>
    </xf>
    <xf numFmtId="3" fontId="7" fillId="61" borderId="167" xfId="4" applyNumberFormat="1" applyFont="1" applyFill="1" applyBorder="1" applyAlignment="1">
      <alignment horizontal="right" vertical="center"/>
    </xf>
    <xf numFmtId="43" fontId="24" fillId="6" borderId="167" xfId="1" applyFont="1" applyFill="1" applyBorder="1" applyAlignment="1"/>
    <xf numFmtId="43" fontId="25" fillId="6" borderId="192" xfId="1" applyFont="1" applyFill="1" applyBorder="1" applyAlignment="1">
      <alignment horizontal="right" vertical="center"/>
    </xf>
    <xf numFmtId="43" fontId="27" fillId="0" borderId="192" xfId="1" applyFont="1" applyFill="1" applyBorder="1" applyAlignment="1">
      <alignment horizontal="right" vertical="center"/>
    </xf>
    <xf numFmtId="43" fontId="31" fillId="0" borderId="190" xfId="1" applyFont="1" applyFill="1" applyBorder="1" applyAlignment="1">
      <alignment vertical="center"/>
    </xf>
    <xf numFmtId="43" fontId="31" fillId="0" borderId="192" xfId="1" applyFont="1" applyFill="1" applyBorder="1" applyAlignment="1">
      <alignment horizontal="right" vertical="center"/>
    </xf>
    <xf numFmtId="0" fontId="38" fillId="62" borderId="192" xfId="4" applyFont="1" applyFill="1" applyBorder="1" applyAlignment="1">
      <alignment vertical="top"/>
    </xf>
    <xf numFmtId="3" fontId="63" fillId="62" borderId="192" xfId="6" applyNumberFormat="1" applyFont="1" applyFill="1" applyBorder="1" applyAlignment="1">
      <alignment vertical="center"/>
    </xf>
    <xf numFmtId="43" fontId="38" fillId="62" borderId="192" xfId="1" applyFont="1" applyFill="1" applyBorder="1" applyAlignment="1">
      <alignment horizontal="right" vertical="center"/>
    </xf>
    <xf numFmtId="43" fontId="28" fillId="62" borderId="192" xfId="1" applyFont="1" applyFill="1" applyBorder="1" applyAlignment="1">
      <alignment horizontal="right" vertical="center"/>
    </xf>
    <xf numFmtId="3" fontId="38" fillId="62" borderId="192" xfId="4" applyNumberFormat="1" applyFont="1" applyFill="1" applyBorder="1" applyAlignment="1">
      <alignment horizontal="right" vertical="center"/>
    </xf>
    <xf numFmtId="3" fontId="38" fillId="25" borderId="192" xfId="4" applyNumberFormat="1" applyFont="1" applyFill="1" applyBorder="1" applyAlignment="1">
      <alignment horizontal="right" vertical="center"/>
    </xf>
    <xf numFmtId="3" fontId="28" fillId="25" borderId="192" xfId="4" applyNumberFormat="1" applyFont="1" applyFill="1" applyBorder="1" applyAlignment="1">
      <alignment horizontal="right" vertical="center"/>
    </xf>
    <xf numFmtId="0" fontId="38" fillId="57" borderId="192" xfId="4" applyFont="1" applyFill="1" applyBorder="1" applyAlignment="1">
      <alignment vertical="top"/>
    </xf>
    <xf numFmtId="3" fontId="63" fillId="57" borderId="192" xfId="6" applyNumberFormat="1" applyFont="1" applyFill="1" applyBorder="1" applyAlignment="1">
      <alignment vertical="center"/>
    </xf>
    <xf numFmtId="43" fontId="38" fillId="57" borderId="192" xfId="1" applyFont="1" applyFill="1" applyBorder="1" applyAlignment="1">
      <alignment horizontal="right" vertical="center"/>
    </xf>
    <xf numFmtId="43" fontId="28" fillId="57" borderId="192" xfId="1" applyFont="1" applyFill="1" applyBorder="1" applyAlignment="1">
      <alignment horizontal="right" vertical="center"/>
    </xf>
    <xf numFmtId="3" fontId="38" fillId="57" borderId="192" xfId="4" applyNumberFormat="1" applyFont="1" applyFill="1" applyBorder="1" applyAlignment="1">
      <alignment horizontal="right" vertical="center"/>
    </xf>
    <xf numFmtId="3" fontId="31" fillId="25" borderId="199" xfId="4" applyNumberFormat="1" applyFont="1" applyFill="1" applyBorder="1" applyAlignment="1">
      <alignment horizontal="right" vertical="center"/>
    </xf>
    <xf numFmtId="0" fontId="39" fillId="0" borderId="199" xfId="0" applyFont="1" applyBorder="1"/>
    <xf numFmtId="3" fontId="38" fillId="25" borderId="199" xfId="4" applyNumberFormat="1" applyFont="1" applyFill="1" applyBorder="1" applyAlignment="1">
      <alignment horizontal="right" vertical="center"/>
    </xf>
    <xf numFmtId="43" fontId="7" fillId="0" borderId="192" xfId="1" applyFont="1" applyFill="1" applyBorder="1" applyAlignment="1">
      <alignment horizontal="right" vertical="center"/>
    </xf>
    <xf numFmtId="0" fontId="63" fillId="0" borderId="192" xfId="0" applyFont="1" applyFill="1" applyBorder="1" applyAlignment="1">
      <alignment horizontal="center" vertical="center" wrapText="1"/>
    </xf>
    <xf numFmtId="0" fontId="63" fillId="57" borderId="192" xfId="0" applyFont="1" applyFill="1" applyBorder="1" applyAlignment="1">
      <alignment horizontal="center" vertical="center" wrapText="1"/>
    </xf>
    <xf numFmtId="43" fontId="24" fillId="6" borderId="192" xfId="1" applyFont="1" applyFill="1" applyBorder="1" applyAlignment="1"/>
    <xf numFmtId="0" fontId="0" fillId="32" borderId="199" xfId="0" applyFont="1" applyFill="1" applyBorder="1"/>
    <xf numFmtId="43" fontId="24" fillId="32" borderId="199" xfId="1" applyFont="1" applyFill="1" applyBorder="1" applyAlignment="1"/>
    <xf numFmtId="3" fontId="31" fillId="32" borderId="199" xfId="4" applyNumberFormat="1" applyFont="1" applyFill="1" applyBorder="1" applyAlignment="1"/>
    <xf numFmtId="3" fontId="0" fillId="32" borderId="199" xfId="0" applyNumberFormat="1" applyFont="1" applyFill="1" applyBorder="1"/>
    <xf numFmtId="43" fontId="31" fillId="32" borderId="199" xfId="1" applyFont="1" applyFill="1" applyBorder="1" applyAlignment="1"/>
    <xf numFmtId="3" fontId="25" fillId="6" borderId="198" xfId="1" applyNumberFormat="1" applyFont="1" applyFill="1" applyBorder="1" applyAlignment="1">
      <alignment vertical="top"/>
    </xf>
    <xf numFmtId="3" fontId="27" fillId="2" borderId="198" xfId="1" applyNumberFormat="1" applyFont="1" applyFill="1" applyBorder="1" applyAlignment="1">
      <alignment vertical="top"/>
    </xf>
    <xf numFmtId="3" fontId="31" fillId="0" borderId="9" xfId="1" applyNumberFormat="1" applyFont="1" applyFill="1" applyBorder="1" applyAlignment="1">
      <alignment vertical="top"/>
    </xf>
    <xf numFmtId="3" fontId="27" fillId="0" borderId="198" xfId="1" applyNumberFormat="1" applyFont="1" applyFill="1" applyBorder="1" applyAlignment="1">
      <alignment vertical="top"/>
    </xf>
    <xf numFmtId="3" fontId="31" fillId="0" borderId="13" xfId="1" applyNumberFormat="1" applyFont="1" applyFill="1" applyBorder="1" applyAlignment="1">
      <alignment horizontal="right" vertical="center"/>
    </xf>
    <xf numFmtId="3" fontId="31" fillId="0" borderId="209" xfId="1" applyNumberFormat="1" applyFont="1" applyFill="1" applyBorder="1" applyAlignment="1">
      <alignment horizontal="right" vertical="center"/>
    </xf>
    <xf numFmtId="43" fontId="27" fillId="0" borderId="65" xfId="4" applyNumberFormat="1" applyFont="1" applyFill="1" applyBorder="1" applyAlignment="1">
      <alignment horizontal="right" vertical="center"/>
    </xf>
    <xf numFmtId="43" fontId="7" fillId="0" borderId="65" xfId="4" applyNumberFormat="1" applyFont="1" applyFill="1" applyBorder="1" applyAlignment="1">
      <alignment horizontal="right" vertical="center"/>
    </xf>
    <xf numFmtId="43" fontId="33" fillId="0" borderId="30" xfId="6" applyNumberFormat="1" applyFont="1" applyFill="1" applyBorder="1" applyAlignment="1">
      <alignment vertical="center"/>
    </xf>
    <xf numFmtId="0" fontId="19" fillId="2" borderId="15" xfId="0" applyFont="1" applyFill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 wrapText="1"/>
    </xf>
    <xf numFmtId="3" fontId="25" fillId="2" borderId="20" xfId="4" applyNumberFormat="1" applyFont="1" applyFill="1" applyBorder="1" applyAlignment="1">
      <alignment horizontal="center" vertical="center" wrapText="1"/>
    </xf>
    <xf numFmtId="0" fontId="25" fillId="32" borderId="12" xfId="4" applyFont="1" applyFill="1" applyBorder="1" applyAlignment="1">
      <alignment horizontal="center" vertical="center" wrapText="1"/>
    </xf>
    <xf numFmtId="43" fontId="27" fillId="0" borderId="169" xfId="1" applyFont="1" applyFill="1" applyBorder="1" applyAlignment="1">
      <alignment horizontal="right" vertical="center"/>
    </xf>
    <xf numFmtId="43" fontId="27" fillId="0" borderId="169" xfId="4" applyNumberFormat="1" applyFont="1" applyFill="1" applyBorder="1" applyAlignment="1">
      <alignment horizontal="right" vertical="center"/>
    </xf>
    <xf numFmtId="41" fontId="27" fillId="0" borderId="169" xfId="4" applyNumberFormat="1" applyFont="1" applyFill="1" applyBorder="1" applyAlignment="1">
      <alignment horizontal="right" vertical="center"/>
    </xf>
    <xf numFmtId="41" fontId="7" fillId="0" borderId="169" xfId="4" applyNumberFormat="1" applyFont="1" applyFill="1" applyBorder="1" applyAlignment="1">
      <alignment horizontal="right" vertical="center"/>
    </xf>
    <xf numFmtId="41" fontId="24" fillId="6" borderId="198" xfId="4" applyNumberFormat="1" applyFont="1" applyFill="1" applyBorder="1" applyAlignment="1">
      <alignment vertical="center"/>
    </xf>
    <xf numFmtId="41" fontId="33" fillId="0" borderId="199" xfId="6" applyNumberFormat="1" applyFont="1" applyFill="1" applyBorder="1" applyAlignment="1">
      <alignment vertical="center"/>
    </xf>
    <xf numFmtId="43" fontId="7" fillId="0" borderId="214" xfId="1" applyFont="1" applyFill="1" applyBorder="1" applyAlignment="1">
      <alignment horizontal="right" vertical="center"/>
    </xf>
    <xf numFmtId="41" fontId="7" fillId="0" borderId="209" xfId="4" applyNumberFormat="1" applyFont="1" applyFill="1" applyBorder="1" applyAlignment="1">
      <alignment horizontal="right" vertical="center"/>
    </xf>
    <xf numFmtId="43" fontId="24" fillId="6" borderId="198" xfId="1" applyNumberFormat="1" applyFont="1" applyFill="1" applyBorder="1" applyAlignment="1">
      <alignment vertical="center"/>
    </xf>
    <xf numFmtId="43" fontId="7" fillId="0" borderId="188" xfId="4" applyNumberFormat="1" applyFont="1" applyFill="1" applyBorder="1" applyAlignment="1">
      <alignment horizontal="right" vertical="center"/>
    </xf>
    <xf numFmtId="166" fontId="31" fillId="0" borderId="188" xfId="4" applyNumberFormat="1" applyFont="1" applyFill="1" applyBorder="1" applyAlignment="1">
      <alignment vertical="center"/>
    </xf>
    <xf numFmtId="166" fontId="7" fillId="0" borderId="188" xfId="1" applyNumberFormat="1" applyFont="1" applyFill="1" applyBorder="1" applyAlignment="1">
      <alignment horizontal="right" vertical="center"/>
    </xf>
    <xf numFmtId="43" fontId="27" fillId="0" borderId="188" xfId="1" applyNumberFormat="1" applyFont="1" applyFill="1" applyBorder="1" applyAlignment="1">
      <alignment horizontal="right" vertical="center"/>
    </xf>
    <xf numFmtId="43" fontId="27" fillId="0" borderId="188" xfId="4" applyNumberFormat="1" applyFont="1" applyFill="1" applyBorder="1" applyAlignment="1">
      <alignment horizontal="right" vertical="center"/>
    </xf>
    <xf numFmtId="3" fontId="24" fillId="6" borderId="198" xfId="1" applyNumberFormat="1" applyFont="1" applyFill="1" applyBorder="1" applyAlignment="1">
      <alignment vertical="center"/>
    </xf>
    <xf numFmtId="166" fontId="27" fillId="0" borderId="188" xfId="1" applyNumberFormat="1" applyFont="1" applyFill="1" applyBorder="1" applyAlignment="1">
      <alignment horizontal="right" vertical="center"/>
    </xf>
    <xf numFmtId="43" fontId="33" fillId="0" borderId="199" xfId="1" applyNumberFormat="1" applyFont="1" applyFill="1" applyBorder="1" applyAlignment="1">
      <alignment vertical="center"/>
    </xf>
    <xf numFmtId="0" fontId="0" fillId="0" borderId="8" xfId="0" applyFont="1" applyBorder="1" applyAlignment="1">
      <alignment vertical="center"/>
    </xf>
    <xf numFmtId="166" fontId="7" fillId="0" borderId="198" xfId="1" applyNumberFormat="1" applyFont="1" applyFill="1" applyBorder="1" applyAlignment="1">
      <alignment horizontal="right" vertical="center"/>
    </xf>
    <xf numFmtId="43" fontId="7" fillId="0" borderId="199" xfId="1" applyNumberFormat="1" applyFont="1" applyFill="1" applyBorder="1" applyAlignment="1">
      <alignment horizontal="right" vertical="center"/>
    </xf>
    <xf numFmtId="43" fontId="7" fillId="0" borderId="198" xfId="1" applyNumberFormat="1" applyFont="1" applyFill="1" applyBorder="1" applyAlignment="1">
      <alignment horizontal="right" vertical="center"/>
    </xf>
    <xf numFmtId="3" fontId="27" fillId="2" borderId="36" xfId="4" applyNumberFormat="1" applyFont="1" applyFill="1" applyBorder="1" applyAlignment="1">
      <alignment vertical="center" wrapText="1"/>
    </xf>
    <xf numFmtId="43" fontId="33" fillId="0" borderId="35" xfId="1" applyNumberFormat="1" applyFont="1" applyFill="1" applyBorder="1" applyAlignment="1">
      <alignment vertical="center"/>
    </xf>
    <xf numFmtId="43" fontId="33" fillId="0" borderId="35" xfId="6" applyNumberFormat="1" applyFont="1" applyFill="1" applyBorder="1" applyAlignment="1">
      <alignment vertical="center"/>
    </xf>
    <xf numFmtId="43" fontId="7" fillId="0" borderId="209" xfId="1" applyNumberFormat="1" applyFont="1" applyFill="1" applyBorder="1" applyAlignment="1">
      <alignment horizontal="right" vertical="center"/>
    </xf>
    <xf numFmtId="43" fontId="7" fillId="0" borderId="209" xfId="4" applyNumberFormat="1" applyFont="1" applyFill="1" applyBorder="1" applyAlignment="1">
      <alignment horizontal="right" vertical="center"/>
    </xf>
    <xf numFmtId="0" fontId="23" fillId="0" borderId="6" xfId="0" applyFont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3" fontId="25" fillId="2" borderId="20" xfId="4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0" fontId="7" fillId="8" borderId="43" xfId="4" applyFont="1" applyFill="1" applyBorder="1" applyAlignment="1">
      <alignment horizontal="center" vertical="center"/>
    </xf>
    <xf numFmtId="0" fontId="23" fillId="0" borderId="12" xfId="6" applyFont="1" applyBorder="1" applyAlignment="1">
      <alignment horizontal="center" vertical="center"/>
    </xf>
    <xf numFmtId="0" fontId="18" fillId="13" borderId="43" xfId="4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5" fillId="32" borderId="12" xfId="4" applyFont="1" applyFill="1" applyBorder="1" applyAlignment="1">
      <alignment horizontal="center" vertical="center" wrapText="1"/>
    </xf>
    <xf numFmtId="0" fontId="17" fillId="0" borderId="25" xfId="4" applyFont="1" applyBorder="1" applyAlignment="1">
      <alignment horizontal="center" vertical="center"/>
    </xf>
    <xf numFmtId="0" fontId="71" fillId="2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66" fillId="37" borderId="87" xfId="4" applyFont="1" applyFill="1" applyBorder="1" applyAlignment="1">
      <alignment horizontal="left" vertical="center"/>
    </xf>
    <xf numFmtId="0" fontId="0" fillId="37" borderId="50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3" fontId="62" fillId="10" borderId="211" xfId="0" applyNumberFormat="1" applyFont="1" applyFill="1" applyBorder="1" applyAlignment="1">
      <alignment horizontal="center" vertical="center" wrapText="1"/>
    </xf>
    <xf numFmtId="0" fontId="0" fillId="10" borderId="26" xfId="0" applyFont="1" applyFill="1" applyBorder="1" applyAlignment="1">
      <alignment horizontal="center" vertical="center" wrapText="1"/>
    </xf>
    <xf numFmtId="0" fontId="0" fillId="10" borderId="68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3" fontId="62" fillId="10" borderId="204" xfId="0" applyNumberFormat="1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 wrapText="1"/>
    </xf>
    <xf numFmtId="0" fontId="0" fillId="10" borderId="25" xfId="0" applyFont="1" applyFill="1" applyBorder="1" applyAlignment="1">
      <alignment horizontal="center" vertical="center" wrapText="1"/>
    </xf>
    <xf numFmtId="0" fontId="8" fillId="0" borderId="110" xfId="0" applyFont="1" applyBorder="1" applyAlignment="1">
      <alignment horizontal="center"/>
    </xf>
    <xf numFmtId="0" fontId="8" fillId="0" borderId="107" xfId="0" applyFont="1" applyBorder="1" applyAlignment="1">
      <alignment horizontal="center"/>
    </xf>
    <xf numFmtId="0" fontId="36" fillId="15" borderId="4" xfId="0" applyFont="1" applyFill="1" applyBorder="1" applyAlignment="1">
      <alignment horizontal="center" vertical="center" wrapText="1"/>
    </xf>
    <xf numFmtId="0" fontId="36" fillId="15" borderId="23" xfId="0" applyFont="1" applyFill="1" applyBorder="1" applyAlignment="1">
      <alignment horizontal="center" vertical="center" wrapText="1"/>
    </xf>
    <xf numFmtId="0" fontId="36" fillId="16" borderId="4" xfId="0" applyFont="1" applyFill="1" applyBorder="1" applyAlignment="1">
      <alignment horizontal="center" wrapText="1"/>
    </xf>
    <xf numFmtId="0" fontId="36" fillId="16" borderId="23" xfId="0" applyFont="1" applyFill="1" applyBorder="1" applyAlignment="1">
      <alignment horizontal="center" wrapText="1"/>
    </xf>
    <xf numFmtId="0" fontId="70" fillId="2" borderId="0" xfId="0" applyFont="1" applyFill="1" applyBorder="1" applyAlignment="1">
      <alignment horizontal="center" wrapText="1"/>
    </xf>
    <xf numFmtId="0" fontId="40" fillId="2" borderId="2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25" fillId="0" borderId="15" xfId="4" applyFont="1" applyBorder="1" applyAlignment="1">
      <alignment horizontal="center" vertical="center" wrapText="1"/>
    </xf>
    <xf numFmtId="0" fontId="25" fillId="0" borderId="13" xfId="4" applyFont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 wrapText="1"/>
    </xf>
    <xf numFmtId="3" fontId="25" fillId="25" borderId="177" xfId="4" applyNumberFormat="1" applyFont="1" applyFill="1" applyBorder="1" applyAlignment="1">
      <alignment horizontal="center" vertical="center"/>
    </xf>
    <xf numFmtId="3" fontId="25" fillId="25" borderId="13" xfId="4" applyNumberFormat="1" applyFont="1" applyFill="1" applyBorder="1" applyAlignment="1">
      <alignment horizontal="center" vertical="center"/>
    </xf>
    <xf numFmtId="3" fontId="25" fillId="25" borderId="12" xfId="4" applyNumberFormat="1" applyFont="1" applyFill="1" applyBorder="1" applyAlignment="1">
      <alignment horizontal="center" vertical="center"/>
    </xf>
    <xf numFmtId="3" fontId="25" fillId="26" borderId="195" xfId="4" applyNumberFormat="1" applyFont="1" applyFill="1" applyBorder="1" applyAlignment="1">
      <alignment horizontal="center" vertical="center"/>
    </xf>
    <xf numFmtId="3" fontId="25" fillId="26" borderId="13" xfId="4" applyNumberFormat="1" applyFont="1" applyFill="1" applyBorder="1" applyAlignment="1">
      <alignment horizontal="center" vertical="center"/>
    </xf>
    <xf numFmtId="3" fontId="25" fillId="26" borderId="12" xfId="4" applyNumberFormat="1" applyFont="1" applyFill="1" applyBorder="1" applyAlignment="1">
      <alignment horizontal="center" vertical="center"/>
    </xf>
    <xf numFmtId="3" fontId="25" fillId="26" borderId="63" xfId="4" applyNumberFormat="1" applyFont="1" applyFill="1" applyBorder="1" applyAlignment="1">
      <alignment horizontal="center" vertical="center"/>
    </xf>
    <xf numFmtId="3" fontId="24" fillId="26" borderId="63" xfId="4" applyNumberFormat="1" applyFont="1" applyFill="1" applyBorder="1" applyAlignment="1">
      <alignment horizontal="center" vertical="center"/>
    </xf>
    <xf numFmtId="3" fontId="24" fillId="26" borderId="13" xfId="4" applyNumberFormat="1" applyFont="1" applyFill="1" applyBorder="1" applyAlignment="1">
      <alignment horizontal="center" vertical="center"/>
    </xf>
    <xf numFmtId="3" fontId="24" fillId="26" borderId="12" xfId="4" applyNumberFormat="1" applyFont="1" applyFill="1" applyBorder="1" applyAlignment="1">
      <alignment horizontal="center" vertical="center"/>
    </xf>
    <xf numFmtId="3" fontId="25" fillId="25" borderId="195" xfId="4" applyNumberFormat="1" applyFont="1" applyFill="1" applyBorder="1" applyAlignment="1">
      <alignment horizontal="center" vertical="center"/>
    </xf>
    <xf numFmtId="43" fontId="24" fillId="22" borderId="195" xfId="1" applyFont="1" applyFill="1" applyBorder="1" applyAlignment="1">
      <alignment horizontal="center" vertical="center"/>
    </xf>
    <xf numFmtId="43" fontId="24" fillId="22" borderId="13" xfId="1" applyFont="1" applyFill="1" applyBorder="1" applyAlignment="1">
      <alignment horizontal="center" vertical="center"/>
    </xf>
    <xf numFmtId="43" fontId="24" fillId="22" borderId="12" xfId="1" applyFont="1" applyFill="1" applyBorder="1" applyAlignment="1">
      <alignment horizontal="center" vertical="center"/>
    </xf>
    <xf numFmtId="0" fontId="24" fillId="2" borderId="5" xfId="4" applyFont="1" applyFill="1" applyBorder="1" applyAlignment="1">
      <alignment horizontal="center" vertical="center"/>
    </xf>
    <xf numFmtId="0" fontId="24" fillId="2" borderId="11" xfId="4" applyFont="1" applyFill="1" applyBorder="1" applyAlignment="1">
      <alignment horizontal="center" vertical="center"/>
    </xf>
    <xf numFmtId="0" fontId="24" fillId="2" borderId="25" xfId="4" applyFont="1" applyFill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 wrapText="1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3" fontId="25" fillId="2" borderId="197" xfId="4" applyNumberFormat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37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23" fillId="0" borderId="197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" fontId="25" fillId="25" borderId="63" xfId="4" applyNumberFormat="1" applyFont="1" applyFill="1" applyBorder="1" applyAlignment="1">
      <alignment horizontal="center" vertical="center"/>
    </xf>
    <xf numFmtId="3" fontId="25" fillId="2" borderId="73" xfId="4" applyNumberFormat="1" applyFont="1" applyFill="1" applyBorder="1" applyAlignment="1">
      <alignment horizontal="center" vertical="center" wrapText="1"/>
    </xf>
    <xf numFmtId="0" fontId="23" fillId="0" borderId="137" xfId="0" applyFont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3" fontId="18" fillId="0" borderId="136" xfId="4" applyNumberFormat="1" applyFont="1" applyFill="1" applyBorder="1" applyAlignment="1">
      <alignment horizontal="center" vertical="center" wrapText="1"/>
    </xf>
    <xf numFmtId="3" fontId="24" fillId="26" borderId="195" xfId="4" applyNumberFormat="1" applyFont="1" applyFill="1" applyBorder="1" applyAlignment="1">
      <alignment horizontal="center" vertical="center"/>
    </xf>
    <xf numFmtId="3" fontId="31" fillId="26" borderId="195" xfId="4" applyNumberFormat="1" applyFont="1" applyFill="1" applyBorder="1" applyAlignment="1">
      <alignment horizontal="center" vertical="center"/>
    </xf>
    <xf numFmtId="3" fontId="31" fillId="26" borderId="13" xfId="4" applyNumberFormat="1" applyFont="1" applyFill="1" applyBorder="1" applyAlignment="1">
      <alignment horizontal="center" vertical="center"/>
    </xf>
    <xf numFmtId="3" fontId="31" fillId="26" borderId="12" xfId="4" applyNumberFormat="1" applyFont="1" applyFill="1" applyBorder="1" applyAlignment="1">
      <alignment horizontal="center" vertical="center"/>
    </xf>
    <xf numFmtId="3" fontId="32" fillId="25" borderId="195" xfId="6" applyNumberFormat="1" applyFont="1" applyFill="1" applyBorder="1" applyAlignment="1">
      <alignment horizontal="center" vertical="center"/>
    </xf>
    <xf numFmtId="3" fontId="32" fillId="25" borderId="13" xfId="6" applyNumberFormat="1" applyFont="1" applyFill="1" applyBorder="1" applyAlignment="1">
      <alignment horizontal="center" vertical="center"/>
    </xf>
    <xf numFmtId="3" fontId="32" fillId="25" borderId="12" xfId="6" applyNumberFormat="1" applyFont="1" applyFill="1" applyBorder="1" applyAlignment="1">
      <alignment horizontal="center" vertical="center"/>
    </xf>
    <xf numFmtId="3" fontId="25" fillId="26" borderId="177" xfId="4" applyNumberFormat="1" applyFont="1" applyFill="1" applyBorder="1" applyAlignment="1">
      <alignment horizontal="center" vertical="center"/>
    </xf>
    <xf numFmtId="3" fontId="24" fillId="26" borderId="177" xfId="4" applyNumberFormat="1" applyFont="1" applyFill="1" applyBorder="1" applyAlignment="1">
      <alignment horizontal="center" vertical="center"/>
    </xf>
    <xf numFmtId="3" fontId="24" fillId="26" borderId="188" xfId="4" applyNumberFormat="1" applyFont="1" applyFill="1" applyBorder="1" applyAlignment="1">
      <alignment horizontal="center" vertical="center"/>
    </xf>
    <xf numFmtId="3" fontId="24" fillId="26" borderId="27" xfId="4" applyNumberFormat="1" applyFont="1" applyFill="1" applyBorder="1" applyAlignment="1">
      <alignment horizontal="center" vertical="center"/>
    </xf>
    <xf numFmtId="3" fontId="24" fillId="26" borderId="23" xfId="4" applyNumberFormat="1" applyFont="1" applyFill="1" applyBorder="1" applyAlignment="1">
      <alignment horizontal="center" vertical="center"/>
    </xf>
    <xf numFmtId="3" fontId="25" fillId="26" borderId="101" xfId="4" applyNumberFormat="1" applyFont="1" applyFill="1" applyBorder="1" applyAlignment="1">
      <alignment horizontal="center" vertical="center"/>
    </xf>
    <xf numFmtId="43" fontId="24" fillId="22" borderId="110" xfId="1" applyFont="1" applyFill="1" applyBorder="1" applyAlignment="1">
      <alignment horizontal="center" vertical="center"/>
    </xf>
    <xf numFmtId="43" fontId="24" fillId="22" borderId="10" xfId="1" applyFont="1" applyFill="1" applyBorder="1" applyAlignment="1">
      <alignment horizontal="center" vertical="center"/>
    </xf>
    <xf numFmtId="43" fontId="24" fillId="22" borderId="74" xfId="1" applyFont="1" applyFill="1" applyBorder="1" applyAlignment="1">
      <alignment horizontal="center" vertical="center"/>
    </xf>
    <xf numFmtId="0" fontId="22" fillId="0" borderId="8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43" fontId="24" fillId="22" borderId="62" xfId="1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 wrapText="1"/>
    </xf>
    <xf numFmtId="3" fontId="25" fillId="2" borderId="20" xfId="4" applyNumberFormat="1" applyFont="1" applyFill="1" applyBorder="1" applyAlignment="1">
      <alignment horizontal="center" vertical="center" wrapText="1"/>
    </xf>
    <xf numFmtId="0" fontId="24" fillId="27" borderId="5" xfId="4" applyFont="1" applyFill="1" applyBorder="1" applyAlignment="1">
      <alignment horizontal="center" vertical="center" wrapText="1"/>
    </xf>
    <xf numFmtId="0" fontId="24" fillId="27" borderId="11" xfId="4" applyFont="1" applyFill="1" applyBorder="1" applyAlignment="1">
      <alignment horizontal="center" vertical="center" wrapText="1"/>
    </xf>
    <xf numFmtId="0" fontId="24" fillId="27" borderId="25" xfId="4" applyFont="1" applyFill="1" applyBorder="1" applyAlignment="1">
      <alignment horizontal="center" vertical="center" wrapText="1"/>
    </xf>
    <xf numFmtId="0" fontId="24" fillId="0" borderId="5" xfId="4" applyFont="1" applyFill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3" fontId="31" fillId="25" borderId="27" xfId="4" applyNumberFormat="1" applyFont="1" applyFill="1" applyBorder="1" applyAlignment="1">
      <alignment horizontal="center" vertical="center"/>
    </xf>
    <xf numFmtId="3" fontId="31" fillId="25" borderId="23" xfId="4" applyNumberFormat="1" applyFont="1" applyFill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3" fontId="25" fillId="2" borderId="22" xfId="4" applyNumberFormat="1" applyFont="1" applyFill="1" applyBorder="1" applyAlignment="1">
      <alignment horizontal="center" vertical="center" wrapText="1"/>
    </xf>
    <xf numFmtId="0" fontId="22" fillId="0" borderId="205" xfId="0" applyFont="1" applyBorder="1" applyAlignment="1">
      <alignment horizontal="center" vertical="center" wrapText="1"/>
    </xf>
    <xf numFmtId="3" fontId="18" fillId="0" borderId="205" xfId="4" applyNumberFormat="1" applyFont="1" applyFill="1" applyBorder="1" applyAlignment="1">
      <alignment horizontal="center" vertical="center" wrapText="1"/>
    </xf>
    <xf numFmtId="0" fontId="24" fillId="0" borderId="5" xfId="4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18" fillId="0" borderId="42" xfId="4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3" fontId="25" fillId="2" borderId="6" xfId="4" applyNumberFormat="1" applyFont="1" applyFill="1" applyBorder="1" applyAlignment="1">
      <alignment horizontal="center" vertical="center" wrapText="1"/>
    </xf>
    <xf numFmtId="3" fontId="18" fillId="0" borderId="82" xfId="4" applyNumberFormat="1" applyFont="1" applyFill="1" applyBorder="1" applyAlignment="1">
      <alignment horizontal="center" vertical="center" wrapText="1"/>
    </xf>
    <xf numFmtId="0" fontId="18" fillId="0" borderId="43" xfId="4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3" fontId="24" fillId="2" borderId="137" xfId="4" applyNumberFormat="1" applyFont="1" applyFill="1" applyBorder="1" applyAlignment="1">
      <alignment horizontal="center" vertical="center" wrapText="1"/>
    </xf>
    <xf numFmtId="3" fontId="24" fillId="2" borderId="6" xfId="4" applyNumberFormat="1" applyFont="1" applyFill="1" applyBorder="1" applyAlignment="1">
      <alignment horizontal="center" vertical="center" wrapText="1"/>
    </xf>
    <xf numFmtId="3" fontId="24" fillId="2" borderId="20" xfId="4" applyNumberFormat="1" applyFont="1" applyFill="1" applyBorder="1" applyAlignment="1">
      <alignment horizontal="center" vertical="center" wrapText="1"/>
    </xf>
    <xf numFmtId="0" fontId="22" fillId="0" borderId="136" xfId="0" applyFont="1" applyBorder="1" applyAlignment="1">
      <alignment horizontal="center" vertical="center" wrapText="1"/>
    </xf>
    <xf numFmtId="3" fontId="25" fillId="2" borderId="137" xfId="4" applyNumberFormat="1" applyFont="1" applyFill="1" applyBorder="1" applyAlignment="1">
      <alignment horizontal="center" vertical="center" wrapText="1"/>
    </xf>
    <xf numFmtId="0" fontId="18" fillId="13" borderId="42" xfId="4" applyFont="1" applyFill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/>
    </xf>
    <xf numFmtId="0" fontId="17" fillId="0" borderId="25" xfId="4" applyFont="1" applyFill="1" applyBorder="1" applyAlignment="1">
      <alignment horizontal="center" vertical="center"/>
    </xf>
    <xf numFmtId="0" fontId="25" fillId="2" borderId="137" xfId="4" applyFont="1" applyFill="1" applyBorder="1" applyAlignment="1">
      <alignment horizontal="center" vertical="center" wrapText="1"/>
    </xf>
    <xf numFmtId="0" fontId="32" fillId="0" borderId="6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13" borderId="5" xfId="4" applyFont="1" applyFill="1" applyBorder="1" applyAlignment="1">
      <alignment horizontal="center" vertical="center"/>
    </xf>
    <xf numFmtId="0" fontId="24" fillId="13" borderId="11" xfId="4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3" fontId="25" fillId="2" borderId="105" xfId="4" applyNumberFormat="1" applyFont="1" applyFill="1" applyBorder="1" applyAlignment="1">
      <alignment horizontal="center" vertical="center" wrapText="1"/>
    </xf>
    <xf numFmtId="0" fontId="32" fillId="0" borderId="136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3" fontId="24" fillId="2" borderId="197" xfId="4" applyNumberFormat="1" applyFont="1" applyFill="1" applyBorder="1" applyAlignment="1">
      <alignment horizontal="center" vertical="center" wrapText="1"/>
    </xf>
    <xf numFmtId="3" fontId="24" fillId="26" borderId="101" xfId="4" applyNumberFormat="1" applyFont="1" applyFill="1" applyBorder="1" applyAlignment="1">
      <alignment horizontal="center" vertical="center"/>
    </xf>
    <xf numFmtId="0" fontId="25" fillId="2" borderId="197" xfId="4" applyFont="1" applyFill="1" applyBorder="1" applyAlignment="1">
      <alignment horizontal="center" vertical="center" wrapText="1"/>
    </xf>
    <xf numFmtId="0" fontId="16" fillId="2" borderId="0" xfId="4" applyFont="1" applyFill="1" applyBorder="1" applyAlignment="1">
      <alignment horizontal="left" vertical="center" wrapText="1"/>
    </xf>
    <xf numFmtId="0" fontId="18" fillId="0" borderId="14" xfId="4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2" fillId="0" borderId="74" xfId="6" applyFont="1" applyBorder="1" applyAlignment="1">
      <alignment horizontal="center" vertical="center" wrapText="1"/>
    </xf>
    <xf numFmtId="0" fontId="21" fillId="0" borderId="66" xfId="4" applyFont="1" applyBorder="1" applyAlignment="1">
      <alignment horizontal="center" vertical="center" wrapText="1"/>
    </xf>
    <xf numFmtId="0" fontId="21" fillId="0" borderId="69" xfId="4" applyFont="1" applyBorder="1" applyAlignment="1">
      <alignment horizontal="center" vertical="center" wrapText="1"/>
    </xf>
    <xf numFmtId="0" fontId="18" fillId="8" borderId="5" xfId="4" applyFont="1" applyFill="1" applyBorder="1" applyAlignment="1">
      <alignment horizontal="center" vertical="center" wrapText="1"/>
    </xf>
    <xf numFmtId="0" fontId="18" fillId="8" borderId="11" xfId="4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20" fillId="19" borderId="15" xfId="4" applyFont="1" applyFill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3" fontId="25" fillId="23" borderId="177" xfId="4" applyNumberFormat="1" applyFont="1" applyFill="1" applyBorder="1" applyAlignment="1">
      <alignment horizontal="center" vertical="center"/>
    </xf>
    <xf numFmtId="3" fontId="25" fillId="23" borderId="13" xfId="4" applyNumberFormat="1" applyFont="1" applyFill="1" applyBorder="1" applyAlignment="1">
      <alignment horizontal="center" vertical="center"/>
    </xf>
    <xf numFmtId="3" fontId="25" fillId="23" borderId="35" xfId="4" applyNumberFormat="1" applyFont="1" applyFill="1" applyBorder="1" applyAlignment="1">
      <alignment horizontal="center" vertical="center"/>
    </xf>
    <xf numFmtId="3" fontId="24" fillId="24" borderId="177" xfId="4" applyNumberFormat="1" applyFont="1" applyFill="1" applyBorder="1" applyAlignment="1">
      <alignment horizontal="center" vertical="center"/>
    </xf>
    <xf numFmtId="3" fontId="24" fillId="24" borderId="13" xfId="4" applyNumberFormat="1" applyFont="1" applyFill="1" applyBorder="1" applyAlignment="1">
      <alignment horizontal="center" vertical="center"/>
    </xf>
    <xf numFmtId="3" fontId="24" fillId="24" borderId="12" xfId="4" applyNumberFormat="1" applyFont="1" applyFill="1" applyBorder="1" applyAlignment="1">
      <alignment horizontal="center" vertical="center"/>
    </xf>
    <xf numFmtId="0" fontId="25" fillId="0" borderId="79" xfId="4" applyFont="1" applyBorder="1" applyAlignment="1">
      <alignment horizontal="center" vertical="center" wrapText="1"/>
    </xf>
    <xf numFmtId="0" fontId="25" fillId="0" borderId="18" xfId="4" applyFont="1" applyBorder="1" applyAlignment="1">
      <alignment horizontal="center" vertical="center" wrapText="1"/>
    </xf>
    <xf numFmtId="0" fontId="25" fillId="0" borderId="17" xfId="4" applyFont="1" applyBorder="1" applyAlignment="1">
      <alignment horizontal="center" vertical="center" wrapText="1"/>
    </xf>
    <xf numFmtId="0" fontId="23" fillId="0" borderId="15" xfId="6" applyFont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 wrapText="1"/>
    </xf>
    <xf numFmtId="0" fontId="17" fillId="0" borderId="11" xfId="4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 wrapText="1"/>
    </xf>
    <xf numFmtId="0" fontId="22" fillId="0" borderId="109" xfId="0" applyFont="1" applyBorder="1" applyAlignment="1">
      <alignment horizontal="center" vertical="center" wrapText="1"/>
    </xf>
    <xf numFmtId="0" fontId="32" fillId="0" borderId="205" xfId="0" applyFont="1" applyBorder="1" applyAlignment="1">
      <alignment horizontal="center" vertical="center" wrapText="1"/>
    </xf>
    <xf numFmtId="0" fontId="18" fillId="0" borderId="82" xfId="4" applyFont="1" applyFill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3" fontId="25" fillId="26" borderId="169" xfId="4" applyNumberFormat="1" applyFont="1" applyFill="1" applyBorder="1" applyAlignment="1">
      <alignment horizontal="center" vertical="center"/>
    </xf>
    <xf numFmtId="3" fontId="25" fillId="26" borderId="27" xfId="4" applyNumberFormat="1" applyFont="1" applyFill="1" applyBorder="1" applyAlignment="1">
      <alignment horizontal="center" vertical="center"/>
    </xf>
    <xf numFmtId="3" fontId="25" fillId="26" borderId="23" xfId="4" applyNumberFormat="1" applyFont="1" applyFill="1" applyBorder="1" applyAlignment="1">
      <alignment horizontal="center" vertical="center"/>
    </xf>
    <xf numFmtId="0" fontId="0" fillId="0" borderId="26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7" fillId="8" borderId="43" xfId="4" applyFont="1" applyFill="1" applyBorder="1" applyAlignment="1">
      <alignment horizontal="center" vertical="center"/>
    </xf>
    <xf numFmtId="0" fontId="7" fillId="8" borderId="41" xfId="4" applyFont="1" applyFill="1" applyBorder="1" applyAlignment="1">
      <alignment horizontal="center" vertical="center"/>
    </xf>
    <xf numFmtId="3" fontId="18" fillId="27" borderId="42" xfId="4" applyNumberFormat="1" applyFont="1" applyFill="1" applyBorder="1" applyAlignment="1">
      <alignment horizontal="center" vertical="center" wrapText="1"/>
    </xf>
    <xf numFmtId="3" fontId="18" fillId="27" borderId="43" xfId="4" applyNumberFormat="1" applyFont="1" applyFill="1" applyBorder="1" applyAlignment="1">
      <alignment horizontal="center" vertical="center" wrapText="1"/>
    </xf>
    <xf numFmtId="0" fontId="25" fillId="2" borderId="6" xfId="4" applyFont="1" applyFill="1" applyBorder="1" applyAlignment="1">
      <alignment horizontal="center" vertical="center" wrapText="1"/>
    </xf>
    <xf numFmtId="0" fontId="26" fillId="0" borderId="197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2" fillId="2" borderId="26" xfId="0" applyFont="1" applyFill="1" applyBorder="1" applyAlignment="1">
      <alignment horizontal="left" vertical="center" wrapText="1"/>
    </xf>
    <xf numFmtId="3" fontId="32" fillId="0" borderId="26" xfId="0" applyNumberFormat="1" applyFont="1" applyBorder="1" applyAlignment="1">
      <alignment horizontal="left" vertical="center" wrapText="1"/>
    </xf>
    <xf numFmtId="0" fontId="23" fillId="0" borderId="105" xfId="0" applyFont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/>
    </xf>
    <xf numFmtId="3" fontId="18" fillId="0" borderId="41" xfId="4" applyNumberFormat="1" applyFont="1" applyFill="1" applyBorder="1" applyAlignment="1">
      <alignment horizontal="center" vertical="center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17" fillId="27" borderId="5" xfId="4" applyFont="1" applyFill="1" applyBorder="1" applyAlignment="1">
      <alignment horizontal="center" vertical="center"/>
    </xf>
    <xf numFmtId="0" fontId="17" fillId="27" borderId="11" xfId="4" applyFont="1" applyFill="1" applyBorder="1" applyAlignment="1">
      <alignment horizontal="center" vertical="center"/>
    </xf>
    <xf numFmtId="0" fontId="17" fillId="27" borderId="25" xfId="4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8" fillId="0" borderId="49" xfId="4" applyFont="1" applyFill="1" applyBorder="1" applyAlignment="1">
      <alignment horizontal="center" vertical="center" wrapText="1"/>
    </xf>
    <xf numFmtId="0" fontId="18" fillId="0" borderId="48" xfId="4" applyFont="1" applyFill="1" applyBorder="1" applyAlignment="1">
      <alignment horizontal="center" vertical="center" wrapText="1"/>
    </xf>
    <xf numFmtId="0" fontId="24" fillId="27" borderId="66" xfId="4" applyFont="1" applyFill="1" applyBorder="1" applyAlignment="1">
      <alignment horizontal="center" vertical="center" wrapText="1"/>
    </xf>
    <xf numFmtId="0" fontId="24" fillId="27" borderId="67" xfId="4" applyFont="1" applyFill="1" applyBorder="1" applyAlignment="1">
      <alignment horizontal="center" vertical="center" wrapText="1"/>
    </xf>
    <xf numFmtId="0" fontId="24" fillId="27" borderId="69" xfId="4" applyFont="1" applyFill="1" applyBorder="1" applyAlignment="1">
      <alignment horizontal="center" vertical="center" wrapText="1"/>
    </xf>
    <xf numFmtId="0" fontId="17" fillId="0" borderId="16" xfId="4" quotePrefix="1" applyFont="1" applyFill="1" applyBorder="1" applyAlignment="1">
      <alignment horizontal="center" vertical="center" wrapText="1"/>
    </xf>
    <xf numFmtId="0" fontId="17" fillId="0" borderId="200" xfId="4" applyFont="1" applyFill="1" applyBorder="1" applyAlignment="1">
      <alignment horizontal="center" vertical="center" wrapText="1"/>
    </xf>
    <xf numFmtId="0" fontId="24" fillId="0" borderId="44" xfId="4" applyFont="1" applyFill="1" applyBorder="1" applyAlignment="1">
      <alignment horizontal="center" vertical="center" wrapText="1"/>
    </xf>
    <xf numFmtId="0" fontId="24" fillId="0" borderId="194" xfId="4" applyFont="1" applyFill="1" applyBorder="1" applyAlignment="1">
      <alignment horizontal="center" vertical="center" wrapText="1"/>
    </xf>
    <xf numFmtId="3" fontId="25" fillId="0" borderId="192" xfId="4" applyNumberFormat="1" applyFont="1" applyFill="1" applyBorder="1" applyAlignment="1">
      <alignment horizontal="center" vertical="center" wrapText="1"/>
    </xf>
    <xf numFmtId="0" fontId="32" fillId="0" borderId="192" xfId="0" applyFont="1" applyFill="1" applyBorder="1" applyAlignment="1">
      <alignment horizontal="center" vertical="center" wrapText="1"/>
    </xf>
    <xf numFmtId="0" fontId="32" fillId="0" borderId="199" xfId="0" applyFont="1" applyFill="1" applyBorder="1" applyAlignment="1">
      <alignment horizontal="center" vertical="center" wrapText="1"/>
    </xf>
    <xf numFmtId="3" fontId="24" fillId="26" borderId="192" xfId="4" applyNumberFormat="1" applyFont="1" applyFill="1" applyBorder="1" applyAlignment="1">
      <alignment horizontal="center" vertical="center"/>
    </xf>
    <xf numFmtId="3" fontId="24" fillId="26" borderId="199" xfId="4" applyNumberFormat="1" applyFont="1" applyFill="1" applyBorder="1" applyAlignment="1">
      <alignment horizontal="center" vertical="center"/>
    </xf>
    <xf numFmtId="3" fontId="24" fillId="26" borderId="127" xfId="4" applyNumberFormat="1" applyFont="1" applyFill="1" applyBorder="1" applyAlignment="1">
      <alignment horizontal="center" vertical="center"/>
    </xf>
    <xf numFmtId="0" fontId="23" fillId="0" borderId="177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17" fillId="0" borderId="189" xfId="4" applyFont="1" applyFill="1" applyBorder="1" applyAlignment="1">
      <alignment horizontal="center" vertical="center" wrapText="1"/>
    </xf>
    <xf numFmtId="0" fontId="0" fillId="0" borderId="189" xfId="0" applyFont="1" applyBorder="1" applyAlignment="1">
      <alignment horizontal="center" vertical="center" wrapText="1"/>
    </xf>
    <xf numFmtId="0" fontId="0" fillId="0" borderId="200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23" fillId="0" borderId="195" xfId="0" applyFont="1" applyFill="1" applyBorder="1" applyAlignment="1">
      <alignment horizontal="center" vertical="center" wrapText="1"/>
    </xf>
    <xf numFmtId="0" fontId="24" fillId="0" borderId="42" xfId="4" applyFont="1" applyFill="1" applyBorder="1" applyAlignment="1">
      <alignment horizontal="center" vertical="center" wrapText="1"/>
    </xf>
    <xf numFmtId="0" fontId="24" fillId="0" borderId="43" xfId="4" applyFont="1" applyFill="1" applyBorder="1" applyAlignment="1">
      <alignment horizontal="center" vertical="center" wrapText="1"/>
    </xf>
    <xf numFmtId="0" fontId="24" fillId="0" borderId="46" xfId="4" applyFont="1" applyFill="1" applyBorder="1" applyAlignment="1">
      <alignment horizontal="center" vertical="center" wrapText="1"/>
    </xf>
    <xf numFmtId="0" fontId="37" fillId="0" borderId="205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3" fontId="24" fillId="26" borderId="167" xfId="4" applyNumberFormat="1" applyFont="1" applyFill="1" applyBorder="1" applyAlignment="1">
      <alignment horizontal="center" vertical="center"/>
    </xf>
    <xf numFmtId="3" fontId="24" fillId="26" borderId="209" xfId="4" applyNumberFormat="1" applyFont="1" applyFill="1" applyBorder="1" applyAlignment="1">
      <alignment horizontal="center" vertical="center"/>
    </xf>
    <xf numFmtId="3" fontId="24" fillId="26" borderId="183" xfId="4" applyNumberFormat="1" applyFont="1" applyFill="1" applyBorder="1" applyAlignment="1">
      <alignment horizontal="center" vertical="center"/>
    </xf>
    <xf numFmtId="0" fontId="17" fillId="0" borderId="44" xfId="4" applyFont="1" applyFill="1" applyBorder="1" applyAlignment="1">
      <alignment horizontal="center" vertical="center" wrapText="1"/>
    </xf>
    <xf numFmtId="0" fontId="17" fillId="0" borderId="194" xfId="4" applyFont="1" applyFill="1" applyBorder="1" applyAlignment="1">
      <alignment horizontal="center" vertical="center" wrapText="1"/>
    </xf>
    <xf numFmtId="0" fontId="37" fillId="0" borderId="194" xfId="0" applyFont="1" applyBorder="1" applyAlignment="1">
      <alignment horizontal="center" vertical="center" wrapText="1"/>
    </xf>
    <xf numFmtId="0" fontId="37" fillId="0" borderId="129" xfId="0" applyFont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195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17" fillId="0" borderId="20" xfId="4" applyFont="1" applyFill="1" applyBorder="1" applyAlignment="1">
      <alignment horizontal="center" vertical="center"/>
    </xf>
    <xf numFmtId="0" fontId="17" fillId="0" borderId="172" xfId="4" applyFont="1" applyFill="1" applyBorder="1" applyAlignment="1">
      <alignment horizontal="center" vertical="center"/>
    </xf>
    <xf numFmtId="0" fontId="17" fillId="0" borderId="37" xfId="4" applyFont="1" applyFill="1" applyBorder="1" applyAlignment="1">
      <alignment horizontal="center" vertical="center"/>
    </xf>
    <xf numFmtId="0" fontId="17" fillId="0" borderId="46" xfId="4" applyFont="1" applyFill="1" applyBorder="1" applyAlignment="1">
      <alignment horizontal="center" vertical="center" wrapText="1"/>
    </xf>
    <xf numFmtId="0" fontId="17" fillId="0" borderId="170" xfId="4" applyFont="1" applyFill="1" applyBorder="1" applyAlignment="1">
      <alignment horizontal="center" vertical="center" wrapText="1"/>
    </xf>
    <xf numFmtId="0" fontId="37" fillId="0" borderId="170" xfId="0" applyFont="1" applyFill="1" applyBorder="1" applyAlignment="1">
      <alignment horizontal="center" vertical="center" wrapText="1"/>
    </xf>
    <xf numFmtId="0" fontId="37" fillId="0" borderId="129" xfId="0" applyFont="1" applyFill="1" applyBorder="1" applyAlignment="1">
      <alignment horizontal="center" vertical="center" wrapText="1"/>
    </xf>
    <xf numFmtId="3" fontId="25" fillId="2" borderId="167" xfId="4" applyNumberFormat="1" applyFont="1" applyFill="1" applyBorder="1" applyAlignment="1">
      <alignment horizontal="center" vertical="center" wrapText="1"/>
    </xf>
    <xf numFmtId="0" fontId="32" fillId="0" borderId="167" xfId="0" applyFont="1" applyBorder="1" applyAlignment="1">
      <alignment horizontal="center" vertical="center" wrapText="1"/>
    </xf>
    <xf numFmtId="0" fontId="23" fillId="0" borderId="167" xfId="0" applyFont="1" applyBorder="1" applyAlignment="1">
      <alignment horizontal="center" vertical="center" wrapText="1"/>
    </xf>
    <xf numFmtId="0" fontId="23" fillId="0" borderId="127" xfId="0" applyFont="1" applyBorder="1" applyAlignment="1">
      <alignment horizontal="center" vertical="center" wrapText="1"/>
    </xf>
    <xf numFmtId="3" fontId="25" fillId="2" borderId="183" xfId="4" applyNumberFormat="1" applyFont="1" applyFill="1" applyBorder="1" applyAlignment="1">
      <alignment horizontal="center" vertical="center" wrapText="1"/>
    </xf>
    <xf numFmtId="0" fontId="32" fillId="0" borderId="183" xfId="0" applyFont="1" applyBorder="1" applyAlignment="1">
      <alignment horizontal="center" vertical="center" wrapText="1"/>
    </xf>
    <xf numFmtId="0" fontId="23" fillId="0" borderId="183" xfId="0" applyFont="1" applyBorder="1" applyAlignment="1">
      <alignment horizontal="center" vertical="center" wrapText="1"/>
    </xf>
    <xf numFmtId="3" fontId="24" fillId="22" borderId="167" xfId="4" applyNumberFormat="1" applyFont="1" applyFill="1" applyBorder="1" applyAlignment="1">
      <alignment horizontal="center" vertical="center"/>
    </xf>
    <xf numFmtId="3" fontId="24" fillId="22" borderId="177" xfId="4" applyNumberFormat="1" applyFont="1" applyFill="1" applyBorder="1" applyAlignment="1">
      <alignment horizontal="center" vertical="center"/>
    </xf>
    <xf numFmtId="3" fontId="24" fillId="22" borderId="127" xfId="4" applyNumberFormat="1" applyFont="1" applyFill="1" applyBorder="1" applyAlignment="1">
      <alignment horizontal="center" vertical="center"/>
    </xf>
    <xf numFmtId="0" fontId="17" fillId="0" borderId="172" xfId="4" quotePrefix="1" applyFont="1" applyFill="1" applyBorder="1" applyAlignment="1">
      <alignment horizontal="center" vertical="center" wrapText="1"/>
    </xf>
    <xf numFmtId="0" fontId="17" fillId="0" borderId="172" xfId="4" applyFont="1" applyFill="1" applyBorder="1" applyAlignment="1">
      <alignment horizontal="center" vertical="center" wrapText="1"/>
    </xf>
    <xf numFmtId="0" fontId="17" fillId="0" borderId="174" xfId="4" applyFont="1" applyFill="1" applyBorder="1" applyAlignment="1">
      <alignment horizontal="center" vertical="center" wrapText="1"/>
    </xf>
    <xf numFmtId="0" fontId="0" fillId="0" borderId="172" xfId="0" applyFont="1" applyBorder="1" applyAlignment="1">
      <alignment horizontal="center" vertical="center" wrapText="1"/>
    </xf>
    <xf numFmtId="0" fontId="37" fillId="0" borderId="170" xfId="0" applyFont="1" applyBorder="1" applyAlignment="1">
      <alignment horizontal="center" vertical="center" wrapText="1"/>
    </xf>
    <xf numFmtId="0" fontId="32" fillId="0" borderId="168" xfId="0" applyFont="1" applyBorder="1" applyAlignment="1">
      <alignment horizontal="center" vertical="center" wrapText="1"/>
    </xf>
    <xf numFmtId="0" fontId="25" fillId="2" borderId="167" xfId="4" applyFont="1" applyFill="1" applyBorder="1" applyAlignment="1">
      <alignment horizontal="center" vertical="center" wrapText="1"/>
    </xf>
    <xf numFmtId="0" fontId="32" fillId="0" borderId="167" xfId="0" applyFont="1" applyBorder="1" applyAlignment="1">
      <alignment wrapText="1"/>
    </xf>
    <xf numFmtId="0" fontId="32" fillId="0" borderId="127" xfId="0" applyFont="1" applyBorder="1" applyAlignment="1">
      <alignment wrapText="1"/>
    </xf>
    <xf numFmtId="0" fontId="16" fillId="2" borderId="23" xfId="4" applyFont="1" applyFill="1" applyBorder="1" applyAlignment="1">
      <alignment horizontal="left" vertical="center" wrapText="1"/>
    </xf>
    <xf numFmtId="0" fontId="16" fillId="2" borderId="12" xfId="4" applyFont="1" applyFill="1" applyBorder="1" applyAlignment="1">
      <alignment horizontal="left" vertical="center" wrapText="1"/>
    </xf>
    <xf numFmtId="0" fontId="16" fillId="2" borderId="74" xfId="4" applyFont="1" applyFill="1" applyBorder="1" applyAlignment="1">
      <alignment horizontal="left" vertical="center" wrapText="1"/>
    </xf>
    <xf numFmtId="0" fontId="18" fillId="0" borderId="70" xfId="4" applyFont="1" applyBorder="1" applyAlignment="1">
      <alignment horizontal="center" vertical="center" wrapText="1"/>
    </xf>
    <xf numFmtId="0" fontId="0" fillId="0" borderId="167" xfId="0" applyFont="1" applyBorder="1" applyAlignment="1">
      <alignment horizontal="center" vertical="center" wrapText="1"/>
    </xf>
    <xf numFmtId="0" fontId="22" fillId="0" borderId="167" xfId="6" applyFont="1" applyBorder="1" applyAlignment="1">
      <alignment horizontal="center" vertical="center" wrapText="1"/>
    </xf>
    <xf numFmtId="0" fontId="17" fillId="0" borderId="44" xfId="4" applyFont="1" applyBorder="1" applyAlignment="1">
      <alignment horizontal="center" vertical="center" wrapText="1"/>
    </xf>
    <xf numFmtId="0" fontId="17" fillId="0" borderId="170" xfId="4" applyFont="1" applyBorder="1" applyAlignment="1">
      <alignment horizontal="center" vertical="center" wrapText="1"/>
    </xf>
    <xf numFmtId="0" fontId="20" fillId="19" borderId="70" xfId="4" applyFont="1" applyFill="1" applyBorder="1" applyAlignment="1">
      <alignment horizontal="center" vertical="center" wrapText="1"/>
    </xf>
    <xf numFmtId="0" fontId="0" fillId="19" borderId="167" xfId="0" applyFont="1" applyFill="1" applyBorder="1" applyAlignment="1">
      <alignment horizontal="center" vertical="center" wrapText="1"/>
    </xf>
    <xf numFmtId="0" fontId="17" fillId="0" borderId="70" xfId="4" applyFont="1" applyBorder="1" applyAlignment="1">
      <alignment horizontal="center" vertical="center" wrapText="1"/>
    </xf>
    <xf numFmtId="0" fontId="17" fillId="0" borderId="167" xfId="4" applyFont="1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17" fillId="0" borderId="42" xfId="4" applyFont="1" applyFill="1" applyBorder="1" applyAlignment="1">
      <alignment horizontal="center" vertical="center" wrapText="1"/>
    </xf>
    <xf numFmtId="0" fontId="17" fillId="0" borderId="43" xfId="4" applyFont="1" applyFill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17" fillId="0" borderId="200" xfId="4" applyFont="1" applyFill="1" applyBorder="1" applyAlignment="1">
      <alignment horizontal="center" vertical="center"/>
    </xf>
    <xf numFmtId="0" fontId="37" fillId="0" borderId="194" xfId="0" applyFont="1" applyFill="1" applyBorder="1" applyAlignment="1">
      <alignment horizontal="center" vertical="center" wrapText="1"/>
    </xf>
    <xf numFmtId="3" fontId="25" fillId="2" borderId="199" xfId="4" applyNumberFormat="1" applyFont="1" applyFill="1" applyBorder="1" applyAlignment="1">
      <alignment horizontal="center" vertical="center" wrapText="1"/>
    </xf>
    <xf numFmtId="0" fontId="32" fillId="0" borderId="199" xfId="0" applyFont="1" applyBorder="1" applyAlignment="1">
      <alignment horizontal="center" vertical="center" wrapText="1"/>
    </xf>
    <xf numFmtId="0" fontId="25" fillId="2" borderId="199" xfId="4" applyFont="1" applyFill="1" applyBorder="1" applyAlignment="1">
      <alignment horizontal="center" vertical="center" wrapText="1"/>
    </xf>
    <xf numFmtId="0" fontId="32" fillId="0" borderId="199" xfId="0" applyFont="1" applyBorder="1" applyAlignment="1">
      <alignment wrapText="1"/>
    </xf>
    <xf numFmtId="0" fontId="32" fillId="0" borderId="209" xfId="0" applyFont="1" applyBorder="1" applyAlignment="1">
      <alignment wrapText="1"/>
    </xf>
    <xf numFmtId="3" fontId="25" fillId="0" borderId="167" xfId="4" applyNumberFormat="1" applyFont="1" applyFill="1" applyBorder="1" applyAlignment="1">
      <alignment horizontal="center" vertical="center" wrapText="1"/>
    </xf>
    <xf numFmtId="0" fontId="32" fillId="0" borderId="167" xfId="0" applyFont="1" applyFill="1" applyBorder="1" applyAlignment="1">
      <alignment horizontal="center" vertical="center" wrapText="1"/>
    </xf>
    <xf numFmtId="0" fontId="25" fillId="0" borderId="177" xfId="4" applyFont="1" applyFill="1" applyBorder="1" applyAlignment="1">
      <alignment horizontal="center" wrapText="1"/>
    </xf>
    <xf numFmtId="0" fontId="32" fillId="0" borderId="13" xfId="0" applyFont="1" applyFill="1" applyBorder="1" applyAlignment="1">
      <alignment horizontal="center" wrapText="1"/>
    </xf>
    <xf numFmtId="0" fontId="32" fillId="0" borderId="12" xfId="0" applyFont="1" applyFill="1" applyBorder="1" applyAlignment="1">
      <alignment horizontal="center" wrapText="1"/>
    </xf>
    <xf numFmtId="49" fontId="22" fillId="0" borderId="5" xfId="3" applyNumberFormat="1" applyFont="1" applyBorder="1" applyAlignment="1">
      <alignment horizontal="center" vertical="center" wrapText="1"/>
    </xf>
    <xf numFmtId="49" fontId="22" fillId="0" borderId="11" xfId="3" applyNumberFormat="1" applyFont="1" applyBorder="1" applyAlignment="1">
      <alignment horizontal="center" vertical="center" wrapText="1"/>
    </xf>
    <xf numFmtId="49" fontId="22" fillId="0" borderId="25" xfId="3" applyNumberFormat="1" applyFont="1" applyBorder="1" applyAlignment="1">
      <alignment horizontal="center" vertical="center" wrapText="1"/>
    </xf>
    <xf numFmtId="0" fontId="24" fillId="2" borderId="137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49" fontId="22" fillId="0" borderId="66" xfId="3" applyNumberFormat="1" applyFont="1" applyBorder="1" applyAlignment="1">
      <alignment horizontal="center" vertical="center" wrapText="1"/>
    </xf>
    <xf numFmtId="49" fontId="22" fillId="0" borderId="67" xfId="3" applyNumberFormat="1" applyFont="1" applyBorder="1" applyAlignment="1">
      <alignment horizontal="center" vertical="center" wrapText="1"/>
    </xf>
    <xf numFmtId="49" fontId="22" fillId="0" borderId="69" xfId="3" applyNumberFormat="1" applyFont="1" applyBorder="1" applyAlignment="1">
      <alignment horizontal="center" vertical="center" wrapText="1"/>
    </xf>
    <xf numFmtId="0" fontId="17" fillId="2" borderId="5" xfId="0" quotePrefix="1" applyFont="1" applyFill="1" applyBorder="1" applyAlignment="1">
      <alignment horizontal="center" vertical="center" wrapText="1"/>
    </xf>
    <xf numFmtId="0" fontId="17" fillId="2" borderId="11" xfId="0" quotePrefix="1" applyFont="1" applyFill="1" applyBorder="1" applyAlignment="1">
      <alignment horizontal="center" vertical="center" wrapText="1"/>
    </xf>
    <xf numFmtId="0" fontId="17" fillId="2" borderId="25" xfId="0" quotePrefix="1" applyFont="1" applyFill="1" applyBorder="1" applyAlignment="1">
      <alignment horizontal="center" vertical="center" wrapText="1"/>
    </xf>
    <xf numFmtId="49" fontId="86" fillId="0" borderId="66" xfId="3" applyNumberFormat="1" applyFont="1" applyBorder="1" applyAlignment="1">
      <alignment horizontal="center" vertical="center" wrapText="1"/>
    </xf>
    <xf numFmtId="49" fontId="86" fillId="0" borderId="67" xfId="3" applyNumberFormat="1" applyFont="1" applyBorder="1" applyAlignment="1">
      <alignment horizontal="center" vertical="center" wrapText="1"/>
    </xf>
    <xf numFmtId="49" fontId="86" fillId="0" borderId="69" xfId="3" applyNumberFormat="1" applyFont="1" applyBorder="1" applyAlignment="1">
      <alignment horizontal="center" vertical="center" wrapText="1"/>
    </xf>
    <xf numFmtId="0" fontId="24" fillId="2" borderId="19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79" fillId="0" borderId="137" xfId="0" applyFont="1" applyFill="1" applyBorder="1" applyAlignment="1">
      <alignment horizontal="center" vertical="center" wrapText="1"/>
    </xf>
    <xf numFmtId="0" fontId="88" fillId="0" borderId="6" xfId="0" applyFont="1" applyBorder="1" applyAlignment="1">
      <alignment horizontal="center" vertical="center" wrapText="1"/>
    </xf>
    <xf numFmtId="0" fontId="88" fillId="0" borderId="20" xfId="0" applyFont="1" applyBorder="1" applyAlignment="1">
      <alignment horizontal="center" vertical="center" wrapText="1"/>
    </xf>
    <xf numFmtId="0" fontId="90" fillId="0" borderId="137" xfId="0" applyFont="1" applyBorder="1" applyAlignment="1">
      <alignment horizontal="center" vertical="center" wrapText="1"/>
    </xf>
    <xf numFmtId="0" fontId="90" fillId="0" borderId="6" xfId="0" applyFont="1" applyBorder="1" applyAlignment="1">
      <alignment horizontal="center" vertical="center" wrapText="1"/>
    </xf>
    <xf numFmtId="0" fontId="90" fillId="0" borderId="22" xfId="0" applyFont="1" applyBorder="1" applyAlignment="1">
      <alignment horizontal="center" vertical="center" wrapText="1"/>
    </xf>
    <xf numFmtId="43" fontId="82" fillId="22" borderId="136" xfId="1" applyFont="1" applyFill="1" applyBorder="1" applyAlignment="1">
      <alignment horizontal="center" vertical="center"/>
    </xf>
    <xf numFmtId="43" fontId="82" fillId="22" borderId="43" xfId="1" applyFont="1" applyFill="1" applyBorder="1" applyAlignment="1">
      <alignment horizontal="center" vertical="center"/>
    </xf>
    <xf numFmtId="43" fontId="82" fillId="22" borderId="41" xfId="1" applyFont="1" applyFill="1" applyBorder="1" applyAlignment="1">
      <alignment horizontal="center" vertical="center"/>
    </xf>
    <xf numFmtId="0" fontId="89" fillId="2" borderId="5" xfId="0" quotePrefix="1" applyFont="1" applyFill="1" applyBorder="1" applyAlignment="1">
      <alignment horizontal="center" vertical="center" wrapText="1"/>
    </xf>
    <xf numFmtId="0" fontId="78" fillId="0" borderId="26" xfId="0" applyFont="1" applyBorder="1"/>
    <xf numFmtId="0" fontId="78" fillId="0" borderId="68" xfId="0" applyFont="1" applyBorder="1"/>
    <xf numFmtId="0" fontId="84" fillId="0" borderId="66" xfId="0" applyFont="1" applyFill="1" applyBorder="1" applyAlignment="1">
      <alignment horizontal="center" vertical="center" wrapText="1"/>
    </xf>
    <xf numFmtId="0" fontId="84" fillId="0" borderId="67" xfId="0" applyFont="1" applyFill="1" applyBorder="1" applyAlignment="1">
      <alignment horizontal="center" vertical="center" wrapText="1"/>
    </xf>
    <xf numFmtId="0" fontId="78" fillId="0" borderId="67" xfId="0" applyFont="1" applyBorder="1" applyAlignment="1">
      <alignment horizontal="center" wrapText="1"/>
    </xf>
    <xf numFmtId="0" fontId="78" fillId="0" borderId="69" xfId="0" applyFont="1" applyBorder="1" applyAlignment="1">
      <alignment horizontal="center" wrapText="1"/>
    </xf>
    <xf numFmtId="0" fontId="23" fillId="0" borderId="195" xfId="6" applyFont="1" applyBorder="1" applyAlignment="1">
      <alignment horizontal="center" vertical="center"/>
    </xf>
    <xf numFmtId="0" fontId="0" fillId="19" borderId="13" xfId="0" applyFont="1" applyFill="1" applyBorder="1" applyAlignment="1">
      <alignment horizontal="center" vertical="center" wrapText="1"/>
    </xf>
    <xf numFmtId="3" fontId="25" fillId="22" borderId="136" xfId="0" applyNumberFormat="1" applyFont="1" applyFill="1" applyBorder="1" applyAlignment="1">
      <alignment horizontal="center" vertical="center"/>
    </xf>
    <xf numFmtId="3" fontId="25" fillId="22" borderId="43" xfId="0" applyNumberFormat="1" applyFont="1" applyFill="1" applyBorder="1" applyAlignment="1">
      <alignment horizontal="center" vertical="center"/>
    </xf>
    <xf numFmtId="3" fontId="25" fillId="22" borderId="41" xfId="0" applyNumberFormat="1" applyFont="1" applyFill="1" applyBorder="1" applyAlignment="1">
      <alignment horizontal="center" vertical="center"/>
    </xf>
    <xf numFmtId="0" fontId="23" fillId="0" borderId="13" xfId="6" applyFont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 wrapText="1"/>
    </xf>
    <xf numFmtId="0" fontId="16" fillId="2" borderId="24" xfId="0" applyFont="1" applyFill="1" applyBorder="1" applyAlignment="1">
      <alignment vertical="top"/>
    </xf>
    <xf numFmtId="0" fontId="0" fillId="0" borderId="6" xfId="0" applyFont="1" applyBorder="1" applyAlignment="1">
      <alignment horizontal="center" vertical="center" wrapText="1"/>
    </xf>
    <xf numFmtId="0" fontId="18" fillId="0" borderId="15" xfId="4" applyFont="1" applyBorder="1" applyAlignment="1">
      <alignment horizontal="center" vertical="center" wrapText="1"/>
    </xf>
    <xf numFmtId="0" fontId="22" fillId="0" borderId="13" xfId="6" applyFont="1" applyBorder="1" applyAlignment="1">
      <alignment horizontal="center" vertical="center" wrapText="1"/>
    </xf>
    <xf numFmtId="0" fontId="22" fillId="0" borderId="12" xfId="6" applyFont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center" wrapText="1"/>
    </xf>
    <xf numFmtId="0" fontId="17" fillId="0" borderId="66" xfId="4" applyFont="1" applyBorder="1" applyAlignment="1">
      <alignment horizontal="center" vertical="center" wrapText="1"/>
    </xf>
    <xf numFmtId="0" fontId="17" fillId="0" borderId="67" xfId="4" applyFont="1" applyBorder="1" applyAlignment="1">
      <alignment horizontal="center" vertical="center" wrapText="1"/>
    </xf>
    <xf numFmtId="0" fontId="17" fillId="0" borderId="69" xfId="4" applyFont="1" applyBorder="1" applyAlignment="1">
      <alignment horizontal="center" vertical="center" wrapText="1"/>
    </xf>
    <xf numFmtId="3" fontId="24" fillId="22" borderId="195" xfId="0" applyNumberFormat="1" applyFont="1" applyFill="1" applyBorder="1" applyAlignment="1">
      <alignment horizontal="center" vertical="center"/>
    </xf>
    <xf numFmtId="3" fontId="24" fillId="22" borderId="13" xfId="0" applyNumberFormat="1" applyFont="1" applyFill="1" applyBorder="1" applyAlignment="1">
      <alignment horizontal="center" vertical="center"/>
    </xf>
    <xf numFmtId="3" fontId="24" fillId="22" borderId="12" xfId="0" applyNumberFormat="1" applyFont="1" applyFill="1" applyBorder="1" applyAlignment="1">
      <alignment horizontal="center" vertical="center"/>
    </xf>
    <xf numFmtId="3" fontId="25" fillId="22" borderId="195" xfId="0" applyNumberFormat="1" applyFont="1" applyFill="1" applyBorder="1" applyAlignment="1">
      <alignment horizontal="center" vertical="center"/>
    </xf>
    <xf numFmtId="3" fontId="25" fillId="22" borderId="13" xfId="0" applyNumberFormat="1" applyFont="1" applyFill="1" applyBorder="1" applyAlignment="1">
      <alignment horizontal="center" vertical="center"/>
    </xf>
    <xf numFmtId="3" fontId="25" fillId="22" borderId="12" xfId="0" applyNumberFormat="1" applyFont="1" applyFill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vertical="center" wrapText="1"/>
    </xf>
    <xf numFmtId="2" fontId="0" fillId="0" borderId="25" xfId="0" applyNumberFormat="1" applyFont="1" applyBorder="1" applyAlignment="1">
      <alignment vertical="center" wrapText="1"/>
    </xf>
    <xf numFmtId="2" fontId="22" fillId="0" borderId="42" xfId="0" applyNumberFormat="1" applyFont="1" applyBorder="1" applyAlignment="1">
      <alignment horizontal="center" vertical="center" wrapText="1"/>
    </xf>
    <xf numFmtId="2" fontId="22" fillId="0" borderId="43" xfId="0" applyNumberFormat="1" applyFont="1" applyBorder="1" applyAlignment="1">
      <alignment horizontal="center" vertical="center" wrapText="1"/>
    </xf>
    <xf numFmtId="2" fontId="22" fillId="0" borderId="41" xfId="0" applyNumberFormat="1" applyFont="1" applyBorder="1" applyAlignment="1">
      <alignment horizontal="center" vertical="center" wrapText="1"/>
    </xf>
    <xf numFmtId="2" fontId="23" fillId="0" borderId="195" xfId="0" applyNumberFormat="1" applyFont="1" applyBorder="1" applyAlignment="1">
      <alignment horizontal="center" vertical="center" wrapText="1"/>
    </xf>
    <xf numFmtId="2" fontId="23" fillId="0" borderId="12" xfId="0" applyNumberFormat="1" applyFont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/>
    </xf>
    <xf numFmtId="2" fontId="17" fillId="0" borderId="11" xfId="0" applyNumberFormat="1" applyFont="1" applyFill="1" applyBorder="1" applyAlignment="1">
      <alignment horizontal="center" vertical="center"/>
    </xf>
    <xf numFmtId="2" fontId="0" fillId="0" borderId="25" xfId="0" applyNumberFormat="1" applyFont="1" applyBorder="1" applyAlignment="1">
      <alignment horizontal="center" vertical="center"/>
    </xf>
    <xf numFmtId="2" fontId="23" fillId="0" borderId="197" xfId="0" applyNumberFormat="1" applyFont="1" applyBorder="1" applyAlignment="1">
      <alignment horizontal="center" vertical="center" wrapText="1"/>
    </xf>
    <xf numFmtId="2" fontId="23" fillId="0" borderId="20" xfId="0" applyNumberFormat="1" applyFont="1" applyBorder="1" applyAlignment="1">
      <alignment horizontal="center" vertical="center" wrapText="1"/>
    </xf>
    <xf numFmtId="2" fontId="23" fillId="0" borderId="22" xfId="0" applyNumberFormat="1" applyFont="1" applyBorder="1" applyAlignment="1">
      <alignment horizontal="center" vertical="center" wrapText="1"/>
    </xf>
    <xf numFmtId="2" fontId="17" fillId="0" borderId="11" xfId="0" applyNumberFormat="1" applyFont="1" applyFill="1" applyBorder="1" applyAlignment="1">
      <alignment horizontal="center" vertical="center" wrapText="1"/>
    </xf>
    <xf numFmtId="2" fontId="18" fillId="0" borderId="43" xfId="0" applyNumberFormat="1" applyFont="1" applyFill="1" applyBorder="1" applyAlignment="1">
      <alignment horizontal="center" vertical="center" wrapText="1"/>
    </xf>
    <xf numFmtId="2" fontId="0" fillId="0" borderId="67" xfId="0" applyNumberFormat="1" applyFont="1" applyBorder="1"/>
    <xf numFmtId="2" fontId="0" fillId="0" borderId="0" xfId="0" applyNumberFormat="1" applyFont="1" applyBorder="1"/>
    <xf numFmtId="2" fontId="21" fillId="0" borderId="43" xfId="0" applyNumberFormat="1" applyFont="1" applyFill="1" applyBorder="1" applyAlignment="1">
      <alignment horizontal="center" vertical="center" wrapText="1"/>
    </xf>
    <xf numFmtId="2" fontId="21" fillId="0" borderId="41" xfId="0" applyNumberFormat="1" applyFont="1" applyFill="1" applyBorder="1" applyAlignment="1">
      <alignment horizontal="center" vertical="center" wrapText="1"/>
    </xf>
    <xf numFmtId="2" fontId="20" fillId="0" borderId="42" xfId="0" applyNumberFormat="1" applyFont="1" applyFill="1" applyBorder="1" applyAlignment="1">
      <alignment horizontal="center" vertical="center" wrapText="1"/>
    </xf>
    <xf numFmtId="2" fontId="20" fillId="0" borderId="43" xfId="0" applyNumberFormat="1" applyFont="1" applyFill="1" applyBorder="1" applyAlignment="1">
      <alignment horizontal="center" vertical="center" wrapText="1"/>
    </xf>
    <xf numFmtId="2" fontId="20" fillId="0" borderId="46" xfId="0" applyNumberFormat="1" applyFont="1" applyFill="1" applyBorder="1" applyAlignment="1">
      <alignment horizontal="center" vertical="center" wrapText="1"/>
    </xf>
    <xf numFmtId="2" fontId="20" fillId="31" borderId="42" xfId="0" applyNumberFormat="1" applyFont="1" applyFill="1" applyBorder="1" applyAlignment="1">
      <alignment horizontal="center" vertical="center" wrapText="1"/>
    </xf>
    <xf numFmtId="2" fontId="20" fillId="31" borderId="43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 vertical="center"/>
    </xf>
    <xf numFmtId="2" fontId="25" fillId="2" borderId="197" xfId="0" applyNumberFormat="1" applyFont="1" applyFill="1" applyBorder="1" applyAlignment="1">
      <alignment horizontal="center" vertical="center" wrapText="1"/>
    </xf>
    <xf numFmtId="2" fontId="23" fillId="0" borderId="6" xfId="0" applyNumberFormat="1" applyFont="1" applyBorder="1" applyAlignment="1">
      <alignment horizontal="center" vertical="center" wrapText="1"/>
    </xf>
    <xf numFmtId="2" fontId="0" fillId="0" borderId="197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22" xfId="0" applyNumberFormat="1" applyFont="1" applyBorder="1" applyAlignment="1">
      <alignment horizontal="center" vertical="center"/>
    </xf>
    <xf numFmtId="2" fontId="16" fillId="2" borderId="24" xfId="0" applyNumberFormat="1" applyFont="1" applyFill="1" applyBorder="1" applyAlignment="1">
      <alignment horizontal="left" vertical="center" wrapText="1"/>
    </xf>
    <xf numFmtId="2" fontId="25" fillId="22" borderId="195" xfId="0" applyNumberFormat="1" applyFont="1" applyFill="1" applyBorder="1" applyAlignment="1">
      <alignment horizontal="center" vertical="center"/>
    </xf>
    <xf numFmtId="2" fontId="25" fillId="22" borderId="13" xfId="0" applyNumberFormat="1" applyFont="1" applyFill="1" applyBorder="1" applyAlignment="1">
      <alignment horizontal="center" vertical="center"/>
    </xf>
    <xf numFmtId="2" fontId="25" fillId="22" borderId="12" xfId="0" applyNumberFormat="1" applyFont="1" applyFill="1" applyBorder="1" applyAlignment="1">
      <alignment horizontal="center" vertical="center"/>
    </xf>
    <xf numFmtId="2" fontId="17" fillId="56" borderId="5" xfId="0" applyNumberFormat="1" applyFont="1" applyFill="1" applyBorder="1" applyAlignment="1">
      <alignment horizontal="center" vertical="center" wrapText="1"/>
    </xf>
    <xf numFmtId="2" fontId="0" fillId="56" borderId="11" xfId="0" applyNumberFormat="1" applyFont="1" applyFill="1" applyBorder="1" applyAlignment="1">
      <alignment vertical="center" wrapText="1"/>
    </xf>
    <xf numFmtId="2" fontId="0" fillId="56" borderId="25" xfId="0" applyNumberFormat="1" applyFont="1" applyFill="1" applyBorder="1" applyAlignment="1">
      <alignment vertical="center" wrapText="1"/>
    </xf>
    <xf numFmtId="2" fontId="20" fillId="0" borderId="5" xfId="0" applyNumberFormat="1" applyFont="1" applyBorder="1" applyAlignment="1">
      <alignment horizontal="center" vertical="center" wrapText="1"/>
    </xf>
    <xf numFmtId="2" fontId="20" fillId="0" borderId="11" xfId="0" applyNumberFormat="1" applyFont="1" applyBorder="1" applyAlignment="1">
      <alignment horizontal="center" vertical="center" wrapText="1"/>
    </xf>
    <xf numFmtId="2" fontId="20" fillId="0" borderId="25" xfId="0" applyNumberFormat="1" applyFont="1" applyBorder="1" applyAlignment="1">
      <alignment horizontal="center" vertical="center" wrapText="1"/>
    </xf>
    <xf numFmtId="2" fontId="18" fillId="0" borderId="14" xfId="4" applyNumberFormat="1" applyFont="1" applyBorder="1" applyAlignment="1">
      <alignment horizontal="center" vertical="center" wrapText="1"/>
    </xf>
    <xf numFmtId="2" fontId="18" fillId="0" borderId="6" xfId="4" applyNumberFormat="1" applyFont="1" applyBorder="1" applyAlignment="1">
      <alignment horizontal="center" vertical="center" wrapText="1"/>
    </xf>
    <xf numFmtId="2" fontId="18" fillId="0" borderId="22" xfId="4" applyNumberFormat="1" applyFont="1" applyBorder="1" applyAlignment="1">
      <alignment horizontal="center" vertical="center" wrapText="1"/>
    </xf>
    <xf numFmtId="2" fontId="18" fillId="0" borderId="15" xfId="4" applyNumberFormat="1" applyFont="1" applyBorder="1" applyAlignment="1">
      <alignment horizontal="center" vertical="center" wrapText="1"/>
    </xf>
    <xf numFmtId="2" fontId="18" fillId="0" borderId="13" xfId="4" applyNumberFormat="1" applyFont="1" applyBorder="1" applyAlignment="1">
      <alignment horizontal="center" vertical="center" wrapText="1"/>
    </xf>
    <xf numFmtId="2" fontId="18" fillId="0" borderId="12" xfId="4" applyNumberFormat="1" applyFont="1" applyBorder="1" applyAlignment="1">
      <alignment horizontal="center" vertical="center" wrapText="1"/>
    </xf>
    <xf numFmtId="2" fontId="17" fillId="0" borderId="66" xfId="4" applyNumberFormat="1" applyFont="1" applyBorder="1" applyAlignment="1">
      <alignment horizontal="center" vertical="center" wrapText="1"/>
    </xf>
    <xf numFmtId="2" fontId="17" fillId="0" borderId="67" xfId="4" applyNumberFormat="1" applyFont="1" applyBorder="1" applyAlignment="1">
      <alignment horizontal="center" vertical="center" wrapText="1"/>
    </xf>
    <xf numFmtId="2" fontId="17" fillId="0" borderId="69" xfId="4" applyNumberFormat="1" applyFont="1" applyBorder="1" applyAlignment="1">
      <alignment horizontal="center" vertical="center" wrapText="1"/>
    </xf>
    <xf numFmtId="2" fontId="20" fillId="19" borderId="15" xfId="4" applyNumberFormat="1" applyFont="1" applyFill="1" applyBorder="1" applyAlignment="1">
      <alignment horizontal="center" vertical="center" wrapText="1"/>
    </xf>
    <xf numFmtId="2" fontId="0" fillId="19" borderId="13" xfId="0" applyNumberFormat="1" applyFont="1" applyFill="1" applyBorder="1" applyAlignment="1">
      <alignment horizontal="center" vertical="center" wrapText="1"/>
    </xf>
    <xf numFmtId="2" fontId="0" fillId="19" borderId="12" xfId="0" applyNumberFormat="1" applyFont="1" applyFill="1" applyBorder="1" applyAlignment="1">
      <alignment horizontal="center" vertical="center" wrapText="1"/>
    </xf>
    <xf numFmtId="2" fontId="24" fillId="2" borderId="15" xfId="0" applyNumberFormat="1" applyFont="1" applyFill="1" applyBorder="1" applyAlignment="1">
      <alignment horizontal="center" vertical="center" wrapText="1"/>
    </xf>
    <xf numFmtId="2" fontId="24" fillId="2" borderId="13" xfId="0" applyNumberFormat="1" applyFont="1" applyFill="1" applyBorder="1" applyAlignment="1">
      <alignment horizontal="center" vertical="center" wrapText="1"/>
    </xf>
    <xf numFmtId="2" fontId="24" fillId="2" borderId="12" xfId="0" applyNumberFormat="1" applyFont="1" applyFill="1" applyBorder="1" applyAlignment="1">
      <alignment horizontal="center" vertical="center" wrapText="1"/>
    </xf>
    <xf numFmtId="2" fontId="23" fillId="0" borderId="15" xfId="6" applyNumberFormat="1" applyFont="1" applyBorder="1" applyAlignment="1">
      <alignment horizontal="center" vertical="center" wrapText="1"/>
    </xf>
    <xf numFmtId="2" fontId="23" fillId="0" borderId="13" xfId="6" applyNumberFormat="1" applyFont="1" applyBorder="1" applyAlignment="1">
      <alignment horizontal="center" vertical="center" wrapText="1"/>
    </xf>
    <xf numFmtId="2" fontId="23" fillId="0" borderId="12" xfId="6" applyNumberFormat="1" applyFont="1" applyBorder="1" applyAlignment="1">
      <alignment horizontal="center" vertical="center" wrapText="1"/>
    </xf>
    <xf numFmtId="2" fontId="25" fillId="0" borderId="79" xfId="4" applyNumberFormat="1" applyFont="1" applyBorder="1" applyAlignment="1">
      <alignment horizontal="center" vertical="center" wrapText="1"/>
    </xf>
    <xf numFmtId="2" fontId="25" fillId="0" borderId="18" xfId="4" applyNumberFormat="1" applyFont="1" applyBorder="1" applyAlignment="1">
      <alignment horizontal="center" vertical="center" wrapText="1"/>
    </xf>
    <xf numFmtId="2" fontId="25" fillId="0" borderId="17" xfId="4" applyNumberFormat="1" applyFont="1" applyBorder="1" applyAlignment="1">
      <alignment horizontal="center" vertical="center" wrapText="1"/>
    </xf>
    <xf numFmtId="2" fontId="23" fillId="0" borderId="195" xfId="6" applyNumberFormat="1" applyFont="1" applyBorder="1" applyAlignment="1">
      <alignment horizontal="center" vertical="center"/>
    </xf>
    <xf numFmtId="2" fontId="23" fillId="0" borderId="12" xfId="6" applyNumberFormat="1" applyFont="1" applyBorder="1" applyAlignment="1">
      <alignment horizontal="center" vertical="center"/>
    </xf>
    <xf numFmtId="2" fontId="18" fillId="0" borderId="66" xfId="0" applyNumberFormat="1" applyFont="1" applyFill="1" applyBorder="1" applyAlignment="1">
      <alignment horizontal="center" vertical="center" wrapText="1"/>
    </xf>
    <xf numFmtId="2" fontId="0" fillId="0" borderId="67" xfId="0" applyNumberFormat="1" applyFont="1" applyBorder="1" applyAlignment="1">
      <alignment horizontal="center" wrapText="1"/>
    </xf>
    <xf numFmtId="2" fontId="0" fillId="0" borderId="69" xfId="0" applyNumberFormat="1" applyFont="1" applyBorder="1" applyAlignment="1">
      <alignment horizontal="center" wrapText="1"/>
    </xf>
    <xf numFmtId="0" fontId="20" fillId="19" borderId="12" xfId="4" applyFont="1" applyFill="1" applyBorder="1" applyAlignment="1">
      <alignment horizontal="center" vertical="center" wrapText="1"/>
    </xf>
    <xf numFmtId="3" fontId="24" fillId="22" borderId="95" xfId="0" applyNumberFormat="1" applyFont="1" applyFill="1" applyBorder="1" applyAlignment="1">
      <alignment horizontal="center" vertical="center"/>
    </xf>
    <xf numFmtId="3" fontId="25" fillId="22" borderId="95" xfId="0" applyNumberFormat="1" applyFont="1" applyFill="1" applyBorder="1" applyAlignment="1">
      <alignment horizontal="center" vertical="center"/>
    </xf>
    <xf numFmtId="3" fontId="25" fillId="22" borderId="177" xfId="0" applyNumberFormat="1" applyFont="1" applyFill="1" applyBorder="1" applyAlignment="1">
      <alignment horizontal="center" vertical="center"/>
    </xf>
    <xf numFmtId="3" fontId="0" fillId="0" borderId="26" xfId="0" applyNumberFormat="1" applyFont="1" applyBorder="1" applyAlignment="1">
      <alignment horizontal="justify" vertical="top" wrapText="1"/>
    </xf>
    <xf numFmtId="3" fontId="0" fillId="0" borderId="0" xfId="0" applyNumberFormat="1" applyFont="1" applyBorder="1" applyAlignment="1">
      <alignment horizontal="justify" vertical="top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 wrapText="1"/>
    </xf>
    <xf numFmtId="0" fontId="23" fillId="2" borderId="43" xfId="0" applyFont="1" applyFill="1" applyBorder="1" applyAlignment="1">
      <alignment horizontal="center" wrapText="1"/>
    </xf>
    <xf numFmtId="0" fontId="23" fillId="2" borderId="41" xfId="0" applyFont="1" applyFill="1" applyBorder="1" applyAlignment="1">
      <alignment horizontal="center" wrapText="1"/>
    </xf>
    <xf numFmtId="3" fontId="25" fillId="22" borderId="134" xfId="0" applyNumberFormat="1" applyFont="1" applyFill="1" applyBorder="1" applyAlignment="1">
      <alignment horizontal="center" vertical="center"/>
    </xf>
    <xf numFmtId="3" fontId="25" fillId="22" borderId="101" xfId="0" applyNumberFormat="1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wrapText="1"/>
    </xf>
    <xf numFmtId="0" fontId="23" fillId="0" borderId="41" xfId="0" applyFont="1" applyBorder="1" applyAlignment="1">
      <alignment horizontal="center" wrapText="1"/>
    </xf>
    <xf numFmtId="3" fontId="24" fillId="22" borderId="177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97" xfId="0" applyFont="1" applyBorder="1" applyAlignment="1">
      <alignment horizontal="center" vertical="center" wrapText="1"/>
    </xf>
    <xf numFmtId="0" fontId="19" fillId="0" borderId="175" xfId="4" applyFont="1" applyFill="1" applyBorder="1" applyAlignment="1">
      <alignment horizontal="center" vertical="center" wrapText="1"/>
    </xf>
    <xf numFmtId="0" fontId="19" fillId="0" borderId="26" xfId="4" applyFont="1" applyFill="1" applyBorder="1" applyAlignment="1">
      <alignment horizontal="center" vertical="center" wrapText="1"/>
    </xf>
    <xf numFmtId="0" fontId="19" fillId="0" borderId="68" xfId="4" applyFont="1" applyFill="1" applyBorder="1" applyAlignment="1">
      <alignment horizontal="center" vertical="center" wrapText="1"/>
    </xf>
    <xf numFmtId="0" fontId="8" fillId="0" borderId="197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 wrapText="1"/>
    </xf>
    <xf numFmtId="3" fontId="24" fillId="22" borderId="101" xfId="0" applyNumberFormat="1" applyFont="1" applyFill="1" applyBorder="1" applyAlignment="1">
      <alignment horizontal="center" vertical="center"/>
    </xf>
    <xf numFmtId="3" fontId="24" fillId="22" borderId="35" xfId="0" applyNumberFormat="1" applyFont="1" applyFill="1" applyBorder="1" applyAlignment="1">
      <alignment horizontal="center" vertical="center"/>
    </xf>
    <xf numFmtId="3" fontId="25" fillId="22" borderId="35" xfId="0" applyNumberFormat="1" applyFont="1" applyFill="1" applyBorder="1" applyAlignment="1">
      <alignment horizontal="center" vertical="center"/>
    </xf>
    <xf numFmtId="0" fontId="25" fillId="2" borderId="197" xfId="0" applyFont="1" applyFill="1" applyBorder="1" applyAlignment="1">
      <alignment horizontal="center" vertical="center" wrapText="1"/>
    </xf>
    <xf numFmtId="0" fontId="17" fillId="0" borderId="106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8" fillId="0" borderId="105" xfId="4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37" fillId="0" borderId="43" xfId="0" applyFont="1" applyBorder="1" applyAlignment="1">
      <alignment horizontal="center" wrapText="1"/>
    </xf>
    <xf numFmtId="0" fontId="37" fillId="0" borderId="41" xfId="0" applyFont="1" applyBorder="1" applyAlignment="1">
      <alignment horizontal="center" wrapText="1"/>
    </xf>
    <xf numFmtId="0" fontId="25" fillId="2" borderId="137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31" fillId="32" borderId="0" xfId="0" applyFont="1" applyFill="1" applyBorder="1" applyAlignment="1">
      <alignment horizontal="left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20" fillId="0" borderId="52" xfId="0" applyFont="1" applyBorder="1" applyAlignment="1">
      <alignment horizontal="center" vertical="center" wrapText="1"/>
    </xf>
    <xf numFmtId="0" fontId="25" fillId="2" borderId="105" xfId="0" applyFont="1" applyFill="1" applyBorder="1" applyAlignment="1">
      <alignment horizontal="center" vertical="center" wrapText="1"/>
    </xf>
    <xf numFmtId="0" fontId="7" fillId="0" borderId="19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 wrapText="1"/>
    </xf>
    <xf numFmtId="0" fontId="32" fillId="0" borderId="41" xfId="0" applyFont="1" applyBorder="1"/>
    <xf numFmtId="3" fontId="25" fillId="28" borderId="42" xfId="0" applyNumberFormat="1" applyFont="1" applyFill="1" applyBorder="1" applyAlignment="1">
      <alignment horizontal="center" vertical="center" wrapText="1"/>
    </xf>
    <xf numFmtId="3" fontId="25" fillId="28" borderId="43" xfId="0" applyNumberFormat="1" applyFont="1" applyFill="1" applyBorder="1" applyAlignment="1">
      <alignment horizontal="center" vertical="center" wrapText="1"/>
    </xf>
    <xf numFmtId="3" fontId="25" fillId="28" borderId="41" xfId="0" applyNumberFormat="1" applyFont="1" applyFill="1" applyBorder="1" applyAlignment="1">
      <alignment horizontal="center" vertical="center" wrapText="1"/>
    </xf>
    <xf numFmtId="0" fontId="25" fillId="8" borderId="137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25" fillId="0" borderId="137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5" fillId="2" borderId="91" xfId="0" applyFont="1" applyFill="1" applyBorder="1" applyAlignment="1">
      <alignment horizontal="center" vertical="center" wrapText="1"/>
    </xf>
    <xf numFmtId="0" fontId="6" fillId="0" borderId="105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20" xfId="4" applyFont="1" applyFill="1" applyBorder="1" applyAlignment="1">
      <alignment horizontal="center" vertical="center" wrapText="1"/>
    </xf>
    <xf numFmtId="0" fontId="7" fillId="0" borderId="10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3" fontId="25" fillId="2" borderId="177" xfId="4" applyNumberFormat="1" applyFont="1" applyFill="1" applyBorder="1" applyAlignment="1">
      <alignment horizontal="center" vertical="center" wrapText="1"/>
    </xf>
    <xf numFmtId="3" fontId="25" fillId="2" borderId="13" xfId="4" applyNumberFormat="1" applyFont="1" applyFill="1" applyBorder="1" applyAlignment="1">
      <alignment horizontal="center" vertical="center" wrapText="1"/>
    </xf>
    <xf numFmtId="3" fontId="25" fillId="2" borderId="35" xfId="4" applyNumberFormat="1" applyFont="1" applyFill="1" applyBorder="1" applyAlignment="1">
      <alignment horizontal="center" vertical="center" wrapText="1"/>
    </xf>
    <xf numFmtId="0" fontId="23" fillId="0" borderId="177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3" fontId="25" fillId="25" borderId="208" xfId="0" applyNumberFormat="1" applyFont="1" applyFill="1" applyBorder="1" applyAlignment="1">
      <alignment horizontal="center" vertical="center"/>
    </xf>
    <xf numFmtId="3" fontId="25" fillId="25" borderId="10" xfId="0" applyNumberFormat="1" applyFont="1" applyFill="1" applyBorder="1" applyAlignment="1">
      <alignment horizontal="center" vertical="center"/>
    </xf>
    <xf numFmtId="3" fontId="25" fillId="25" borderId="74" xfId="0" applyNumberFormat="1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1" fillId="0" borderId="67" xfId="0" applyFont="1" applyFill="1" applyBorder="1" applyAlignment="1">
      <alignment horizontal="center" vertical="center" wrapText="1"/>
    </xf>
    <xf numFmtId="0" fontId="0" fillId="0" borderId="69" xfId="0" applyFont="1" applyBorder="1"/>
    <xf numFmtId="3" fontId="25" fillId="2" borderId="134" xfId="4" applyNumberFormat="1" applyFont="1" applyFill="1" applyBorder="1" applyAlignment="1">
      <alignment horizontal="center" vertical="center" wrapText="1"/>
    </xf>
    <xf numFmtId="0" fontId="23" fillId="0" borderId="134" xfId="0" applyFont="1" applyBorder="1" applyAlignment="1">
      <alignment horizontal="center" vertical="center"/>
    </xf>
    <xf numFmtId="3" fontId="25" fillId="22" borderId="134" xfId="0" applyNumberFormat="1" applyFont="1" applyFill="1" applyBorder="1" applyAlignment="1">
      <alignment horizontal="center" vertical="top"/>
    </xf>
    <xf numFmtId="3" fontId="25" fillId="22" borderId="13" xfId="0" applyNumberFormat="1" applyFont="1" applyFill="1" applyBorder="1" applyAlignment="1">
      <alignment horizontal="center" vertical="top"/>
    </xf>
    <xf numFmtId="3" fontId="25" fillId="22" borderId="12" xfId="0" applyNumberFormat="1" applyFont="1" applyFill="1" applyBorder="1" applyAlignment="1">
      <alignment horizontal="center" vertical="top"/>
    </xf>
    <xf numFmtId="3" fontId="20" fillId="2" borderId="177" xfId="4" applyNumberFormat="1" applyFont="1" applyFill="1" applyBorder="1" applyAlignment="1">
      <alignment horizontal="center" vertical="center" wrapText="1"/>
    </xf>
    <xf numFmtId="3" fontId="20" fillId="2" borderId="13" xfId="4" applyNumberFormat="1" applyFont="1" applyFill="1" applyBorder="1" applyAlignment="1">
      <alignment horizontal="center" vertical="center" wrapText="1"/>
    </xf>
    <xf numFmtId="3" fontId="20" fillId="2" borderId="35" xfId="4" applyNumberFormat="1" applyFont="1" applyFill="1" applyBorder="1" applyAlignment="1">
      <alignment horizontal="center" vertical="center" wrapText="1"/>
    </xf>
    <xf numFmtId="3" fontId="20" fillId="2" borderId="12" xfId="4" applyNumberFormat="1" applyFont="1" applyFill="1" applyBorder="1" applyAlignment="1">
      <alignment horizontal="center" vertical="center" wrapText="1"/>
    </xf>
    <xf numFmtId="0" fontId="0" fillId="0" borderId="41" xfId="0" applyFont="1" applyBorder="1"/>
    <xf numFmtId="3" fontId="25" fillId="25" borderId="110" xfId="0" applyNumberFormat="1" applyFont="1" applyFill="1" applyBorder="1" applyAlignment="1">
      <alignment horizontal="center" vertical="center"/>
    </xf>
    <xf numFmtId="3" fontId="25" fillId="2" borderId="195" xfId="4" applyNumberFormat="1" applyFont="1" applyFill="1" applyBorder="1" applyAlignment="1">
      <alignment horizontal="center" vertical="center" wrapText="1"/>
    </xf>
    <xf numFmtId="3" fontId="25" fillId="2" borderId="12" xfId="4" applyNumberFormat="1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18" fillId="0" borderId="4" xfId="4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3" fontId="20" fillId="8" borderId="43" xfId="0" applyNumberFormat="1" applyFont="1" applyFill="1" applyBorder="1" applyAlignment="1">
      <alignment horizontal="center" vertical="center" wrapText="1"/>
    </xf>
    <xf numFmtId="3" fontId="20" fillId="8" borderId="41" xfId="0" applyNumberFormat="1" applyFont="1" applyFill="1" applyBorder="1" applyAlignment="1">
      <alignment horizontal="center" vertical="center" wrapText="1"/>
    </xf>
    <xf numFmtId="0" fontId="27" fillId="8" borderId="133" xfId="4" applyFont="1" applyFill="1" applyBorder="1" applyAlignment="1">
      <alignment horizontal="center" vertical="center"/>
    </xf>
    <xf numFmtId="0" fontId="27" fillId="8" borderId="199" xfId="4" applyFont="1" applyFill="1" applyBorder="1" applyAlignment="1">
      <alignment horizontal="center" vertical="center"/>
    </xf>
    <xf numFmtId="0" fontId="27" fillId="8" borderId="134" xfId="4" applyFont="1" applyFill="1" applyBorder="1" applyAlignment="1">
      <alignment horizontal="center" vertical="center"/>
    </xf>
    <xf numFmtId="0" fontId="27" fillId="8" borderId="13" xfId="4" applyFont="1" applyFill="1" applyBorder="1" applyAlignment="1">
      <alignment horizontal="center" vertical="center"/>
    </xf>
    <xf numFmtId="0" fontId="27" fillId="8" borderId="12" xfId="4" applyFont="1" applyFill="1" applyBorder="1" applyAlignment="1">
      <alignment horizontal="center" vertical="center"/>
    </xf>
    <xf numFmtId="0" fontId="20" fillId="19" borderId="4" xfId="4" applyFont="1" applyFill="1" applyBorder="1" applyAlignment="1">
      <alignment horizontal="center" vertical="center" wrapText="1"/>
    </xf>
    <xf numFmtId="0" fontId="0" fillId="19" borderId="23" xfId="0" applyFont="1" applyFill="1" applyBorder="1" applyAlignment="1">
      <alignment horizontal="center" vertical="center" wrapText="1"/>
    </xf>
    <xf numFmtId="3" fontId="25" fillId="23" borderId="134" xfId="0" applyNumberFormat="1" applyFont="1" applyFill="1" applyBorder="1" applyAlignment="1">
      <alignment horizontal="center" vertical="center"/>
    </xf>
    <xf numFmtId="3" fontId="25" fillId="23" borderId="13" xfId="0" applyNumberFormat="1" applyFont="1" applyFill="1" applyBorder="1" applyAlignment="1">
      <alignment horizontal="center" vertical="center"/>
    </xf>
    <xf numFmtId="3" fontId="25" fillId="23" borderId="12" xfId="0" applyNumberFormat="1" applyFont="1" applyFill="1" applyBorder="1" applyAlignment="1">
      <alignment horizontal="center" vertical="center"/>
    </xf>
    <xf numFmtId="0" fontId="0" fillId="0" borderId="68" xfId="0" applyFont="1" applyBorder="1"/>
    <xf numFmtId="3" fontId="25" fillId="2" borderId="133" xfId="4" applyNumberFormat="1" applyFont="1" applyFill="1" applyBorder="1" applyAlignment="1">
      <alignment horizontal="center" vertical="center" wrapText="1"/>
    </xf>
    <xf numFmtId="0" fontId="32" fillId="0" borderId="13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3" fontId="25" fillId="25" borderId="134" xfId="0" applyNumberFormat="1" applyFont="1" applyFill="1" applyBorder="1" applyAlignment="1">
      <alignment horizontal="center" vertical="center"/>
    </xf>
    <xf numFmtId="3" fontId="25" fillId="25" borderId="13" xfId="0" applyNumberFormat="1" applyFont="1" applyFill="1" applyBorder="1" applyAlignment="1">
      <alignment horizontal="center" vertical="center"/>
    </xf>
    <xf numFmtId="3" fontId="25" fillId="25" borderId="12" xfId="0" applyNumberFormat="1" applyFont="1" applyFill="1" applyBorder="1" applyAlignment="1">
      <alignment horizontal="center" vertical="center"/>
    </xf>
    <xf numFmtId="0" fontId="23" fillId="0" borderId="195" xfId="0" applyFont="1" applyBorder="1" applyAlignment="1">
      <alignment horizontal="center" vertical="center"/>
    </xf>
    <xf numFmtId="3" fontId="24" fillId="34" borderId="192" xfId="4" applyNumberFormat="1" applyFont="1" applyFill="1" applyBorder="1" applyAlignment="1">
      <alignment horizontal="center" vertical="center"/>
    </xf>
    <xf numFmtId="3" fontId="24" fillId="34" borderId="127" xfId="4" applyNumberFormat="1" applyFont="1" applyFill="1" applyBorder="1" applyAlignment="1">
      <alignment horizontal="center" vertical="center"/>
    </xf>
    <xf numFmtId="3" fontId="25" fillId="22" borderId="195" xfId="4" applyNumberFormat="1" applyFont="1" applyFill="1" applyBorder="1" applyAlignment="1">
      <alignment horizontal="center" vertical="center"/>
    </xf>
    <xf numFmtId="3" fontId="25" fillId="22" borderId="13" xfId="4" applyNumberFormat="1" applyFont="1" applyFill="1" applyBorder="1" applyAlignment="1">
      <alignment horizontal="center" vertical="center"/>
    </xf>
    <xf numFmtId="3" fontId="25" fillId="22" borderId="12" xfId="4" applyNumberFormat="1" applyFont="1" applyFill="1" applyBorder="1" applyAlignment="1">
      <alignment horizontal="center" vertical="center"/>
    </xf>
    <xf numFmtId="0" fontId="25" fillId="2" borderId="22" xfId="4" applyFont="1" applyFill="1" applyBorder="1" applyAlignment="1">
      <alignment horizontal="center" vertical="center" wrapText="1"/>
    </xf>
    <xf numFmtId="3" fontId="24" fillId="34" borderId="195" xfId="4" applyNumberFormat="1" applyFont="1" applyFill="1" applyBorder="1" applyAlignment="1">
      <alignment horizontal="center" vertical="center"/>
    </xf>
    <xf numFmtId="3" fontId="24" fillId="34" borderId="13" xfId="4" applyNumberFormat="1" applyFont="1" applyFill="1" applyBorder="1" applyAlignment="1">
      <alignment horizontal="center" vertical="center"/>
    </xf>
    <xf numFmtId="3" fontId="24" fillId="34" borderId="12" xfId="4" applyNumberFormat="1" applyFont="1" applyFill="1" applyBorder="1" applyAlignment="1">
      <alignment horizontal="center" vertical="center"/>
    </xf>
    <xf numFmtId="0" fontId="24" fillId="0" borderId="43" xfId="4" applyFont="1" applyFill="1" applyBorder="1" applyAlignment="1">
      <alignment horizontal="center" vertical="center"/>
    </xf>
    <xf numFmtId="0" fontId="24" fillId="0" borderId="41" xfId="4" applyFont="1" applyFill="1" applyBorder="1" applyAlignment="1">
      <alignment horizontal="center" vertical="center"/>
    </xf>
    <xf numFmtId="0" fontId="24" fillId="0" borderId="42" xfId="4" applyFont="1" applyFill="1" applyBorder="1" applyAlignment="1">
      <alignment horizontal="center" vertical="center"/>
    </xf>
    <xf numFmtId="0" fontId="18" fillId="0" borderId="66" xfId="4" applyFont="1" applyFill="1" applyBorder="1" applyAlignment="1">
      <alignment horizontal="center" vertical="center" wrapText="1"/>
    </xf>
    <xf numFmtId="0" fontId="18" fillId="0" borderId="67" xfId="4" applyFont="1" applyFill="1" applyBorder="1" applyAlignment="1">
      <alignment horizontal="center" vertical="center" wrapText="1"/>
    </xf>
    <xf numFmtId="0" fontId="18" fillId="0" borderId="69" xfId="4" applyFont="1" applyFill="1" applyBorder="1" applyAlignment="1">
      <alignment horizontal="center" vertical="center" wrapText="1"/>
    </xf>
    <xf numFmtId="0" fontId="25" fillId="2" borderId="200" xfId="4" applyFont="1" applyFill="1" applyBorder="1" applyAlignment="1">
      <alignment horizontal="center" vertical="center" wrapText="1"/>
    </xf>
    <xf numFmtId="0" fontId="0" fillId="0" borderId="202" xfId="0" applyFont="1" applyBorder="1"/>
    <xf numFmtId="0" fontId="32" fillId="0" borderId="200" xfId="0" applyFont="1" applyBorder="1" applyAlignment="1">
      <alignment horizontal="center" vertical="center" wrapText="1"/>
    </xf>
    <xf numFmtId="0" fontId="18" fillId="0" borderId="27" xfId="4" applyFont="1" applyFill="1" applyBorder="1" applyAlignment="1">
      <alignment horizontal="center" vertical="center" wrapText="1"/>
    </xf>
    <xf numFmtId="0" fontId="25" fillId="2" borderId="172" xfId="4" applyFont="1" applyFill="1" applyBorder="1" applyAlignment="1">
      <alignment horizontal="center" vertical="center" wrapText="1"/>
    </xf>
    <xf numFmtId="0" fontId="32" fillId="0" borderId="172" xfId="0" applyFont="1" applyBorder="1" applyAlignment="1">
      <alignment horizontal="center" vertical="center" wrapText="1"/>
    </xf>
    <xf numFmtId="0" fontId="0" fillId="0" borderId="140" xfId="0" applyFont="1" applyBorder="1"/>
    <xf numFmtId="0" fontId="18" fillId="0" borderId="23" xfId="4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18" fillId="0" borderId="199" xfId="4" applyFont="1" applyFill="1" applyBorder="1" applyAlignment="1">
      <alignment horizontal="center" vertical="center" wrapText="1"/>
    </xf>
    <xf numFmtId="0" fontId="18" fillId="0" borderId="127" xfId="4" applyFont="1" applyFill="1" applyBorder="1" applyAlignment="1">
      <alignment horizontal="center" vertical="center" wrapText="1"/>
    </xf>
    <xf numFmtId="0" fontId="24" fillId="2" borderId="189" xfId="4" applyFont="1" applyFill="1" applyBorder="1" applyAlignment="1">
      <alignment horizontal="center" vertical="center" wrapText="1"/>
    </xf>
    <xf numFmtId="0" fontId="24" fillId="2" borderId="189" xfId="4" applyFont="1" applyFill="1" applyBorder="1" applyAlignment="1">
      <alignment horizontal="center" vertical="center" wrapText="1" shrinkToFit="1"/>
    </xf>
    <xf numFmtId="0" fontId="24" fillId="2" borderId="37" xfId="4" applyFont="1" applyFill="1" applyBorder="1" applyAlignment="1">
      <alignment horizontal="center" vertical="center" wrapText="1" shrinkToFit="1"/>
    </xf>
    <xf numFmtId="3" fontId="24" fillId="22" borderId="199" xfId="4" applyNumberFormat="1" applyFont="1" applyFill="1" applyBorder="1" applyAlignment="1">
      <alignment horizontal="center" vertical="center"/>
    </xf>
    <xf numFmtId="0" fontId="18" fillId="0" borderId="15" xfId="4" applyFont="1" applyFill="1" applyBorder="1" applyAlignment="1">
      <alignment horizontal="center" vertical="center" wrapText="1"/>
    </xf>
    <xf numFmtId="0" fontId="18" fillId="0" borderId="13" xfId="4" applyFont="1" applyFill="1" applyBorder="1" applyAlignment="1">
      <alignment horizontal="center" vertical="center" wrapText="1"/>
    </xf>
    <xf numFmtId="0" fontId="18" fillId="0" borderId="12" xfId="4" applyFont="1" applyFill="1" applyBorder="1" applyAlignment="1">
      <alignment horizontal="center" vertical="center" wrapText="1"/>
    </xf>
    <xf numFmtId="0" fontId="25" fillId="0" borderId="187" xfId="4" applyFont="1" applyFill="1" applyBorder="1" applyAlignment="1">
      <alignment horizontal="center" vertical="center" wrapText="1"/>
    </xf>
    <xf numFmtId="0" fontId="32" fillId="0" borderId="187" xfId="0" applyFont="1" applyFill="1" applyBorder="1" applyAlignment="1">
      <alignment horizontal="center" vertical="center" wrapText="1"/>
    </xf>
    <xf numFmtId="0" fontId="32" fillId="0" borderId="189" xfId="0" applyFont="1" applyFill="1" applyBorder="1" applyAlignment="1">
      <alignment horizontal="center" vertical="center" wrapText="1"/>
    </xf>
    <xf numFmtId="0" fontId="25" fillId="0" borderId="189" xfId="4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/>
    </xf>
    <xf numFmtId="0" fontId="40" fillId="2" borderId="0" xfId="0" applyFont="1" applyFill="1" applyBorder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0" fontId="17" fillId="0" borderId="9" xfId="4" applyFont="1" applyBorder="1" applyAlignment="1">
      <alignment horizontal="center" vertical="center" wrapText="1"/>
    </xf>
    <xf numFmtId="0" fontId="0" fillId="19" borderId="9" xfId="0" applyFont="1" applyFill="1" applyBorder="1" applyAlignment="1">
      <alignment horizontal="center" vertical="center" wrapText="1"/>
    </xf>
    <xf numFmtId="3" fontId="25" fillId="22" borderId="134" xfId="4" applyNumberFormat="1" applyFont="1" applyFill="1" applyBorder="1" applyAlignment="1">
      <alignment horizontal="center" vertical="center"/>
    </xf>
    <xf numFmtId="0" fontId="25" fillId="0" borderId="35" xfId="4" applyFont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25" fillId="2" borderId="73" xfId="4" applyFont="1" applyFill="1" applyBorder="1" applyAlignment="1">
      <alignment horizontal="center" vertical="center" wrapText="1"/>
    </xf>
    <xf numFmtId="3" fontId="25" fillId="2" borderId="91" xfId="4" applyNumberFormat="1" applyFont="1" applyFill="1" applyBorder="1" applyAlignment="1">
      <alignment horizontal="center" vertical="center" wrapText="1"/>
    </xf>
    <xf numFmtId="0" fontId="25" fillId="2" borderId="91" xfId="4" applyFont="1" applyFill="1" applyBorder="1" applyAlignment="1">
      <alignment horizontal="center" vertical="center" wrapText="1"/>
    </xf>
    <xf numFmtId="3" fontId="17" fillId="26" borderId="95" xfId="4" applyNumberFormat="1" applyFont="1" applyFill="1" applyBorder="1" applyAlignment="1">
      <alignment horizontal="center" vertical="center"/>
    </xf>
    <xf numFmtId="3" fontId="17" fillId="26" borderId="13" xfId="4" applyNumberFormat="1" applyFont="1" applyFill="1" applyBorder="1" applyAlignment="1">
      <alignment horizontal="center" vertical="center"/>
    </xf>
    <xf numFmtId="3" fontId="17" fillId="26" borderId="12" xfId="4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17" fillId="0" borderId="11" xfId="0" applyFont="1" applyFill="1" applyBorder="1" applyAlignment="1">
      <alignment horizontal="center" vertical="center" wrapText="1"/>
    </xf>
    <xf numFmtId="3" fontId="24" fillId="26" borderId="126" xfId="4" applyNumberFormat="1" applyFont="1" applyFill="1" applyBorder="1" applyAlignment="1">
      <alignment horizontal="center" vertical="center"/>
    </xf>
    <xf numFmtId="3" fontId="24" fillId="26" borderId="95" xfId="4" applyNumberFormat="1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3" fontId="17" fillId="26" borderId="195" xfId="4" applyNumberFormat="1" applyFont="1" applyFill="1" applyBorder="1" applyAlignment="1">
      <alignment horizontal="center" vertical="center"/>
    </xf>
    <xf numFmtId="3" fontId="17" fillId="26" borderId="177" xfId="4" applyNumberFormat="1" applyFont="1" applyFill="1" applyBorder="1" applyAlignment="1">
      <alignment horizontal="center" vertical="center"/>
    </xf>
    <xf numFmtId="0" fontId="25" fillId="32" borderId="195" xfId="4" applyFont="1" applyFill="1" applyBorder="1" applyAlignment="1">
      <alignment horizontal="center" vertical="center" wrapText="1"/>
    </xf>
    <xf numFmtId="0" fontId="25" fillId="32" borderId="13" xfId="4" applyFont="1" applyFill="1" applyBorder="1" applyAlignment="1">
      <alignment horizontal="center" vertical="center" wrapText="1"/>
    </xf>
    <xf numFmtId="0" fontId="25" fillId="32" borderId="12" xfId="4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0" fontId="0" fillId="0" borderId="22" xfId="0" applyFont="1" applyBorder="1" applyAlignment="1">
      <alignment vertical="center"/>
    </xf>
    <xf numFmtId="0" fontId="18" fillId="0" borderId="12" xfId="4" applyFont="1" applyBorder="1" applyAlignment="1">
      <alignment horizontal="center" vertical="center" wrapText="1"/>
    </xf>
    <xf numFmtId="0" fontId="25" fillId="2" borderId="120" xfId="4" applyFont="1" applyFill="1" applyBorder="1" applyAlignment="1">
      <alignment horizontal="center" vertical="center" wrapText="1"/>
    </xf>
    <xf numFmtId="3" fontId="25" fillId="2" borderId="120" xfId="4" applyNumberFormat="1" applyFont="1" applyFill="1" applyBorder="1" applyAlignment="1">
      <alignment horizontal="center" vertical="center" wrapText="1"/>
    </xf>
    <xf numFmtId="0" fontId="22" fillId="0" borderId="118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32" borderId="11" xfId="0" applyFont="1" applyFill="1" applyBorder="1" applyAlignment="1">
      <alignment horizontal="center" vertical="center" wrapText="1"/>
    </xf>
    <xf numFmtId="0" fontId="18" fillId="32" borderId="10" xfId="0" applyFont="1" applyFill="1" applyBorder="1" applyAlignment="1">
      <alignment horizontal="center" vertical="center" wrapText="1"/>
    </xf>
    <xf numFmtId="3" fontId="25" fillId="32" borderId="28" xfId="4" applyNumberFormat="1" applyFont="1" applyFill="1" applyBorder="1" applyAlignment="1">
      <alignment horizontal="center" vertical="center" wrapText="1"/>
    </xf>
    <xf numFmtId="0" fontId="32" fillId="32" borderId="28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vertical="center" wrapText="1"/>
    </xf>
    <xf numFmtId="3" fontId="25" fillId="2" borderId="27" xfId="4" applyNumberFormat="1" applyFont="1" applyFill="1" applyBorder="1" applyAlignment="1">
      <alignment horizontal="center" vertical="center" wrapText="1"/>
    </xf>
    <xf numFmtId="3" fontId="25" fillId="2" borderId="9" xfId="4" applyNumberFormat="1" applyFont="1" applyFill="1" applyBorder="1" applyAlignment="1">
      <alignment horizontal="center" vertical="center" wrapText="1"/>
    </xf>
    <xf numFmtId="0" fontId="18" fillId="0" borderId="205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4" fillId="19" borderId="23" xfId="112" applyFont="1" applyFill="1" applyBorder="1" applyAlignment="1">
      <alignment horizontal="center" vertical="center" wrapText="1"/>
    </xf>
    <xf numFmtId="3" fontId="24" fillId="26" borderId="134" xfId="4" applyNumberFormat="1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left" vertical="center" wrapText="1"/>
    </xf>
    <xf numFmtId="0" fontId="16" fillId="2" borderId="24" xfId="112" applyFont="1" applyFill="1" applyBorder="1" applyAlignment="1">
      <alignment horizontal="left" vertical="center" wrapText="1"/>
    </xf>
    <xf numFmtId="0" fontId="20" fillId="0" borderId="5" xfId="112" applyFont="1" applyBorder="1" applyAlignment="1">
      <alignment horizontal="center" vertical="center" wrapText="1"/>
    </xf>
    <xf numFmtId="0" fontId="20" fillId="0" borderId="25" xfId="112" applyFont="1" applyBorder="1" applyAlignment="1">
      <alignment horizontal="center" vertical="center" wrapText="1"/>
    </xf>
    <xf numFmtId="0" fontId="18" fillId="0" borderId="22" xfId="4" applyFont="1" applyBorder="1" applyAlignment="1">
      <alignment horizontal="center" vertical="center" wrapText="1"/>
    </xf>
    <xf numFmtId="0" fontId="17" fillId="0" borderId="5" xfId="112" applyFont="1" applyFill="1" applyBorder="1" applyAlignment="1">
      <alignment horizontal="center" vertical="center" wrapText="1"/>
    </xf>
    <xf numFmtId="0" fontId="4" fillId="0" borderId="11" xfId="112" applyFont="1" applyBorder="1" applyAlignment="1">
      <alignment vertical="center" wrapText="1"/>
    </xf>
    <xf numFmtId="0" fontId="4" fillId="0" borderId="25" xfId="112" applyFont="1" applyBorder="1" applyAlignment="1">
      <alignment vertical="center" wrapText="1"/>
    </xf>
    <xf numFmtId="0" fontId="18" fillId="0" borderId="66" xfId="112" applyFont="1" applyFill="1" applyBorder="1" applyAlignment="1">
      <alignment horizontal="center" vertical="center" wrapText="1"/>
    </xf>
    <xf numFmtId="0" fontId="18" fillId="0" borderId="67" xfId="112" applyFont="1" applyFill="1" applyBorder="1" applyAlignment="1">
      <alignment horizontal="center" vertical="center" wrapText="1"/>
    </xf>
    <xf numFmtId="0" fontId="4" fillId="0" borderId="67" xfId="112" applyFont="1" applyBorder="1" applyAlignment="1">
      <alignment horizontal="center" vertical="center" wrapText="1"/>
    </xf>
    <xf numFmtId="0" fontId="4" fillId="0" borderId="69" xfId="112" applyFont="1" applyBorder="1" applyAlignment="1">
      <alignment horizontal="center" vertical="center" wrapText="1"/>
    </xf>
    <xf numFmtId="0" fontId="32" fillId="0" borderId="6" xfId="112" applyFont="1" applyBorder="1" applyAlignment="1">
      <alignment horizontal="center" vertical="center" wrapText="1"/>
    </xf>
    <xf numFmtId="0" fontId="32" fillId="0" borderId="22" xfId="112" applyFont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2" fontId="17" fillId="0" borderId="5" xfId="4" applyNumberFormat="1" applyFont="1" applyFill="1" applyBorder="1" applyAlignment="1">
      <alignment horizontal="center" vertical="center"/>
    </xf>
    <xf numFmtId="2" fontId="4" fillId="0" borderId="25" xfId="112" applyNumberFormat="1" applyFont="1" applyBorder="1" applyAlignment="1">
      <alignment horizontal="center" vertical="center" wrapText="1"/>
    </xf>
    <xf numFmtId="2" fontId="60" fillId="0" borderId="25" xfId="112" applyNumberFormat="1" applyFont="1" applyBorder="1" applyAlignment="1">
      <alignment horizontal="center" vertical="center" wrapText="1"/>
    </xf>
    <xf numFmtId="0" fontId="30" fillId="0" borderId="69" xfId="4" applyFont="1" applyFill="1" applyBorder="1" applyAlignment="1">
      <alignment horizontal="center" vertical="center" wrapText="1"/>
    </xf>
    <xf numFmtId="2" fontId="4" fillId="0" borderId="11" xfId="112" applyNumberFormat="1" applyFont="1" applyBorder="1" applyAlignment="1">
      <alignment horizontal="center" vertical="center" wrapText="1"/>
    </xf>
    <xf numFmtId="0" fontId="17" fillId="0" borderId="11" xfId="112" applyFont="1" applyFill="1" applyBorder="1" applyAlignment="1">
      <alignment horizontal="center" vertical="center" wrapText="1"/>
    </xf>
    <xf numFmtId="0" fontId="17" fillId="0" borderId="25" xfId="112" applyFont="1" applyFill="1" applyBorder="1" applyAlignment="1">
      <alignment horizontal="center" vertical="center" wrapText="1"/>
    </xf>
    <xf numFmtId="0" fontId="66" fillId="37" borderId="87" xfId="4" applyFont="1" applyFill="1" applyBorder="1" applyAlignment="1">
      <alignment horizontal="left" vertical="center"/>
    </xf>
    <xf numFmtId="0" fontId="0" fillId="37" borderId="50" xfId="0" applyFont="1" applyFill="1" applyBorder="1" applyAlignment="1">
      <alignment vertical="center"/>
    </xf>
    <xf numFmtId="0" fontId="66" fillId="6" borderId="87" xfId="4" applyFont="1" applyFill="1" applyBorder="1" applyAlignment="1">
      <alignment horizontal="left" vertical="center"/>
    </xf>
    <xf numFmtId="0" fontId="0" fillId="6" borderId="50" xfId="0" applyFont="1" applyFill="1" applyBorder="1" applyAlignment="1">
      <alignment vertical="center"/>
    </xf>
    <xf numFmtId="0" fontId="66" fillId="37" borderId="87" xfId="4" applyFont="1" applyFill="1" applyBorder="1" applyAlignment="1">
      <alignment horizontal="left" vertical="center" wrapText="1"/>
    </xf>
    <xf numFmtId="0" fontId="0" fillId="37" borderId="50" xfId="0" applyFont="1" applyFill="1" applyBorder="1" applyAlignment="1">
      <alignment vertical="center" wrapText="1"/>
    </xf>
    <xf numFmtId="0" fontId="66" fillId="6" borderId="87" xfId="4" applyFont="1" applyFill="1" applyBorder="1" applyAlignment="1">
      <alignment horizontal="left" vertical="center" wrapText="1"/>
    </xf>
    <xf numFmtId="0" fontId="0" fillId="6" borderId="50" xfId="0" applyFont="1" applyFill="1" applyBorder="1" applyAlignment="1">
      <alignment vertical="center" wrapText="1"/>
    </xf>
    <xf numFmtId="0" fontId="68" fillId="37" borderId="87" xfId="0" applyFont="1" applyFill="1" applyBorder="1" applyAlignment="1">
      <alignment horizontal="left" vertical="center"/>
    </xf>
    <xf numFmtId="0" fontId="68" fillId="37" borderId="50" xfId="0" applyFont="1" applyFill="1" applyBorder="1" applyAlignment="1">
      <alignment horizontal="left" vertical="center"/>
    </xf>
    <xf numFmtId="0" fontId="66" fillId="37" borderId="68" xfId="4" applyFont="1" applyFill="1" applyBorder="1" applyAlignment="1">
      <alignment horizontal="left" vertical="center" wrapText="1"/>
    </xf>
    <xf numFmtId="0" fontId="0" fillId="37" borderId="23" xfId="0" applyFont="1" applyFill="1" applyBorder="1" applyAlignment="1">
      <alignment vertical="center" wrapText="1"/>
    </xf>
    <xf numFmtId="0" fontId="76" fillId="0" borderId="1" xfId="4" applyFont="1" applyFill="1" applyBorder="1" applyAlignment="1">
      <alignment horizontal="center" vertical="center" wrapText="1"/>
    </xf>
    <xf numFmtId="0" fontId="76" fillId="0" borderId="4" xfId="4" applyFont="1" applyFill="1" applyBorder="1" applyAlignment="1">
      <alignment horizontal="center" vertical="center" wrapText="1"/>
    </xf>
    <xf numFmtId="0" fontId="77" fillId="4" borderId="85" xfId="4" applyFont="1" applyFill="1" applyBorder="1" applyAlignment="1">
      <alignment horizontal="left" vertical="center"/>
    </xf>
    <xf numFmtId="0" fontId="39" fillId="4" borderId="9" xfId="0" applyFont="1" applyFill="1" applyBorder="1" applyAlignment="1">
      <alignment vertical="center"/>
    </xf>
    <xf numFmtId="0" fontId="77" fillId="6" borderId="84" xfId="4" applyFont="1" applyFill="1" applyBorder="1" applyAlignment="1">
      <alignment horizontal="left" vertical="center"/>
    </xf>
    <xf numFmtId="0" fontId="39" fillId="6" borderId="29" xfId="0" applyFont="1" applyFill="1" applyBorder="1" applyAlignment="1">
      <alignment vertical="center"/>
    </xf>
    <xf numFmtId="0" fontId="77" fillId="61" borderId="174" xfId="4" applyFont="1" applyFill="1" applyBorder="1" applyAlignment="1">
      <alignment horizontal="left" vertical="center" wrapText="1"/>
    </xf>
    <xf numFmtId="0" fontId="39" fillId="61" borderId="168" xfId="0" applyFont="1" applyFill="1" applyBorder="1" applyAlignment="1">
      <alignment vertical="center" wrapText="1"/>
    </xf>
    <xf numFmtId="0" fontId="77" fillId="6" borderId="85" xfId="4" applyFont="1" applyFill="1" applyBorder="1" applyAlignment="1">
      <alignment horizontal="left" vertical="center" wrapText="1"/>
    </xf>
    <xf numFmtId="0" fontId="39" fillId="6" borderId="9" xfId="0" applyFont="1" applyFill="1" applyBorder="1" applyAlignment="1">
      <alignment vertical="center" wrapText="1"/>
    </xf>
    <xf numFmtId="0" fontId="77" fillId="61" borderId="174" xfId="4" applyFont="1" applyFill="1" applyBorder="1" applyAlignment="1">
      <alignment horizontal="left" vertical="center"/>
    </xf>
    <xf numFmtId="0" fontId="39" fillId="61" borderId="168" xfId="0" applyFont="1" applyFill="1" applyBorder="1" applyAlignment="1">
      <alignment vertical="center"/>
    </xf>
    <xf numFmtId="0" fontId="77" fillId="6" borderId="85" xfId="4" applyFont="1" applyFill="1" applyBorder="1" applyAlignment="1">
      <alignment horizontal="left" vertical="center"/>
    </xf>
    <xf numFmtId="0" fontId="39" fillId="6" borderId="9" xfId="0" applyFont="1" applyFill="1" applyBorder="1" applyAlignment="1">
      <alignment vertical="center"/>
    </xf>
    <xf numFmtId="0" fontId="71" fillId="2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68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25" fillId="0" borderId="195" xfId="4" applyFont="1" applyBorder="1" applyAlignment="1">
      <alignment horizontal="center" vertical="center" wrapText="1"/>
    </xf>
    <xf numFmtId="0" fontId="6" fillId="0" borderId="200" xfId="0" applyFont="1" applyFill="1" applyBorder="1" applyAlignment="1">
      <alignment vertical="center" wrapText="1"/>
    </xf>
    <xf numFmtId="3" fontId="28" fillId="2" borderId="214" xfId="0" applyNumberFormat="1" applyFont="1" applyFill="1" applyBorder="1" applyAlignment="1">
      <alignment vertical="top"/>
    </xf>
    <xf numFmtId="3" fontId="28" fillId="0" borderId="209" xfId="0" applyNumberFormat="1" applyFont="1" applyFill="1" applyBorder="1" applyAlignment="1">
      <alignment vertical="center"/>
    </xf>
  </cellXfs>
  <cellStyles count="847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3 3" xfId="115"/>
    <cellStyle name="Normalny 3 4" xfId="160"/>
    <cellStyle name="Normalny 3 4 2" xfId="526"/>
    <cellStyle name="Normalny 3 5" xfId="482"/>
    <cellStyle name="Normalny 4" xfId="20"/>
    <cellStyle name="Normalny 5" xfId="21"/>
    <cellStyle name="Normalny 6" xfId="22"/>
    <cellStyle name="Normalny 7" xfId="112"/>
    <cellStyle name="Normalny 7 2" xfId="229"/>
    <cellStyle name="Normalny 8" xfId="15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 2" xfId="116"/>
    <cellStyle name="SAPBEXaggData 2 2" xfId="230"/>
    <cellStyle name="SAPBEXaggData 2 2 2" xfId="595"/>
    <cellStyle name="SAPBEXaggData 2 3" xfId="303"/>
    <cellStyle name="SAPBEXaggData 2 3 2" xfId="668"/>
    <cellStyle name="SAPBEXaggData 2 4" xfId="371"/>
    <cellStyle name="SAPBEXaggData 2 4 2" xfId="736"/>
    <cellStyle name="SAPBEXaggData 2 5" xfId="340"/>
    <cellStyle name="SAPBEXaggData 2 5 2" xfId="705"/>
    <cellStyle name="SAPBEXaggData 2 6" xfId="411"/>
    <cellStyle name="SAPBEXaggData 2 6 2" xfId="776"/>
    <cellStyle name="SAPBEXaggData 2 7" xfId="186"/>
    <cellStyle name="SAPBEXaggData 2 7 2" xfId="552"/>
    <cellStyle name="SAPBEXaggData 2 8" xfId="483"/>
    <cellStyle name="SAPBEXaggData 3" xfId="192"/>
    <cellStyle name="SAPBEXaggData 3 2" xfId="558"/>
    <cellStyle name="SAPBEXaggData 4" xfId="157"/>
    <cellStyle name="SAPBEXaggData 4 2" xfId="523"/>
    <cellStyle name="SAPBEXaggData 5" xfId="161"/>
    <cellStyle name="SAPBEXaggData 5 2" xfId="527"/>
    <cellStyle name="SAPBEXaggDataEmph" xfId="74"/>
    <cellStyle name="SAPBEXaggDataEmph 2" xfId="117"/>
    <cellStyle name="SAPBEXaggDataEmph 2 2" xfId="231"/>
    <cellStyle name="SAPBEXaggDataEmph 2 2 2" xfId="596"/>
    <cellStyle name="SAPBEXaggDataEmph 2 3" xfId="304"/>
    <cellStyle name="SAPBEXaggDataEmph 2 3 2" xfId="669"/>
    <cellStyle name="SAPBEXaggDataEmph 2 4" xfId="372"/>
    <cellStyle name="SAPBEXaggDataEmph 2 4 2" xfId="737"/>
    <cellStyle name="SAPBEXaggDataEmph 2 5" xfId="341"/>
    <cellStyle name="SAPBEXaggDataEmph 2 5 2" xfId="706"/>
    <cellStyle name="SAPBEXaggDataEmph 2 6" xfId="412"/>
    <cellStyle name="SAPBEXaggDataEmph 2 6 2" xfId="777"/>
    <cellStyle name="SAPBEXaggDataEmph 2 7" xfId="447"/>
    <cellStyle name="SAPBEXaggDataEmph 2 7 2" xfId="812"/>
    <cellStyle name="SAPBEXaggDataEmph 2 8" xfId="484"/>
    <cellStyle name="SAPBEXaggDataEmph 3" xfId="193"/>
    <cellStyle name="SAPBEXaggDataEmph 3 2" xfId="559"/>
    <cellStyle name="SAPBEXaggDataEmph 4" xfId="156"/>
    <cellStyle name="SAPBEXaggDataEmph 4 2" xfId="522"/>
    <cellStyle name="SAPBEXaggDataEmph 5" xfId="162"/>
    <cellStyle name="SAPBEXaggDataEmph 5 2" xfId="528"/>
    <cellStyle name="SAPBEXaggItem" xfId="75"/>
    <cellStyle name="SAPBEXaggItem 2" xfId="118"/>
    <cellStyle name="SAPBEXaggItem 2 2" xfId="232"/>
    <cellStyle name="SAPBEXaggItem 2 2 2" xfId="597"/>
    <cellStyle name="SAPBEXaggItem 2 3" xfId="305"/>
    <cellStyle name="SAPBEXaggItem 2 3 2" xfId="670"/>
    <cellStyle name="SAPBEXaggItem 2 4" xfId="373"/>
    <cellStyle name="SAPBEXaggItem 2 4 2" xfId="738"/>
    <cellStyle name="SAPBEXaggItem 2 5" xfId="342"/>
    <cellStyle name="SAPBEXaggItem 2 5 2" xfId="707"/>
    <cellStyle name="SAPBEXaggItem 2 6" xfId="413"/>
    <cellStyle name="SAPBEXaggItem 2 6 2" xfId="778"/>
    <cellStyle name="SAPBEXaggItem 2 7" xfId="448"/>
    <cellStyle name="SAPBEXaggItem 2 7 2" xfId="813"/>
    <cellStyle name="SAPBEXaggItem 2 8" xfId="485"/>
    <cellStyle name="SAPBEXaggItem 3" xfId="194"/>
    <cellStyle name="SAPBEXaggItem 3 2" xfId="560"/>
    <cellStyle name="SAPBEXaggItem 4" xfId="155"/>
    <cellStyle name="SAPBEXaggItem 4 2" xfId="521"/>
    <cellStyle name="SAPBEXaggItem 5" xfId="163"/>
    <cellStyle name="SAPBEXaggItem 5 2" xfId="529"/>
    <cellStyle name="SAPBEXaggItemX" xfId="76"/>
    <cellStyle name="SAPBEXaggItemX 2" xfId="119"/>
    <cellStyle name="SAPBEXaggItemX 2 2" xfId="233"/>
    <cellStyle name="SAPBEXaggItemX 2 2 2" xfId="598"/>
    <cellStyle name="SAPBEXaggItemX 2 3" xfId="306"/>
    <cellStyle name="SAPBEXaggItemX 2 3 2" xfId="671"/>
    <cellStyle name="SAPBEXaggItemX 2 4" xfId="374"/>
    <cellStyle name="SAPBEXaggItemX 2 4 2" xfId="739"/>
    <cellStyle name="SAPBEXaggItemX 2 5" xfId="343"/>
    <cellStyle name="SAPBEXaggItemX 2 5 2" xfId="708"/>
    <cellStyle name="SAPBEXaggItemX 2 6" xfId="414"/>
    <cellStyle name="SAPBEXaggItemX 2 6 2" xfId="779"/>
    <cellStyle name="SAPBEXaggItemX 2 7" xfId="449"/>
    <cellStyle name="SAPBEXaggItemX 2 7 2" xfId="814"/>
    <cellStyle name="SAPBEXaggItemX 2 8" xfId="486"/>
    <cellStyle name="SAPBEXaggItemX 3" xfId="195"/>
    <cellStyle name="SAPBEXaggItemX 3 2" xfId="561"/>
    <cellStyle name="SAPBEXaggItemX 4" xfId="153"/>
    <cellStyle name="SAPBEXaggItemX 4 2" xfId="519"/>
    <cellStyle name="SAPBEXaggItemX 5" xfId="164"/>
    <cellStyle name="SAPBEXaggItemX 5 2" xfId="530"/>
    <cellStyle name="SAPBEXchaText" xfId="77"/>
    <cellStyle name="SAPBEXchaText 2" xfId="120"/>
    <cellStyle name="SAPBEXchaText 2 2" xfId="234"/>
    <cellStyle name="SAPBEXchaText 2 2 2" xfId="599"/>
    <cellStyle name="SAPBEXchaText 2 3" xfId="307"/>
    <cellStyle name="SAPBEXchaText 2 3 2" xfId="672"/>
    <cellStyle name="SAPBEXchaText 2 4" xfId="375"/>
    <cellStyle name="SAPBEXchaText 2 4 2" xfId="740"/>
    <cellStyle name="SAPBEXchaText 2 5" xfId="344"/>
    <cellStyle name="SAPBEXchaText 2 5 2" xfId="709"/>
    <cellStyle name="SAPBEXchaText 2 6" xfId="415"/>
    <cellStyle name="SAPBEXchaText 2 6 2" xfId="780"/>
    <cellStyle name="SAPBEXchaText 2 7" xfId="450"/>
    <cellStyle name="SAPBEXchaText 2 7 2" xfId="815"/>
    <cellStyle name="SAPBEXchaText 2 8" xfId="487"/>
    <cellStyle name="SAPBEXchaText 3" xfId="196"/>
    <cellStyle name="SAPBEXchaText 3 2" xfId="562"/>
    <cellStyle name="SAPBEXchaText 4" xfId="266"/>
    <cellStyle name="SAPBEXchaText 4 2" xfId="631"/>
    <cellStyle name="SAPBEXchaText 5" xfId="165"/>
    <cellStyle name="SAPBEXchaText 5 2" xfId="531"/>
    <cellStyle name="SAPBEXexcBad7" xfId="78"/>
    <cellStyle name="SAPBEXexcBad7 2" xfId="121"/>
    <cellStyle name="SAPBEXexcBad7 2 2" xfId="235"/>
    <cellStyle name="SAPBEXexcBad7 2 2 2" xfId="600"/>
    <cellStyle name="SAPBEXexcBad7 2 3" xfId="308"/>
    <cellStyle name="SAPBEXexcBad7 2 3 2" xfId="673"/>
    <cellStyle name="SAPBEXexcBad7 2 4" xfId="376"/>
    <cellStyle name="SAPBEXexcBad7 2 4 2" xfId="741"/>
    <cellStyle name="SAPBEXexcBad7 2 5" xfId="345"/>
    <cellStyle name="SAPBEXexcBad7 2 5 2" xfId="710"/>
    <cellStyle name="SAPBEXexcBad7 2 6" xfId="416"/>
    <cellStyle name="SAPBEXexcBad7 2 6 2" xfId="781"/>
    <cellStyle name="SAPBEXexcBad7 2 7" xfId="451"/>
    <cellStyle name="SAPBEXexcBad7 2 7 2" xfId="816"/>
    <cellStyle name="SAPBEXexcBad7 2 8" xfId="488"/>
    <cellStyle name="SAPBEXexcBad7 3" xfId="197"/>
    <cellStyle name="SAPBEXexcBad7 3 2" xfId="563"/>
    <cellStyle name="SAPBEXexcBad7 4" xfId="267"/>
    <cellStyle name="SAPBEXexcBad7 4 2" xfId="632"/>
    <cellStyle name="SAPBEXexcBad7 5" xfId="166"/>
    <cellStyle name="SAPBEXexcBad7 5 2" xfId="532"/>
    <cellStyle name="SAPBEXexcBad8" xfId="79"/>
    <cellStyle name="SAPBEXexcBad8 2" xfId="122"/>
    <cellStyle name="SAPBEXexcBad8 2 2" xfId="236"/>
    <cellStyle name="SAPBEXexcBad8 2 2 2" xfId="601"/>
    <cellStyle name="SAPBEXexcBad8 2 3" xfId="309"/>
    <cellStyle name="SAPBEXexcBad8 2 3 2" xfId="674"/>
    <cellStyle name="SAPBEXexcBad8 2 4" xfId="377"/>
    <cellStyle name="SAPBEXexcBad8 2 4 2" xfId="742"/>
    <cellStyle name="SAPBEXexcBad8 2 5" xfId="346"/>
    <cellStyle name="SAPBEXexcBad8 2 5 2" xfId="711"/>
    <cellStyle name="SAPBEXexcBad8 2 6" xfId="417"/>
    <cellStyle name="SAPBEXexcBad8 2 6 2" xfId="782"/>
    <cellStyle name="SAPBEXexcBad8 2 7" xfId="452"/>
    <cellStyle name="SAPBEXexcBad8 2 7 2" xfId="817"/>
    <cellStyle name="SAPBEXexcBad8 2 8" xfId="489"/>
    <cellStyle name="SAPBEXexcBad8 3" xfId="198"/>
    <cellStyle name="SAPBEXexcBad8 3 2" xfId="564"/>
    <cellStyle name="SAPBEXexcBad8 4" xfId="268"/>
    <cellStyle name="SAPBEXexcBad8 4 2" xfId="633"/>
    <cellStyle name="SAPBEXexcBad8 5" xfId="167"/>
    <cellStyle name="SAPBEXexcBad8 5 2" xfId="533"/>
    <cellStyle name="SAPBEXexcBad9" xfId="80"/>
    <cellStyle name="SAPBEXexcBad9 2" xfId="123"/>
    <cellStyle name="SAPBEXexcBad9 2 2" xfId="237"/>
    <cellStyle name="SAPBEXexcBad9 2 2 2" xfId="602"/>
    <cellStyle name="SAPBEXexcBad9 2 3" xfId="310"/>
    <cellStyle name="SAPBEXexcBad9 2 3 2" xfId="675"/>
    <cellStyle name="SAPBEXexcBad9 2 4" xfId="378"/>
    <cellStyle name="SAPBEXexcBad9 2 4 2" xfId="743"/>
    <cellStyle name="SAPBEXexcBad9 2 5" xfId="368"/>
    <cellStyle name="SAPBEXexcBad9 2 5 2" xfId="733"/>
    <cellStyle name="SAPBEXexcBad9 2 6" xfId="418"/>
    <cellStyle name="SAPBEXexcBad9 2 6 2" xfId="783"/>
    <cellStyle name="SAPBEXexcBad9 2 7" xfId="453"/>
    <cellStyle name="SAPBEXexcBad9 2 7 2" xfId="818"/>
    <cellStyle name="SAPBEXexcBad9 2 8" xfId="490"/>
    <cellStyle name="SAPBEXexcBad9 3" xfId="199"/>
    <cellStyle name="SAPBEXexcBad9 3 2" xfId="565"/>
    <cellStyle name="SAPBEXexcBad9 4" xfId="269"/>
    <cellStyle name="SAPBEXexcBad9 4 2" xfId="634"/>
    <cellStyle name="SAPBEXexcBad9 5" xfId="168"/>
    <cellStyle name="SAPBEXexcBad9 5 2" xfId="534"/>
    <cellStyle name="SAPBEXexcCritical4" xfId="81"/>
    <cellStyle name="SAPBEXexcCritical4 2" xfId="124"/>
    <cellStyle name="SAPBEXexcCritical4 2 2" xfId="238"/>
    <cellStyle name="SAPBEXexcCritical4 2 2 2" xfId="603"/>
    <cellStyle name="SAPBEXexcCritical4 2 3" xfId="311"/>
    <cellStyle name="SAPBEXexcCritical4 2 3 2" xfId="676"/>
    <cellStyle name="SAPBEXexcCritical4 2 4" xfId="379"/>
    <cellStyle name="SAPBEXexcCritical4 2 4 2" xfId="744"/>
    <cellStyle name="SAPBEXexcCritical4 2 5" xfId="154"/>
    <cellStyle name="SAPBEXexcCritical4 2 5 2" xfId="520"/>
    <cellStyle name="SAPBEXexcCritical4 2 6" xfId="419"/>
    <cellStyle name="SAPBEXexcCritical4 2 6 2" xfId="784"/>
    <cellStyle name="SAPBEXexcCritical4 2 7" xfId="454"/>
    <cellStyle name="SAPBEXexcCritical4 2 7 2" xfId="819"/>
    <cellStyle name="SAPBEXexcCritical4 2 8" xfId="491"/>
    <cellStyle name="SAPBEXexcCritical4 3" xfId="200"/>
    <cellStyle name="SAPBEXexcCritical4 3 2" xfId="566"/>
    <cellStyle name="SAPBEXexcCritical4 4" xfId="270"/>
    <cellStyle name="SAPBEXexcCritical4 4 2" xfId="635"/>
    <cellStyle name="SAPBEXexcCritical4 5" xfId="169"/>
    <cellStyle name="SAPBEXexcCritical4 5 2" xfId="535"/>
    <cellStyle name="SAPBEXexcCritical5" xfId="82"/>
    <cellStyle name="SAPBEXexcCritical5 2" xfId="125"/>
    <cellStyle name="SAPBEXexcCritical5 2 2" xfId="239"/>
    <cellStyle name="SAPBEXexcCritical5 2 2 2" xfId="604"/>
    <cellStyle name="SAPBEXexcCritical5 2 3" xfId="312"/>
    <cellStyle name="SAPBEXexcCritical5 2 3 2" xfId="677"/>
    <cellStyle name="SAPBEXexcCritical5 2 4" xfId="380"/>
    <cellStyle name="SAPBEXexcCritical5 2 4 2" xfId="745"/>
    <cellStyle name="SAPBEXexcCritical5 2 5" xfId="364"/>
    <cellStyle name="SAPBEXexcCritical5 2 5 2" xfId="729"/>
    <cellStyle name="SAPBEXexcCritical5 2 6" xfId="420"/>
    <cellStyle name="SAPBEXexcCritical5 2 6 2" xfId="785"/>
    <cellStyle name="SAPBEXexcCritical5 2 7" xfId="455"/>
    <cellStyle name="SAPBEXexcCritical5 2 7 2" xfId="820"/>
    <cellStyle name="SAPBEXexcCritical5 2 8" xfId="492"/>
    <cellStyle name="SAPBEXexcCritical5 3" xfId="201"/>
    <cellStyle name="SAPBEXexcCritical5 3 2" xfId="567"/>
    <cellStyle name="SAPBEXexcCritical5 4" xfId="271"/>
    <cellStyle name="SAPBEXexcCritical5 4 2" xfId="636"/>
    <cellStyle name="SAPBEXexcCritical5 5" xfId="170"/>
    <cellStyle name="SAPBEXexcCritical5 5 2" xfId="536"/>
    <cellStyle name="SAPBEXexcCritical6" xfId="83"/>
    <cellStyle name="SAPBEXexcCritical6 2" xfId="126"/>
    <cellStyle name="SAPBEXexcCritical6 2 2" xfId="240"/>
    <cellStyle name="SAPBEXexcCritical6 2 2 2" xfId="605"/>
    <cellStyle name="SAPBEXexcCritical6 2 3" xfId="313"/>
    <cellStyle name="SAPBEXexcCritical6 2 3 2" xfId="678"/>
    <cellStyle name="SAPBEXexcCritical6 2 4" xfId="381"/>
    <cellStyle name="SAPBEXexcCritical6 2 4 2" xfId="746"/>
    <cellStyle name="SAPBEXexcCritical6 2 5" xfId="366"/>
    <cellStyle name="SAPBEXexcCritical6 2 5 2" xfId="731"/>
    <cellStyle name="SAPBEXexcCritical6 2 6" xfId="421"/>
    <cellStyle name="SAPBEXexcCritical6 2 6 2" xfId="786"/>
    <cellStyle name="SAPBEXexcCritical6 2 7" xfId="456"/>
    <cellStyle name="SAPBEXexcCritical6 2 7 2" xfId="821"/>
    <cellStyle name="SAPBEXexcCritical6 2 8" xfId="493"/>
    <cellStyle name="SAPBEXexcCritical6 3" xfId="202"/>
    <cellStyle name="SAPBEXexcCritical6 3 2" xfId="568"/>
    <cellStyle name="SAPBEXexcCritical6 4" xfId="272"/>
    <cellStyle name="SAPBEXexcCritical6 4 2" xfId="637"/>
    <cellStyle name="SAPBEXexcCritical6 5" xfId="171"/>
    <cellStyle name="SAPBEXexcCritical6 5 2" xfId="537"/>
    <cellStyle name="SAPBEXexcGood1" xfId="84"/>
    <cellStyle name="SAPBEXexcGood1 2" xfId="127"/>
    <cellStyle name="SAPBEXexcGood1 2 2" xfId="241"/>
    <cellStyle name="SAPBEXexcGood1 2 2 2" xfId="606"/>
    <cellStyle name="SAPBEXexcGood1 2 3" xfId="314"/>
    <cellStyle name="SAPBEXexcGood1 2 3 2" xfId="679"/>
    <cellStyle name="SAPBEXexcGood1 2 4" xfId="382"/>
    <cellStyle name="SAPBEXexcGood1 2 4 2" xfId="747"/>
    <cellStyle name="SAPBEXexcGood1 2 5" xfId="158"/>
    <cellStyle name="SAPBEXexcGood1 2 5 2" xfId="524"/>
    <cellStyle name="SAPBEXexcGood1 2 6" xfId="422"/>
    <cellStyle name="SAPBEXexcGood1 2 6 2" xfId="787"/>
    <cellStyle name="SAPBEXexcGood1 2 7" xfId="457"/>
    <cellStyle name="SAPBEXexcGood1 2 7 2" xfId="822"/>
    <cellStyle name="SAPBEXexcGood1 2 8" xfId="494"/>
    <cellStyle name="SAPBEXexcGood1 3" xfId="203"/>
    <cellStyle name="SAPBEXexcGood1 3 2" xfId="569"/>
    <cellStyle name="SAPBEXexcGood1 4" xfId="273"/>
    <cellStyle name="SAPBEXexcGood1 4 2" xfId="638"/>
    <cellStyle name="SAPBEXexcGood1 5" xfId="172"/>
    <cellStyle name="SAPBEXexcGood1 5 2" xfId="538"/>
    <cellStyle name="SAPBEXexcGood2" xfId="85"/>
    <cellStyle name="SAPBEXexcGood2 2" xfId="128"/>
    <cellStyle name="SAPBEXexcGood2 2 2" xfId="242"/>
    <cellStyle name="SAPBEXexcGood2 2 2 2" xfId="607"/>
    <cellStyle name="SAPBEXexcGood2 2 3" xfId="315"/>
    <cellStyle name="SAPBEXexcGood2 2 3 2" xfId="680"/>
    <cellStyle name="SAPBEXexcGood2 2 4" xfId="383"/>
    <cellStyle name="SAPBEXexcGood2 2 4 2" xfId="748"/>
    <cellStyle name="SAPBEXexcGood2 2 5" xfId="367"/>
    <cellStyle name="SAPBEXexcGood2 2 5 2" xfId="732"/>
    <cellStyle name="SAPBEXexcGood2 2 6" xfId="423"/>
    <cellStyle name="SAPBEXexcGood2 2 6 2" xfId="788"/>
    <cellStyle name="SAPBEXexcGood2 2 7" xfId="458"/>
    <cellStyle name="SAPBEXexcGood2 2 7 2" xfId="823"/>
    <cellStyle name="SAPBEXexcGood2 2 8" xfId="495"/>
    <cellStyle name="SAPBEXexcGood2 3" xfId="204"/>
    <cellStyle name="SAPBEXexcGood2 3 2" xfId="570"/>
    <cellStyle name="SAPBEXexcGood2 4" xfId="274"/>
    <cellStyle name="SAPBEXexcGood2 4 2" xfId="639"/>
    <cellStyle name="SAPBEXexcGood2 5" xfId="173"/>
    <cellStyle name="SAPBEXexcGood2 5 2" xfId="539"/>
    <cellStyle name="SAPBEXexcGood3" xfId="86"/>
    <cellStyle name="SAPBEXexcGood3 2" xfId="129"/>
    <cellStyle name="SAPBEXexcGood3 2 2" xfId="243"/>
    <cellStyle name="SAPBEXexcGood3 2 2 2" xfId="608"/>
    <cellStyle name="SAPBEXexcGood3 2 3" xfId="316"/>
    <cellStyle name="SAPBEXexcGood3 2 3 2" xfId="681"/>
    <cellStyle name="SAPBEXexcGood3 2 4" xfId="384"/>
    <cellStyle name="SAPBEXexcGood3 2 4 2" xfId="749"/>
    <cellStyle name="SAPBEXexcGood3 2 5" xfId="409"/>
    <cellStyle name="SAPBEXexcGood3 2 5 2" xfId="774"/>
    <cellStyle name="SAPBEXexcGood3 2 6" xfId="424"/>
    <cellStyle name="SAPBEXexcGood3 2 6 2" xfId="789"/>
    <cellStyle name="SAPBEXexcGood3 2 7" xfId="459"/>
    <cellStyle name="SAPBEXexcGood3 2 7 2" xfId="824"/>
    <cellStyle name="SAPBEXexcGood3 2 8" xfId="496"/>
    <cellStyle name="SAPBEXexcGood3 3" xfId="205"/>
    <cellStyle name="SAPBEXexcGood3 3 2" xfId="571"/>
    <cellStyle name="SAPBEXexcGood3 4" xfId="275"/>
    <cellStyle name="SAPBEXexcGood3 4 2" xfId="640"/>
    <cellStyle name="SAPBEXexcGood3 5" xfId="174"/>
    <cellStyle name="SAPBEXexcGood3 5 2" xfId="540"/>
    <cellStyle name="SAPBEXfilterDrill" xfId="87"/>
    <cellStyle name="SAPBEXfilterDrill 2" xfId="130"/>
    <cellStyle name="SAPBEXfilterDrill 2 2" xfId="244"/>
    <cellStyle name="SAPBEXfilterDrill 2 2 2" xfId="609"/>
    <cellStyle name="SAPBEXfilterDrill 2 3" xfId="317"/>
    <cellStyle name="SAPBEXfilterDrill 2 3 2" xfId="682"/>
    <cellStyle name="SAPBEXfilterDrill 2 4" xfId="385"/>
    <cellStyle name="SAPBEXfilterDrill 2 4 2" xfId="750"/>
    <cellStyle name="SAPBEXfilterDrill 2 5" xfId="159"/>
    <cellStyle name="SAPBEXfilterDrill 2 5 2" xfId="525"/>
    <cellStyle name="SAPBEXfilterDrill 2 6" xfId="425"/>
    <cellStyle name="SAPBEXfilterDrill 2 6 2" xfId="790"/>
    <cellStyle name="SAPBEXfilterDrill 2 7" xfId="460"/>
    <cellStyle name="SAPBEXfilterDrill 2 7 2" xfId="825"/>
    <cellStyle name="SAPBEXfilterDrill 2 8" xfId="497"/>
    <cellStyle name="SAPBEXfilterDrill 3" xfId="206"/>
    <cellStyle name="SAPBEXfilterDrill 3 2" xfId="572"/>
    <cellStyle name="SAPBEXfilterDrill 4" xfId="276"/>
    <cellStyle name="SAPBEXfilterDrill 4 2" xfId="641"/>
    <cellStyle name="SAPBEXfilterDrill 5" xfId="175"/>
    <cellStyle name="SAPBEXfilterDrill 5 2" xfId="541"/>
    <cellStyle name="SAPBEXfilterItem" xfId="88"/>
    <cellStyle name="SAPBEXfilterItem 2" xfId="131"/>
    <cellStyle name="SAPBEXfilterItem 2 2" xfId="245"/>
    <cellStyle name="SAPBEXfilterItem 2 2 2" xfId="610"/>
    <cellStyle name="SAPBEXfilterItem 2 3" xfId="318"/>
    <cellStyle name="SAPBEXfilterItem 2 3 2" xfId="683"/>
    <cellStyle name="SAPBEXfilterItem 2 4" xfId="386"/>
    <cellStyle name="SAPBEXfilterItem 2 4 2" xfId="751"/>
    <cellStyle name="SAPBEXfilterItem 2 5" xfId="408"/>
    <cellStyle name="SAPBEXfilterItem 2 5 2" xfId="773"/>
    <cellStyle name="SAPBEXfilterItem 2 6" xfId="348"/>
    <cellStyle name="SAPBEXfilterItem 2 6 2" xfId="713"/>
    <cellStyle name="SAPBEXfilterItem 2 7" xfId="426"/>
    <cellStyle name="SAPBEXfilterItem 2 7 2" xfId="791"/>
    <cellStyle name="SAPBEXfilterItem 2 8" xfId="461"/>
    <cellStyle name="SAPBEXfilterItem 2 8 2" xfId="826"/>
    <cellStyle name="SAPBEXfilterItem 2 9" xfId="498"/>
    <cellStyle name="SAPBEXfilterItem 3" xfId="207"/>
    <cellStyle name="SAPBEXfilterItem 3 2" xfId="573"/>
    <cellStyle name="SAPBEXfilterItem 4" xfId="277"/>
    <cellStyle name="SAPBEXfilterItem 4 2" xfId="642"/>
    <cellStyle name="SAPBEXfilterItem 5" xfId="347"/>
    <cellStyle name="SAPBEXfilterItem 5 2" xfId="712"/>
    <cellStyle name="SAPBEXfilterItem 6" xfId="278"/>
    <cellStyle name="SAPBEXfilterItem 6 2" xfId="643"/>
    <cellStyle name="SAPBEXfilterItem 7" xfId="407"/>
    <cellStyle name="SAPBEXfilterItem 7 2" xfId="772"/>
    <cellStyle name="SAPBEXfilterText" xfId="89"/>
    <cellStyle name="SAPBEXformats" xfId="90"/>
    <cellStyle name="SAPBEXformats 2" xfId="132"/>
    <cellStyle name="SAPBEXformats 2 2" xfId="246"/>
    <cellStyle name="SAPBEXformats 2 2 2" xfId="611"/>
    <cellStyle name="SAPBEXformats 2 3" xfId="319"/>
    <cellStyle name="SAPBEXformats 2 3 2" xfId="684"/>
    <cellStyle name="SAPBEXformats 2 4" xfId="387"/>
    <cellStyle name="SAPBEXformats 2 4 2" xfId="752"/>
    <cellStyle name="SAPBEXformats 2 5" xfId="349"/>
    <cellStyle name="SAPBEXformats 2 5 2" xfId="714"/>
    <cellStyle name="SAPBEXformats 2 6" xfId="427"/>
    <cellStyle name="SAPBEXformats 2 6 2" xfId="792"/>
    <cellStyle name="SAPBEXformats 2 7" xfId="462"/>
    <cellStyle name="SAPBEXformats 2 7 2" xfId="827"/>
    <cellStyle name="SAPBEXformats 2 8" xfId="499"/>
    <cellStyle name="SAPBEXformats 3" xfId="208"/>
    <cellStyle name="SAPBEXformats 3 2" xfId="574"/>
    <cellStyle name="SAPBEXformats 4" xfId="279"/>
    <cellStyle name="SAPBEXformats 4 2" xfId="644"/>
    <cellStyle name="SAPBEXformats 5" xfId="188"/>
    <cellStyle name="SAPBEXformats 5 2" xfId="554"/>
    <cellStyle name="SAPBEXheaderItem" xfId="91"/>
    <cellStyle name="SAPBEXheaderItem 2" xfId="133"/>
    <cellStyle name="SAPBEXheaderItem 2 2" xfId="247"/>
    <cellStyle name="SAPBEXheaderItem 2 2 2" xfId="612"/>
    <cellStyle name="SAPBEXheaderItem 2 3" xfId="320"/>
    <cellStyle name="SAPBEXheaderItem 2 3 2" xfId="685"/>
    <cellStyle name="SAPBEXheaderItem 2 4" xfId="388"/>
    <cellStyle name="SAPBEXheaderItem 2 4 2" xfId="753"/>
    <cellStyle name="SAPBEXheaderItem 2 5" xfId="350"/>
    <cellStyle name="SAPBEXheaderItem 2 5 2" xfId="715"/>
    <cellStyle name="SAPBEXheaderItem 2 6" xfId="428"/>
    <cellStyle name="SAPBEXheaderItem 2 6 2" xfId="793"/>
    <cellStyle name="SAPBEXheaderItem 2 7" xfId="463"/>
    <cellStyle name="SAPBEXheaderItem 2 7 2" xfId="828"/>
    <cellStyle name="SAPBEXheaderItem 2 8" xfId="500"/>
    <cellStyle name="SAPBEXheaderItem 3" xfId="209"/>
    <cellStyle name="SAPBEXheaderItem 3 2" xfId="575"/>
    <cellStyle name="SAPBEXheaderItem 4" xfId="280"/>
    <cellStyle name="SAPBEXheaderItem 4 2" xfId="645"/>
    <cellStyle name="SAPBEXheaderItem 5" xfId="190"/>
    <cellStyle name="SAPBEXheaderItem 5 2" xfId="556"/>
    <cellStyle name="SAPBEXheaderText" xfId="92"/>
    <cellStyle name="SAPBEXheaderText 2" xfId="134"/>
    <cellStyle name="SAPBEXheaderText 2 2" xfId="248"/>
    <cellStyle name="SAPBEXheaderText 2 2 2" xfId="613"/>
    <cellStyle name="SAPBEXheaderText 2 3" xfId="321"/>
    <cellStyle name="SAPBEXheaderText 2 3 2" xfId="686"/>
    <cellStyle name="SAPBEXheaderText 2 4" xfId="389"/>
    <cellStyle name="SAPBEXheaderText 2 4 2" xfId="754"/>
    <cellStyle name="SAPBEXheaderText 2 5" xfId="298"/>
    <cellStyle name="SAPBEXheaderText 2 5 2" xfId="663"/>
    <cellStyle name="SAPBEXheaderText 2 6" xfId="429"/>
    <cellStyle name="SAPBEXheaderText 2 6 2" xfId="794"/>
    <cellStyle name="SAPBEXheaderText 2 7" xfId="464"/>
    <cellStyle name="SAPBEXheaderText 2 7 2" xfId="829"/>
    <cellStyle name="SAPBEXheaderText 2 8" xfId="501"/>
    <cellStyle name="SAPBEXheaderText 3" xfId="210"/>
    <cellStyle name="SAPBEXheaderText 3 2" xfId="576"/>
    <cellStyle name="SAPBEXheaderText 4" xfId="281"/>
    <cellStyle name="SAPBEXheaderText 4 2" xfId="646"/>
    <cellStyle name="SAPBEXheaderText 5" xfId="301"/>
    <cellStyle name="SAPBEXheaderText 5 2" xfId="666"/>
    <cellStyle name="SAPBEXHLevel0" xfId="93"/>
    <cellStyle name="SAPBEXHLevel0 2" xfId="135"/>
    <cellStyle name="SAPBEXHLevel0 2 2" xfId="249"/>
    <cellStyle name="SAPBEXHLevel0 2 2 2" xfId="614"/>
    <cellStyle name="SAPBEXHLevel0 2 3" xfId="322"/>
    <cellStyle name="SAPBEXHLevel0 2 3 2" xfId="687"/>
    <cellStyle name="SAPBEXHLevel0 2 4" xfId="390"/>
    <cellStyle name="SAPBEXHLevel0 2 4 2" xfId="755"/>
    <cellStyle name="SAPBEXHLevel0 2 5" xfId="351"/>
    <cellStyle name="SAPBEXHLevel0 2 5 2" xfId="716"/>
    <cellStyle name="SAPBEXHLevel0 2 6" xfId="430"/>
    <cellStyle name="SAPBEXHLevel0 2 6 2" xfId="795"/>
    <cellStyle name="SAPBEXHLevel0 2 7" xfId="465"/>
    <cellStyle name="SAPBEXHLevel0 2 7 2" xfId="830"/>
    <cellStyle name="SAPBEXHLevel0 2 8" xfId="502"/>
    <cellStyle name="SAPBEXHLevel0 3" xfId="211"/>
    <cellStyle name="SAPBEXHLevel0 3 2" xfId="577"/>
    <cellStyle name="SAPBEXHLevel0 4" xfId="282"/>
    <cellStyle name="SAPBEXHLevel0 4 2" xfId="647"/>
    <cellStyle name="SAPBEXHLevel0 5" xfId="191"/>
    <cellStyle name="SAPBEXHLevel0 5 2" xfId="557"/>
    <cellStyle name="SAPBEXHLevel0X" xfId="94"/>
    <cellStyle name="SAPBEXHLevel0X 2" xfId="136"/>
    <cellStyle name="SAPBEXHLevel0X 2 2" xfId="250"/>
    <cellStyle name="SAPBEXHLevel0X 2 2 2" xfId="615"/>
    <cellStyle name="SAPBEXHLevel0X 2 3" xfId="323"/>
    <cellStyle name="SAPBEXHLevel0X 2 3 2" xfId="688"/>
    <cellStyle name="SAPBEXHLevel0X 2 4" xfId="391"/>
    <cellStyle name="SAPBEXHLevel0X 2 4 2" xfId="756"/>
    <cellStyle name="SAPBEXHLevel0X 2 5" xfId="352"/>
    <cellStyle name="SAPBEXHLevel0X 2 5 2" xfId="717"/>
    <cellStyle name="SAPBEXHLevel0X 2 6" xfId="431"/>
    <cellStyle name="SAPBEXHLevel0X 2 6 2" xfId="796"/>
    <cellStyle name="SAPBEXHLevel0X 2 7" xfId="466"/>
    <cellStyle name="SAPBEXHLevel0X 2 7 2" xfId="831"/>
    <cellStyle name="SAPBEXHLevel0X 2 8" xfId="503"/>
    <cellStyle name="SAPBEXHLevel0X 3" xfId="212"/>
    <cellStyle name="SAPBEXHLevel0X 3 2" xfId="578"/>
    <cellStyle name="SAPBEXHLevel0X 4" xfId="283"/>
    <cellStyle name="SAPBEXHLevel0X 4 2" xfId="648"/>
    <cellStyle name="SAPBEXHLevel0X 5" xfId="339"/>
    <cellStyle name="SAPBEXHLevel0X 5 2" xfId="704"/>
    <cellStyle name="SAPBEXHLevel1" xfId="95"/>
    <cellStyle name="SAPBEXHLevel1 2" xfId="137"/>
    <cellStyle name="SAPBEXHLevel1 2 2" xfId="251"/>
    <cellStyle name="SAPBEXHLevel1 2 2 2" xfId="616"/>
    <cellStyle name="SAPBEXHLevel1 2 3" xfId="324"/>
    <cellStyle name="SAPBEXHLevel1 2 3 2" xfId="689"/>
    <cellStyle name="SAPBEXHLevel1 2 4" xfId="392"/>
    <cellStyle name="SAPBEXHLevel1 2 4 2" xfId="757"/>
    <cellStyle name="SAPBEXHLevel1 2 5" xfId="353"/>
    <cellStyle name="SAPBEXHLevel1 2 5 2" xfId="718"/>
    <cellStyle name="SAPBEXHLevel1 2 6" xfId="432"/>
    <cellStyle name="SAPBEXHLevel1 2 6 2" xfId="797"/>
    <cellStyle name="SAPBEXHLevel1 2 7" xfId="467"/>
    <cellStyle name="SAPBEXHLevel1 2 7 2" xfId="832"/>
    <cellStyle name="SAPBEXHLevel1 2 8" xfId="504"/>
    <cellStyle name="SAPBEXHLevel1 3" xfId="213"/>
    <cellStyle name="SAPBEXHLevel1 3 2" xfId="579"/>
    <cellStyle name="SAPBEXHLevel1 4" xfId="284"/>
    <cellStyle name="SAPBEXHLevel1 4 2" xfId="649"/>
    <cellStyle name="SAPBEXHLevel1 5" xfId="300"/>
    <cellStyle name="SAPBEXHLevel1 5 2" xfId="665"/>
    <cellStyle name="SAPBEXHLevel1X" xfId="96"/>
    <cellStyle name="SAPBEXHLevel1X 2" xfId="138"/>
    <cellStyle name="SAPBEXHLevel1X 2 2" xfId="252"/>
    <cellStyle name="SAPBEXHLevel1X 2 2 2" xfId="617"/>
    <cellStyle name="SAPBEXHLevel1X 2 3" xfId="325"/>
    <cellStyle name="SAPBEXHLevel1X 2 3 2" xfId="690"/>
    <cellStyle name="SAPBEXHLevel1X 2 4" xfId="393"/>
    <cellStyle name="SAPBEXHLevel1X 2 4 2" xfId="758"/>
    <cellStyle name="SAPBEXHLevel1X 2 5" xfId="354"/>
    <cellStyle name="SAPBEXHLevel1X 2 5 2" xfId="719"/>
    <cellStyle name="SAPBEXHLevel1X 2 6" xfId="433"/>
    <cellStyle name="SAPBEXHLevel1X 2 6 2" xfId="798"/>
    <cellStyle name="SAPBEXHLevel1X 2 7" xfId="468"/>
    <cellStyle name="SAPBEXHLevel1X 2 7 2" xfId="833"/>
    <cellStyle name="SAPBEXHLevel1X 2 8" xfId="505"/>
    <cellStyle name="SAPBEXHLevel1X 3" xfId="214"/>
    <cellStyle name="SAPBEXHLevel1X 3 2" xfId="580"/>
    <cellStyle name="SAPBEXHLevel1X 4" xfId="285"/>
    <cellStyle name="SAPBEXHLevel1X 4 2" xfId="650"/>
    <cellStyle name="SAPBEXHLevel1X 5" xfId="176"/>
    <cellStyle name="SAPBEXHLevel1X 5 2" xfId="542"/>
    <cellStyle name="SAPBEXHLevel2" xfId="97"/>
    <cellStyle name="SAPBEXHLevel2 2" xfId="139"/>
    <cellStyle name="SAPBEXHLevel2 2 2" xfId="253"/>
    <cellStyle name="SAPBEXHLevel2 2 2 2" xfId="618"/>
    <cellStyle name="SAPBEXHLevel2 2 3" xfId="326"/>
    <cellStyle name="SAPBEXHLevel2 2 3 2" xfId="691"/>
    <cellStyle name="SAPBEXHLevel2 2 4" xfId="394"/>
    <cellStyle name="SAPBEXHLevel2 2 4 2" xfId="759"/>
    <cellStyle name="SAPBEXHLevel2 2 5" xfId="355"/>
    <cellStyle name="SAPBEXHLevel2 2 5 2" xfId="720"/>
    <cellStyle name="SAPBEXHLevel2 2 6" xfId="434"/>
    <cellStyle name="SAPBEXHLevel2 2 6 2" xfId="799"/>
    <cellStyle name="SAPBEXHLevel2 2 7" xfId="469"/>
    <cellStyle name="SAPBEXHLevel2 2 7 2" xfId="834"/>
    <cellStyle name="SAPBEXHLevel2 2 8" xfId="506"/>
    <cellStyle name="SAPBEXHLevel2 3" xfId="215"/>
    <cellStyle name="SAPBEXHLevel2 3 2" xfId="581"/>
    <cellStyle name="SAPBEXHLevel2 4" xfId="286"/>
    <cellStyle name="SAPBEXHLevel2 4 2" xfId="651"/>
    <cellStyle name="SAPBEXHLevel2 5" xfId="177"/>
    <cellStyle name="SAPBEXHLevel2 5 2" xfId="543"/>
    <cellStyle name="SAPBEXHLevel2X" xfId="98"/>
    <cellStyle name="SAPBEXHLevel2X 2" xfId="140"/>
    <cellStyle name="SAPBEXHLevel2X 2 2" xfId="254"/>
    <cellStyle name="SAPBEXHLevel2X 2 2 2" xfId="619"/>
    <cellStyle name="SAPBEXHLevel2X 2 3" xfId="327"/>
    <cellStyle name="SAPBEXHLevel2X 2 3 2" xfId="692"/>
    <cellStyle name="SAPBEXHLevel2X 2 4" xfId="395"/>
    <cellStyle name="SAPBEXHLevel2X 2 4 2" xfId="760"/>
    <cellStyle name="SAPBEXHLevel2X 2 5" xfId="356"/>
    <cellStyle name="SAPBEXHLevel2X 2 5 2" xfId="721"/>
    <cellStyle name="SAPBEXHLevel2X 2 6" xfId="435"/>
    <cellStyle name="SAPBEXHLevel2X 2 6 2" xfId="800"/>
    <cellStyle name="SAPBEXHLevel2X 2 7" xfId="470"/>
    <cellStyle name="SAPBEXHLevel2X 2 7 2" xfId="835"/>
    <cellStyle name="SAPBEXHLevel2X 2 8" xfId="507"/>
    <cellStyle name="SAPBEXHLevel2X 3" xfId="216"/>
    <cellStyle name="SAPBEXHLevel2X 3 2" xfId="582"/>
    <cellStyle name="SAPBEXHLevel2X 4" xfId="287"/>
    <cellStyle name="SAPBEXHLevel2X 4 2" xfId="652"/>
    <cellStyle name="SAPBEXHLevel2X 5" xfId="178"/>
    <cellStyle name="SAPBEXHLevel2X 5 2" xfId="544"/>
    <cellStyle name="SAPBEXHLevel3" xfId="99"/>
    <cellStyle name="SAPBEXHLevel3 2" xfId="141"/>
    <cellStyle name="SAPBEXHLevel3 2 2" xfId="255"/>
    <cellStyle name="SAPBEXHLevel3 2 2 2" xfId="620"/>
    <cellStyle name="SAPBEXHLevel3 2 3" xfId="328"/>
    <cellStyle name="SAPBEXHLevel3 2 3 2" xfId="693"/>
    <cellStyle name="SAPBEXHLevel3 2 4" xfId="396"/>
    <cellStyle name="SAPBEXHLevel3 2 4 2" xfId="761"/>
    <cellStyle name="SAPBEXHLevel3 2 5" xfId="357"/>
    <cellStyle name="SAPBEXHLevel3 2 5 2" xfId="722"/>
    <cellStyle name="SAPBEXHLevel3 2 6" xfId="436"/>
    <cellStyle name="SAPBEXHLevel3 2 6 2" xfId="801"/>
    <cellStyle name="SAPBEXHLevel3 2 7" xfId="471"/>
    <cellStyle name="SAPBEXHLevel3 2 7 2" xfId="836"/>
    <cellStyle name="SAPBEXHLevel3 2 8" xfId="508"/>
    <cellStyle name="SAPBEXHLevel3 3" xfId="217"/>
    <cellStyle name="SAPBEXHLevel3 3 2" xfId="583"/>
    <cellStyle name="SAPBEXHLevel3 4" xfId="288"/>
    <cellStyle name="SAPBEXHLevel3 4 2" xfId="653"/>
    <cellStyle name="SAPBEXHLevel3 5" xfId="302"/>
    <cellStyle name="SAPBEXHLevel3 5 2" xfId="667"/>
    <cellStyle name="SAPBEXHLevel3X" xfId="100"/>
    <cellStyle name="SAPBEXHLevel3X 2" xfId="142"/>
    <cellStyle name="SAPBEXHLevel3X 2 2" xfId="256"/>
    <cellStyle name="SAPBEXHLevel3X 2 2 2" xfId="621"/>
    <cellStyle name="SAPBEXHLevel3X 2 3" xfId="329"/>
    <cellStyle name="SAPBEXHLevel3X 2 3 2" xfId="694"/>
    <cellStyle name="SAPBEXHLevel3X 2 4" xfId="397"/>
    <cellStyle name="SAPBEXHLevel3X 2 4 2" xfId="762"/>
    <cellStyle name="SAPBEXHLevel3X 2 5" xfId="365"/>
    <cellStyle name="SAPBEXHLevel3X 2 5 2" xfId="730"/>
    <cellStyle name="SAPBEXHLevel3X 2 6" xfId="437"/>
    <cellStyle name="SAPBEXHLevel3X 2 6 2" xfId="802"/>
    <cellStyle name="SAPBEXHLevel3X 2 7" xfId="472"/>
    <cellStyle name="SAPBEXHLevel3X 2 7 2" xfId="837"/>
    <cellStyle name="SAPBEXHLevel3X 2 8" xfId="509"/>
    <cellStyle name="SAPBEXHLevel3X 3" xfId="218"/>
    <cellStyle name="SAPBEXHLevel3X 3 2" xfId="584"/>
    <cellStyle name="SAPBEXHLevel3X 4" xfId="289"/>
    <cellStyle name="SAPBEXHLevel3X 4 2" xfId="654"/>
    <cellStyle name="SAPBEXHLevel3X 5" xfId="179"/>
    <cellStyle name="SAPBEXHLevel3X 5 2" xfId="545"/>
    <cellStyle name="SAPBEXresData" xfId="101"/>
    <cellStyle name="SAPBEXresData 2" xfId="143"/>
    <cellStyle name="SAPBEXresData 2 2" xfId="257"/>
    <cellStyle name="SAPBEXresData 2 2 2" xfId="622"/>
    <cellStyle name="SAPBEXresData 2 3" xfId="330"/>
    <cellStyle name="SAPBEXresData 2 3 2" xfId="695"/>
    <cellStyle name="SAPBEXresData 2 4" xfId="398"/>
    <cellStyle name="SAPBEXresData 2 4 2" xfId="763"/>
    <cellStyle name="SAPBEXresData 2 5" xfId="370"/>
    <cellStyle name="SAPBEXresData 2 5 2" xfId="735"/>
    <cellStyle name="SAPBEXresData 2 6" xfId="438"/>
    <cellStyle name="SAPBEXresData 2 6 2" xfId="803"/>
    <cellStyle name="SAPBEXresData 2 7" xfId="473"/>
    <cellStyle name="SAPBEXresData 2 7 2" xfId="838"/>
    <cellStyle name="SAPBEXresData 2 8" xfId="510"/>
    <cellStyle name="SAPBEXresData 3" xfId="219"/>
    <cellStyle name="SAPBEXresData 3 2" xfId="585"/>
    <cellStyle name="SAPBEXresData 4" xfId="290"/>
    <cellStyle name="SAPBEXresData 4 2" xfId="655"/>
    <cellStyle name="SAPBEXresData 5" xfId="180"/>
    <cellStyle name="SAPBEXresData 5 2" xfId="546"/>
    <cellStyle name="SAPBEXresDataEmph" xfId="102"/>
    <cellStyle name="SAPBEXresDataEmph 2" xfId="144"/>
    <cellStyle name="SAPBEXresDataEmph 2 2" xfId="258"/>
    <cellStyle name="SAPBEXresDataEmph 2 2 2" xfId="623"/>
    <cellStyle name="SAPBEXresDataEmph 2 3" xfId="331"/>
    <cellStyle name="SAPBEXresDataEmph 2 3 2" xfId="696"/>
    <cellStyle name="SAPBEXresDataEmph 2 4" xfId="399"/>
    <cellStyle name="SAPBEXresDataEmph 2 4 2" xfId="764"/>
    <cellStyle name="SAPBEXresDataEmph 2 5" xfId="358"/>
    <cellStyle name="SAPBEXresDataEmph 2 5 2" xfId="723"/>
    <cellStyle name="SAPBEXresDataEmph 2 6" xfId="439"/>
    <cellStyle name="SAPBEXresDataEmph 2 6 2" xfId="804"/>
    <cellStyle name="SAPBEXresDataEmph 2 7" xfId="474"/>
    <cellStyle name="SAPBEXresDataEmph 2 7 2" xfId="839"/>
    <cellStyle name="SAPBEXresDataEmph 2 8" xfId="511"/>
    <cellStyle name="SAPBEXresDataEmph 3" xfId="220"/>
    <cellStyle name="SAPBEXresDataEmph 3 2" xfId="586"/>
    <cellStyle name="SAPBEXresDataEmph 4" xfId="291"/>
    <cellStyle name="SAPBEXresDataEmph 4 2" xfId="656"/>
    <cellStyle name="SAPBEXresDataEmph 5" xfId="181"/>
    <cellStyle name="SAPBEXresDataEmph 5 2" xfId="547"/>
    <cellStyle name="SAPBEXresItem" xfId="103"/>
    <cellStyle name="SAPBEXresItem 2" xfId="145"/>
    <cellStyle name="SAPBEXresItem 2 2" xfId="259"/>
    <cellStyle name="SAPBEXresItem 2 2 2" xfId="624"/>
    <cellStyle name="SAPBEXresItem 2 3" xfId="332"/>
    <cellStyle name="SAPBEXresItem 2 3 2" xfId="697"/>
    <cellStyle name="SAPBEXresItem 2 4" xfId="400"/>
    <cellStyle name="SAPBEXresItem 2 4 2" xfId="765"/>
    <cellStyle name="SAPBEXresItem 2 5" xfId="359"/>
    <cellStyle name="SAPBEXresItem 2 5 2" xfId="724"/>
    <cellStyle name="SAPBEXresItem 2 6" xfId="440"/>
    <cellStyle name="SAPBEXresItem 2 6 2" xfId="805"/>
    <cellStyle name="SAPBEXresItem 2 7" xfId="475"/>
    <cellStyle name="SAPBEXresItem 2 7 2" xfId="840"/>
    <cellStyle name="SAPBEXresItem 2 8" xfId="512"/>
    <cellStyle name="SAPBEXresItem 3" xfId="221"/>
    <cellStyle name="SAPBEXresItem 3 2" xfId="587"/>
    <cellStyle name="SAPBEXresItem 4" xfId="292"/>
    <cellStyle name="SAPBEXresItem 4 2" xfId="657"/>
    <cellStyle name="SAPBEXresItem 5" xfId="182"/>
    <cellStyle name="SAPBEXresItem 5 2" xfId="548"/>
    <cellStyle name="SAPBEXresItemX" xfId="104"/>
    <cellStyle name="SAPBEXresItemX 2" xfId="146"/>
    <cellStyle name="SAPBEXresItemX 2 2" xfId="260"/>
    <cellStyle name="SAPBEXresItemX 2 2 2" xfId="625"/>
    <cellStyle name="SAPBEXresItemX 2 3" xfId="333"/>
    <cellStyle name="SAPBEXresItemX 2 3 2" xfId="698"/>
    <cellStyle name="SAPBEXresItemX 2 4" xfId="401"/>
    <cellStyle name="SAPBEXresItemX 2 4 2" xfId="766"/>
    <cellStyle name="SAPBEXresItemX 2 5" xfId="360"/>
    <cellStyle name="SAPBEXresItemX 2 5 2" xfId="725"/>
    <cellStyle name="SAPBEXresItemX 2 6" xfId="441"/>
    <cellStyle name="SAPBEXresItemX 2 6 2" xfId="806"/>
    <cellStyle name="SAPBEXresItemX 2 7" xfId="476"/>
    <cellStyle name="SAPBEXresItemX 2 7 2" xfId="841"/>
    <cellStyle name="SAPBEXresItemX 2 8" xfId="513"/>
    <cellStyle name="SAPBEXresItemX 3" xfId="222"/>
    <cellStyle name="SAPBEXresItemX 3 2" xfId="588"/>
    <cellStyle name="SAPBEXresItemX 4" xfId="293"/>
    <cellStyle name="SAPBEXresItemX 4 2" xfId="658"/>
    <cellStyle name="SAPBEXresItemX 5" xfId="183"/>
    <cellStyle name="SAPBEXresItemX 5 2" xfId="549"/>
    <cellStyle name="SAPBEXstdData" xfId="105"/>
    <cellStyle name="SAPBEXstdData 2" xfId="147"/>
    <cellStyle name="SAPBEXstdData 2 2" xfId="261"/>
    <cellStyle name="SAPBEXstdData 2 2 2" xfId="626"/>
    <cellStyle name="SAPBEXstdData 2 3" xfId="334"/>
    <cellStyle name="SAPBEXstdData 2 3 2" xfId="699"/>
    <cellStyle name="SAPBEXstdData 2 4" xfId="402"/>
    <cellStyle name="SAPBEXstdData 2 4 2" xfId="767"/>
    <cellStyle name="SAPBEXstdData 2 5" xfId="361"/>
    <cellStyle name="SAPBEXstdData 2 5 2" xfId="726"/>
    <cellStyle name="SAPBEXstdData 2 6" xfId="442"/>
    <cellStyle name="SAPBEXstdData 2 6 2" xfId="807"/>
    <cellStyle name="SAPBEXstdData 2 7" xfId="477"/>
    <cellStyle name="SAPBEXstdData 2 7 2" xfId="842"/>
    <cellStyle name="SAPBEXstdData 2 8" xfId="514"/>
    <cellStyle name="SAPBEXstdData 3" xfId="223"/>
    <cellStyle name="SAPBEXstdData 3 2" xfId="589"/>
    <cellStyle name="SAPBEXstdData 4" xfId="294"/>
    <cellStyle name="SAPBEXstdData 4 2" xfId="659"/>
    <cellStyle name="SAPBEXstdData 5" xfId="184"/>
    <cellStyle name="SAPBEXstdData 5 2" xfId="550"/>
    <cellStyle name="SAPBEXstdDataEmph" xfId="106"/>
    <cellStyle name="SAPBEXstdDataEmph 2" xfId="148"/>
    <cellStyle name="SAPBEXstdDataEmph 2 2" xfId="262"/>
    <cellStyle name="SAPBEXstdDataEmph 2 2 2" xfId="627"/>
    <cellStyle name="SAPBEXstdDataEmph 2 3" xfId="335"/>
    <cellStyle name="SAPBEXstdDataEmph 2 3 2" xfId="700"/>
    <cellStyle name="SAPBEXstdDataEmph 2 4" xfId="403"/>
    <cellStyle name="SAPBEXstdDataEmph 2 4 2" xfId="768"/>
    <cellStyle name="SAPBEXstdDataEmph 2 5" xfId="362"/>
    <cellStyle name="SAPBEXstdDataEmph 2 5 2" xfId="727"/>
    <cellStyle name="SAPBEXstdDataEmph 2 6" xfId="443"/>
    <cellStyle name="SAPBEXstdDataEmph 2 6 2" xfId="808"/>
    <cellStyle name="SAPBEXstdDataEmph 2 7" xfId="478"/>
    <cellStyle name="SAPBEXstdDataEmph 2 7 2" xfId="843"/>
    <cellStyle name="SAPBEXstdDataEmph 2 8" xfId="515"/>
    <cellStyle name="SAPBEXstdDataEmph 3" xfId="224"/>
    <cellStyle name="SAPBEXstdDataEmph 3 2" xfId="590"/>
    <cellStyle name="SAPBEXstdDataEmph 4" xfId="295"/>
    <cellStyle name="SAPBEXstdDataEmph 4 2" xfId="660"/>
    <cellStyle name="SAPBEXstdDataEmph 5" xfId="185"/>
    <cellStyle name="SAPBEXstdDataEmph 5 2" xfId="551"/>
    <cellStyle name="SAPBEXstdItem" xfId="107"/>
    <cellStyle name="SAPBEXstdItem 2" xfId="149"/>
    <cellStyle name="SAPBEXstdItem 2 2" xfId="263"/>
    <cellStyle name="SAPBEXstdItem 2 2 2" xfId="628"/>
    <cellStyle name="SAPBEXstdItem 2 3" xfId="336"/>
    <cellStyle name="SAPBEXstdItem 2 3 2" xfId="701"/>
    <cellStyle name="SAPBEXstdItem 2 4" xfId="404"/>
    <cellStyle name="SAPBEXstdItem 2 4 2" xfId="769"/>
    <cellStyle name="SAPBEXstdItem 2 5" xfId="363"/>
    <cellStyle name="SAPBEXstdItem 2 5 2" xfId="728"/>
    <cellStyle name="SAPBEXstdItem 2 6" xfId="444"/>
    <cellStyle name="SAPBEXstdItem 2 6 2" xfId="809"/>
    <cellStyle name="SAPBEXstdItem 2 7" xfId="479"/>
    <cellStyle name="SAPBEXstdItem 2 7 2" xfId="844"/>
    <cellStyle name="SAPBEXstdItem 2 8" xfId="516"/>
    <cellStyle name="SAPBEXstdItem 3" xfId="225"/>
    <cellStyle name="SAPBEXstdItem 3 2" xfId="591"/>
    <cellStyle name="SAPBEXstdItem 4" xfId="296"/>
    <cellStyle name="SAPBEXstdItem 4 2" xfId="661"/>
    <cellStyle name="SAPBEXstdItem 5" xfId="189"/>
    <cellStyle name="SAPBEXstdItem 5 2" xfId="555"/>
    <cellStyle name="SAPBEXstdItemX" xfId="108"/>
    <cellStyle name="SAPBEXstdItemX 2" xfId="150"/>
    <cellStyle name="SAPBEXstdItemX 2 2" xfId="264"/>
    <cellStyle name="SAPBEXstdItemX 2 2 2" xfId="629"/>
    <cellStyle name="SAPBEXstdItemX 2 3" xfId="337"/>
    <cellStyle name="SAPBEXstdItemX 2 3 2" xfId="702"/>
    <cellStyle name="SAPBEXstdItemX 2 4" xfId="405"/>
    <cellStyle name="SAPBEXstdItemX 2 4 2" xfId="770"/>
    <cellStyle name="SAPBEXstdItemX 2 5" xfId="369"/>
    <cellStyle name="SAPBEXstdItemX 2 5 2" xfId="734"/>
    <cellStyle name="SAPBEXstdItemX 2 6" xfId="445"/>
    <cellStyle name="SAPBEXstdItemX 2 6 2" xfId="810"/>
    <cellStyle name="SAPBEXstdItemX 2 7" xfId="480"/>
    <cellStyle name="SAPBEXstdItemX 2 7 2" xfId="845"/>
    <cellStyle name="SAPBEXstdItemX 2 8" xfId="517"/>
    <cellStyle name="SAPBEXstdItemX 3" xfId="226"/>
    <cellStyle name="SAPBEXstdItemX 3 2" xfId="592"/>
    <cellStyle name="SAPBEXstdItemX 4" xfId="297"/>
    <cellStyle name="SAPBEXstdItemX 4 2" xfId="662"/>
    <cellStyle name="SAPBEXstdItemX 5" xfId="228"/>
    <cellStyle name="SAPBEXstdItemX 5 2" xfId="594"/>
    <cellStyle name="SAPBEXtitle" xfId="109"/>
    <cellStyle name="SAPBEXundefined" xfId="110"/>
    <cellStyle name="SAPBEXundefined 2" xfId="151"/>
    <cellStyle name="SAPBEXundefined 2 2" xfId="265"/>
    <cellStyle name="SAPBEXundefined 2 2 2" xfId="630"/>
    <cellStyle name="SAPBEXundefined 2 3" xfId="338"/>
    <cellStyle name="SAPBEXundefined 2 3 2" xfId="703"/>
    <cellStyle name="SAPBEXundefined 2 4" xfId="406"/>
    <cellStyle name="SAPBEXundefined 2 4 2" xfId="771"/>
    <cellStyle name="SAPBEXundefined 2 5" xfId="410"/>
    <cellStyle name="SAPBEXundefined 2 5 2" xfId="775"/>
    <cellStyle name="SAPBEXundefined 2 6" xfId="446"/>
    <cellStyle name="SAPBEXundefined 2 6 2" xfId="811"/>
    <cellStyle name="SAPBEXundefined 2 7" xfId="481"/>
    <cellStyle name="SAPBEXundefined 2 7 2" xfId="846"/>
    <cellStyle name="SAPBEXundefined 2 8" xfId="518"/>
    <cellStyle name="SAPBEXundefined 3" xfId="227"/>
    <cellStyle name="SAPBEXundefined 3 2" xfId="593"/>
    <cellStyle name="SAPBEXundefined 4" xfId="299"/>
    <cellStyle name="SAPBEXundefined 4 2" xfId="664"/>
    <cellStyle name="SAPBEXundefined 5" xfId="187"/>
    <cellStyle name="SAPBEXundefined 5 2" xfId="553"/>
    <cellStyle name="Walutowy 2" xfId="111"/>
  </cellStyles>
  <dxfs count="0"/>
  <tableStyles count="0" defaultTableStyle="TableStyleMedium2" defaultPivotStyle="PivotStyleLight16"/>
  <colors>
    <mruColors>
      <color rgb="FF0000FF"/>
      <color rgb="FF0000CC"/>
      <color rgb="FF00FF00"/>
      <color rgb="FF66FF66"/>
      <color rgb="FFCCCC00"/>
      <color rgb="FF00FFFF"/>
      <color rgb="FFFFFF99"/>
      <color rgb="FF003300"/>
      <color rgb="FF00C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58</xdr:row>
      <xdr:rowOff>0</xdr:rowOff>
    </xdr:from>
    <xdr:to>
      <xdr:col>18</xdr:col>
      <xdr:colOff>0</xdr:colOff>
      <xdr:row>58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wrzesie&#324;/wrzesie&#324;_WPF_Tabele%206_przedsi&#281;wzie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pa&#378;dziernik/pa&#378;dziernik_WPF_Tabele%206_przedsi&#281;wzie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</sheetNames>
    <sheetDataSet>
      <sheetData sheetId="0"/>
      <sheetData sheetId="1"/>
      <sheetData sheetId="2"/>
      <sheetData sheetId="3">
        <row r="162">
          <cell r="M162">
            <v>378288</v>
          </cell>
          <cell r="P162">
            <v>1089145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K7">
            <v>174832844</v>
          </cell>
          <cell r="N7">
            <v>65059576</v>
          </cell>
        </row>
        <row r="8">
          <cell r="K8">
            <v>155678690</v>
          </cell>
          <cell r="N8">
            <v>49018142</v>
          </cell>
        </row>
        <row r="13">
          <cell r="K13">
            <v>2071007</v>
          </cell>
          <cell r="N13">
            <v>3889275</v>
          </cell>
        </row>
        <row r="14">
          <cell r="K14">
            <v>2071007</v>
          </cell>
          <cell r="N14">
            <v>3889275</v>
          </cell>
        </row>
        <row r="17">
          <cell r="K17">
            <v>5027207</v>
          </cell>
          <cell r="N17">
            <v>3955373</v>
          </cell>
        </row>
        <row r="18">
          <cell r="K18">
            <v>5078627</v>
          </cell>
          <cell r="N18">
            <v>6218524</v>
          </cell>
        </row>
        <row r="19">
          <cell r="K19">
            <v>1230114</v>
          </cell>
          <cell r="N19">
            <v>1533867</v>
          </cell>
        </row>
        <row r="20">
          <cell r="K20">
            <v>1230114</v>
          </cell>
          <cell r="N20">
            <v>1523256</v>
          </cell>
        </row>
        <row r="23">
          <cell r="K23">
            <v>448847</v>
          </cell>
          <cell r="N23">
            <v>1310999</v>
          </cell>
        </row>
        <row r="24">
          <cell r="K24">
            <v>378288</v>
          </cell>
          <cell r="N24">
            <v>1104910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>
        <row r="5">
          <cell r="C5">
            <v>12466748</v>
          </cell>
        </row>
      </sheetData>
      <sheetData sheetId="1">
        <row r="88">
          <cell r="C88">
            <v>545283095</v>
          </cell>
        </row>
      </sheetData>
      <sheetData sheetId="2">
        <row r="8">
          <cell r="D8">
            <v>812925188</v>
          </cell>
        </row>
      </sheetData>
      <sheetData sheetId="3">
        <row r="7">
          <cell r="D7">
            <v>102016554</v>
          </cell>
        </row>
        <row r="258">
          <cell r="D258">
            <v>12836659</v>
          </cell>
        </row>
      </sheetData>
      <sheetData sheetId="4">
        <row r="10">
          <cell r="D10">
            <v>125334394</v>
          </cell>
        </row>
      </sheetData>
      <sheetData sheetId="5">
        <row r="10">
          <cell r="D10">
            <v>783000</v>
          </cell>
        </row>
      </sheetData>
      <sheetData sheetId="6">
        <row r="9">
          <cell r="D9">
            <v>336435005</v>
          </cell>
        </row>
      </sheetData>
      <sheetData sheetId="7">
        <row r="7">
          <cell r="D7">
            <v>29987978</v>
          </cell>
        </row>
      </sheetData>
      <sheetData sheetId="8">
        <row r="8">
          <cell r="D8">
            <v>44879279</v>
          </cell>
        </row>
      </sheetData>
      <sheetData sheetId="9">
        <row r="7">
          <cell r="D7">
            <v>105743053</v>
          </cell>
        </row>
      </sheetData>
      <sheetData sheetId="10">
        <row r="8">
          <cell r="D8">
            <v>2254391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Q1043"/>
  <sheetViews>
    <sheetView showGridLines="0" tabSelected="1" view="pageBreakPreview" zoomScaleNormal="110" zoomScaleSheetLayoutView="100" workbookViewId="0">
      <selection activeCell="A2" sqref="A2"/>
    </sheetView>
  </sheetViews>
  <sheetFormatPr defaultColWidth="9.140625" defaultRowHeight="12.75" outlineLevelCol="1"/>
  <cols>
    <col min="1" max="1" width="49.140625" style="1159" customWidth="1"/>
    <col min="2" max="2" width="16" style="1160" customWidth="1"/>
    <col min="3" max="4" width="13.85546875" style="1160" customWidth="1"/>
    <col min="5" max="5" width="13" style="1160" customWidth="1"/>
    <col min="6" max="6" width="12.85546875" style="1160" customWidth="1"/>
    <col min="7" max="8" width="13.140625" style="1160" customWidth="1"/>
    <col min="9" max="9" width="14.42578125" style="1160" customWidth="1"/>
    <col min="10" max="10" width="16.140625" style="1159" customWidth="1"/>
    <col min="11" max="11" width="14.5703125" style="1162" hidden="1" customWidth="1" outlineLevel="1"/>
    <col min="12" max="12" width="14.5703125" style="1162" customWidth="1" outlineLevel="1"/>
    <col min="13" max="13" width="17.28515625" style="1162" hidden="1" customWidth="1" outlineLevel="1"/>
    <col min="14" max="14" width="14.7109375" style="1159" hidden="1" customWidth="1"/>
    <col min="15" max="15" width="14.28515625" style="1159" hidden="1" customWidth="1"/>
    <col min="16" max="16" width="9.140625" style="1159"/>
    <col min="17" max="17" width="9.7109375" style="1159" bestFit="1" customWidth="1"/>
    <col min="18" max="16384" width="9.140625" style="1159"/>
  </cols>
  <sheetData>
    <row r="1" spans="1:15" ht="23.25" customHeight="1">
      <c r="A1" s="1158"/>
      <c r="E1" s="1161"/>
      <c r="G1" s="1161"/>
      <c r="H1" s="1161"/>
      <c r="I1" s="1161"/>
    </row>
    <row r="2" spans="1:15" ht="15">
      <c r="C2" s="1164"/>
      <c r="D2" s="1164"/>
      <c r="E2" s="1164"/>
      <c r="G2" s="1164"/>
      <c r="H2" s="1164"/>
      <c r="I2" s="1161" t="s">
        <v>363</v>
      </c>
      <c r="J2" s="1163"/>
    </row>
    <row r="3" spans="1:15">
      <c r="B3" s="1167"/>
      <c r="C3" s="1164"/>
      <c r="D3" s="1164"/>
      <c r="E3" s="1164"/>
      <c r="F3" s="1164"/>
      <c r="G3" s="1164"/>
      <c r="H3" s="1164"/>
      <c r="I3" s="1164"/>
      <c r="J3" s="1163"/>
    </row>
    <row r="4" spans="1:15" ht="12.75" customHeight="1">
      <c r="C4" s="1163"/>
      <c r="D4" s="1163"/>
      <c r="E4" s="1163"/>
      <c r="F4" s="1163"/>
      <c r="G4" s="1163"/>
      <c r="H4" s="1163"/>
      <c r="I4" s="1163"/>
      <c r="J4" s="1887"/>
    </row>
    <row r="5" spans="1:15" ht="72" customHeight="1">
      <c r="A5" s="3005" t="s">
        <v>0</v>
      </c>
      <c r="B5" s="3005"/>
      <c r="C5" s="3005"/>
      <c r="D5" s="3005"/>
      <c r="E5" s="3005"/>
      <c r="F5" s="3005"/>
      <c r="G5" s="3005"/>
      <c r="H5" s="3005"/>
      <c r="I5" s="3005"/>
      <c r="J5" s="3005"/>
      <c r="K5" s="2449"/>
      <c r="L5" s="2449"/>
    </row>
    <row r="6" spans="1:15" ht="12" customHeight="1">
      <c r="A6" s="1165"/>
      <c r="B6" s="1165"/>
      <c r="C6" s="1165"/>
      <c r="D6" s="1165"/>
      <c r="E6" s="1165"/>
      <c r="F6" s="1165"/>
      <c r="G6" s="1165"/>
      <c r="H6" s="1165"/>
      <c r="I6" s="1165"/>
      <c r="J6" s="1165"/>
    </row>
    <row r="7" spans="1:15" ht="48.75" customHeight="1" thickBot="1">
      <c r="A7" s="3006" t="s">
        <v>1</v>
      </c>
      <c r="B7" s="3006"/>
      <c r="C7" s="3006"/>
      <c r="D7" s="3006"/>
      <c r="E7" s="3006"/>
      <c r="F7" s="3006"/>
      <c r="G7" s="3006"/>
      <c r="H7" s="3006"/>
      <c r="I7" s="3006"/>
      <c r="J7" s="3006"/>
      <c r="K7" s="1561"/>
      <c r="L7" s="1561"/>
    </row>
    <row r="8" spans="1:15" s="1160" customFormat="1" ht="24.75" customHeight="1">
      <c r="A8" s="1166"/>
      <c r="B8" s="3010" t="s">
        <v>263</v>
      </c>
      <c r="C8" s="3017" t="s">
        <v>547</v>
      </c>
      <c r="D8" s="3013" t="s">
        <v>472</v>
      </c>
      <c r="E8" s="3013"/>
      <c r="F8" s="3013"/>
      <c r="G8" s="3013"/>
      <c r="H8" s="3013"/>
      <c r="I8" s="3014"/>
      <c r="J8" s="3007" t="s">
        <v>3</v>
      </c>
      <c r="K8" s="2989" t="s">
        <v>496</v>
      </c>
      <c r="L8" s="2994" t="s">
        <v>473</v>
      </c>
      <c r="M8" s="1167"/>
    </row>
    <row r="9" spans="1:15" ht="27" customHeight="1">
      <c r="A9" s="1168" t="s">
        <v>4</v>
      </c>
      <c r="B9" s="3011"/>
      <c r="C9" s="3018"/>
      <c r="D9" s="3015"/>
      <c r="E9" s="3015"/>
      <c r="F9" s="3015"/>
      <c r="G9" s="3015"/>
      <c r="H9" s="3015"/>
      <c r="I9" s="3016"/>
      <c r="J9" s="3008"/>
      <c r="K9" s="2990"/>
      <c r="L9" s="2995"/>
      <c r="M9" s="1167" t="s">
        <v>2</v>
      </c>
    </row>
    <row r="10" spans="1:15" ht="19.5" customHeight="1" thickBot="1">
      <c r="A10" s="1168"/>
      <c r="B10" s="1169" t="s">
        <v>453</v>
      </c>
      <c r="C10" s="3019"/>
      <c r="D10" s="1170" t="s">
        <v>6</v>
      </c>
      <c r="E10" s="1170" t="s">
        <v>207</v>
      </c>
      <c r="F10" s="1170" t="s">
        <v>209</v>
      </c>
      <c r="G10" s="1170" t="s">
        <v>254</v>
      </c>
      <c r="H10" s="1170" t="s">
        <v>255</v>
      </c>
      <c r="I10" s="1171" t="s">
        <v>253</v>
      </c>
      <c r="J10" s="3009"/>
      <c r="K10" s="2990"/>
      <c r="L10" s="2995"/>
      <c r="M10" s="233"/>
      <c r="N10" s="1172"/>
    </row>
    <row r="11" spans="1:15" ht="13.5" customHeight="1" thickBot="1">
      <c r="A11" s="1173">
        <v>1</v>
      </c>
      <c r="B11" s="1174">
        <v>2</v>
      </c>
      <c r="C11" s="1175">
        <v>3</v>
      </c>
      <c r="D11" s="1174">
        <v>4</v>
      </c>
      <c r="E11" s="1176">
        <v>5</v>
      </c>
      <c r="F11" s="1177">
        <v>6</v>
      </c>
      <c r="G11" s="1178">
        <v>7</v>
      </c>
      <c r="H11" s="1174">
        <v>8</v>
      </c>
      <c r="I11" s="1178">
        <v>9</v>
      </c>
      <c r="J11" s="2387">
        <v>10</v>
      </c>
      <c r="K11" s="2750">
        <v>11</v>
      </c>
      <c r="L11" s="1179">
        <v>11</v>
      </c>
      <c r="N11" s="2999" t="s">
        <v>42</v>
      </c>
      <c r="O11" s="3000"/>
    </row>
    <row r="12" spans="1:15" s="1184" customFormat="1" ht="18.75" customHeight="1">
      <c r="A12" s="1180" t="s">
        <v>7</v>
      </c>
      <c r="B12" s="1181">
        <f>+B13+B14</f>
        <v>100307721</v>
      </c>
      <c r="C12" s="1181">
        <f t="shared" ref="C12:D12" si="0">+C13+C14</f>
        <v>297133807</v>
      </c>
      <c r="D12" s="1181">
        <f t="shared" si="0"/>
        <v>588475218</v>
      </c>
      <c r="E12" s="1181">
        <f t="shared" ref="E12:L12" si="1">+E13+E14</f>
        <v>160306013</v>
      </c>
      <c r="F12" s="1181">
        <f t="shared" si="1"/>
        <v>83962467</v>
      </c>
      <c r="G12" s="1181">
        <f t="shared" si="1"/>
        <v>38634583</v>
      </c>
      <c r="H12" s="1181">
        <f t="shared" si="1"/>
        <v>36558257</v>
      </c>
      <c r="I12" s="1181">
        <f t="shared" si="1"/>
        <v>34978694</v>
      </c>
      <c r="J12" s="2388">
        <f>+J13+J14</f>
        <v>1340356760</v>
      </c>
      <c r="K12" s="2751">
        <f>+K13+K14</f>
        <v>1240049039</v>
      </c>
      <c r="L12" s="1182">
        <f t="shared" si="1"/>
        <v>942915232</v>
      </c>
      <c r="M12" s="2761"/>
      <c r="N12" s="495">
        <f t="shared" ref="N12:N31" si="2">+C12+D12+E12+F12+G12+H12+I12+B12</f>
        <v>1340356760</v>
      </c>
      <c r="O12" s="1183">
        <f>J12-N12</f>
        <v>0</v>
      </c>
    </row>
    <row r="13" spans="1:15" s="1184" customFormat="1" ht="17.25" customHeight="1">
      <c r="A13" s="1185" t="s">
        <v>8</v>
      </c>
      <c r="B13" s="1186">
        <f>+'Tab. 6B Polit społ i rozwój prz'!E8+'Tab. 6D - Oświata'!E11+'Tab. 6A -Drogi'!E9+'Tab. 6E - Administracja'!E10+'Tab. 6G - Roln i ochrona środ.'!E9+'Tab. 6H - Kultura fiz. i turyst'!E8+'Tab.6I - Planow. przestrz.'!E9</f>
        <v>44487716</v>
      </c>
      <c r="C13" s="1186">
        <f>+'Tab. 6B Polit społ i rozwój prz'!F8+'Tab. 6D - Oświata'!F11+'Tab. 6A -Drogi'!F9+'Tab. 6E - Administracja'!F10+'Tab. 6G - Roln i ochrona środ.'!F9+'Tab. 6H - Kultura fiz. i turyst'!F8+'Tab.6I - Planow. przestrz.'!F9</f>
        <v>51288773</v>
      </c>
      <c r="D13" s="1186">
        <f>+'Tab. 6B Polit społ i rozwój prz'!G8+'Tab. 6D - Oświata'!G11+'Tab. 6A -Drogi'!G9+'Tab. 6E - Administracja'!G10+'Tab. 6G - Roln i ochrona środ.'!G9+'Tab. 6H - Kultura fiz. i turyst'!G8+'Tab.6I - Planow. przestrz.'!G9</f>
        <v>68671247</v>
      </c>
      <c r="E13" s="1186">
        <f>+'Tab. 6B Polit społ i rozwój prz'!H8+'Tab. 6D - Oświata'!H11+'Tab. 6A -Drogi'!H9+'Tab. 6E - Administracja'!H10+'Tab. 6G - Roln i ochrona środ.'!H9+'Tab. 6H - Kultura fiz. i turyst'!H8+'Tab.6I - Planow. przestrz.'!H9</f>
        <v>52121454</v>
      </c>
      <c r="F13" s="1186">
        <f>+'Tab. 6B Polit społ i rozwój prz'!I8+'Tab. 6D - Oświata'!I11+'Tab. 6A -Drogi'!I9+'Tab. 6E - Administracja'!I10+'Tab. 6G - Roln i ochrona środ.'!I9+'Tab. 6H - Kultura fiz. i turyst'!I8+'Tab.6I - Planow. przestrz.'!I9</f>
        <v>45690720</v>
      </c>
      <c r="G13" s="1186">
        <f>+'Tab. 6B Polit społ i rozwój prz'!J8+'Tab. 6D - Oświata'!J11+'Tab. 6A -Drogi'!J9+'Tab. 6E - Administracja'!J10+'Tab. 6G - Roln i ochrona środ.'!J9+'Tab. 6H - Kultura fiz. i turyst'!J8+'Tab.6I - Planow. przestrz.'!J9</f>
        <v>38473083</v>
      </c>
      <c r="H13" s="1186">
        <f>+'Tab. 6B Polit społ i rozwój prz'!K8+'Tab. 6D - Oświata'!K11+'Tab. 6A -Drogi'!K9+'Tab. 6E - Administracja'!K10+'Tab. 6G - Roln i ochrona środ.'!K9+'Tab. 6H - Kultura fiz. i turyst'!K8+'Tab.6I - Planow. przestrz.'!K9</f>
        <v>36396757</v>
      </c>
      <c r="I13" s="1186">
        <f>+'Tab. 6B Polit społ i rozwój prz'!L8+'Tab. 6D - Oświata'!L11+'Tab. 6A -Drogi'!L9+'Tab. 6E - Administracja'!L10+'Tab. 6G - Roln i ochrona środ.'!L9+'Tab. 6H - Kultura fiz. i turyst'!L8+'Tab.6I - Planow. przestrz.'!L9</f>
        <v>34817194</v>
      </c>
      <c r="J13" s="2389">
        <f>'Tab. 6A -Drogi'!D9+'Tab. 6B Polit społ i rozwój prz'!D8+'Tab. 6D - Oświata'!D11+'Tab. 6E - Administracja'!D10+'Tab. 6G - Roln i ochrona środ.'!D9+'Tab. 6H - Kultura fiz. i turyst'!D8+'Tab.6I - Planow. przestrz.'!D9</f>
        <v>371946944</v>
      </c>
      <c r="K13" s="2752">
        <f>SUM(C13:I13)</f>
        <v>327459228</v>
      </c>
      <c r="L13" s="1452">
        <f>SUM(D13:I13)</f>
        <v>276170455</v>
      </c>
      <c r="M13" s="480">
        <f>K13-C13-D13-E13-F13-G13-H13-I13</f>
        <v>0</v>
      </c>
      <c r="N13" s="495">
        <f t="shared" si="2"/>
        <v>371946944</v>
      </c>
      <c r="O13" s="496">
        <f>J13-N13</f>
        <v>0</v>
      </c>
    </row>
    <row r="14" spans="1:15" s="1184" customFormat="1" ht="17.25" customHeight="1" thickBot="1">
      <c r="A14" s="1188" t="s">
        <v>9</v>
      </c>
      <c r="B14" s="1189">
        <f>+'Tab. 6D - Oświata'!E12+'Tab. 6A -Drogi'!E10+'Tab. 6E - Administracja'!E11+'Tab. 6G - Roln i ochrona środ.'!E10+'Tab. 6H - Kultura fiz. i turyst'!E9+'Tab. 6B Polit społ i rozwój prz'!E9+'Tab.6I - Planow. przestrz.'!E10</f>
        <v>55820005</v>
      </c>
      <c r="C14" s="1189">
        <f>+'Tab. 6D - Oświata'!F12+'Tab. 6A -Drogi'!F10+'Tab. 6E - Administracja'!F11+'Tab. 6G - Roln i ochrona środ.'!F10+'Tab. 6H - Kultura fiz. i turyst'!F9+'Tab. 6B Polit społ i rozwój prz'!F9+'Tab.6I - Planow. przestrz.'!F10</f>
        <v>245845034</v>
      </c>
      <c r="D14" s="1189">
        <f>+'Tab. 6D - Oświata'!G12+'Tab. 6A -Drogi'!G10+'Tab. 6E - Administracja'!G11+'Tab. 6G - Roln i ochrona środ.'!G10+'Tab. 6H - Kultura fiz. i turyst'!G9+'Tab. 6B Polit społ i rozwój prz'!G9+'Tab.6I - Planow. przestrz.'!G10</f>
        <v>519803971</v>
      </c>
      <c r="E14" s="1189">
        <f>+'Tab. 6D - Oświata'!H12+'Tab. 6A -Drogi'!H10+'Tab. 6E - Administracja'!H11+'Tab. 6G - Roln i ochrona środ.'!H10+'Tab. 6H - Kultura fiz. i turyst'!H9+'Tab. 6B Polit społ i rozwój prz'!H9+'Tab.6I - Planow. przestrz.'!H10</f>
        <v>108184559</v>
      </c>
      <c r="F14" s="1189">
        <f>+'Tab. 6D - Oświata'!I12+'Tab. 6A -Drogi'!I10+'Tab. 6E - Administracja'!I11+'Tab. 6G - Roln i ochrona środ.'!I10+'Tab. 6H - Kultura fiz. i turyst'!I9+'Tab. 6B Polit społ i rozwój prz'!I9+'Tab.6I - Planow. przestrz.'!I10</f>
        <v>38271747</v>
      </c>
      <c r="G14" s="1189">
        <f>+'Tab. 6D - Oświata'!J12+'Tab. 6A -Drogi'!J10+'Tab. 6E - Administracja'!J11+'Tab. 6G - Roln i ochrona środ.'!J10+'Tab. 6H - Kultura fiz. i turyst'!J9+'Tab. 6B Polit społ i rozwój prz'!J9+'Tab.6I - Planow. przestrz.'!J10</f>
        <v>161500</v>
      </c>
      <c r="H14" s="1189">
        <f>+'Tab. 6D - Oświata'!K12+'Tab. 6A -Drogi'!K10+'Tab. 6E - Administracja'!K11+'Tab. 6G - Roln i ochrona środ.'!K10+'Tab. 6H - Kultura fiz. i turyst'!K9+'Tab. 6B Polit społ i rozwój prz'!K9+'Tab.6I - Planow. przestrz.'!K10</f>
        <v>161500</v>
      </c>
      <c r="I14" s="1189">
        <f>+'Tab. 6D - Oświata'!L12+'Tab. 6A -Drogi'!L10+'Tab. 6E - Administracja'!L11+'Tab. 6G - Roln i ochrona środ.'!L10+'Tab. 6H - Kultura fiz. i turyst'!L9+'Tab. 6B Polit społ i rozwój prz'!L9+'Tab.6I - Planow. przestrz.'!L10</f>
        <v>161500</v>
      </c>
      <c r="J14" s="2390">
        <f>'Tab. 6A -Drogi'!D10+'Tab. 6B Polit społ i rozwój prz'!D9+'Tab. 6D - Oświata'!D12+'Tab. 6E - Administracja'!D11+'Tab. 6G - Roln i ochrona środ.'!D10+'Tab. 6H - Kultura fiz. i turyst'!D9+'Tab.6I - Planow. przestrz.'!D10</f>
        <v>968409816</v>
      </c>
      <c r="K14" s="2753">
        <f>SUM(C14:I14)</f>
        <v>912589811</v>
      </c>
      <c r="L14" s="1453">
        <f>SUM(D14:I14)</f>
        <v>666744777</v>
      </c>
      <c r="M14" s="480">
        <f>K14-C14-D14-E14-F14-G14-H14-I14</f>
        <v>0</v>
      </c>
      <c r="N14" s="495">
        <f t="shared" si="2"/>
        <v>968409816</v>
      </c>
      <c r="O14" s="496">
        <f>J14-N14</f>
        <v>0</v>
      </c>
    </row>
    <row r="15" spans="1:15" s="497" customFormat="1">
      <c r="A15" s="1190"/>
      <c r="B15" s="1191"/>
      <c r="C15" s="1191"/>
      <c r="D15" s="1191"/>
      <c r="E15" s="1191"/>
      <c r="F15" s="1191"/>
      <c r="G15" s="1191"/>
      <c r="H15" s="1191">
        <v>0</v>
      </c>
      <c r="I15" s="1191"/>
      <c r="J15" s="1191"/>
      <c r="K15" s="2754"/>
      <c r="L15" s="2401"/>
      <c r="M15" s="494"/>
      <c r="N15" s="495">
        <f t="shared" si="2"/>
        <v>0</v>
      </c>
      <c r="O15" s="496">
        <f t="shared" ref="O15:O31" si="3">J15-N15</f>
        <v>0</v>
      </c>
    </row>
    <row r="16" spans="1:15" s="1194" customFormat="1" ht="18" customHeight="1">
      <c r="A16" s="1192" t="s">
        <v>10</v>
      </c>
      <c r="B16" s="1193">
        <f t="shared" ref="B16:L16" si="4">+B17+B26</f>
        <v>100698837.3</v>
      </c>
      <c r="C16" s="1193">
        <f t="shared" si="4"/>
        <v>297506416</v>
      </c>
      <c r="D16" s="1193">
        <f t="shared" si="4"/>
        <v>588959302</v>
      </c>
      <c r="E16" s="1193">
        <f t="shared" si="4"/>
        <v>160395114</v>
      </c>
      <c r="F16" s="1193">
        <f t="shared" si="4"/>
        <v>84039932</v>
      </c>
      <c r="G16" s="1193">
        <f t="shared" si="4"/>
        <v>38698602</v>
      </c>
      <c r="H16" s="1193">
        <f t="shared" si="4"/>
        <v>36622275</v>
      </c>
      <c r="I16" s="1193">
        <f t="shared" si="4"/>
        <v>35042712</v>
      </c>
      <c r="J16" s="2391">
        <f>+J17+J26</f>
        <v>1341963190.3</v>
      </c>
      <c r="K16" s="2755">
        <f t="shared" ref="K16" si="5">+K17+K26</f>
        <v>1240049039</v>
      </c>
      <c r="L16" s="2402">
        <f t="shared" si="4"/>
        <v>942915232</v>
      </c>
      <c r="M16" s="480"/>
      <c r="N16" s="495">
        <f t="shared" si="2"/>
        <v>1341963190.3</v>
      </c>
      <c r="O16" s="496">
        <f>J16-N16</f>
        <v>0</v>
      </c>
    </row>
    <row r="17" spans="1:15" s="1198" customFormat="1" ht="17.25" customHeight="1">
      <c r="A17" s="1195" t="s">
        <v>11</v>
      </c>
      <c r="B17" s="1196">
        <f t="shared" ref="B17:I17" si="6">SUM(B18:B25)</f>
        <v>26049099.300000001</v>
      </c>
      <c r="C17" s="1196">
        <f t="shared" si="6"/>
        <v>54096954</v>
      </c>
      <c r="D17" s="1196">
        <f t="shared" si="6"/>
        <v>107780300</v>
      </c>
      <c r="E17" s="1196">
        <f>SUM(E18:E25)</f>
        <v>30407366</v>
      </c>
      <c r="F17" s="1196">
        <f t="shared" si="6"/>
        <v>21316097</v>
      </c>
      <c r="G17" s="1196">
        <f>SUM(G18:G25)</f>
        <v>6923467</v>
      </c>
      <c r="H17" s="1196">
        <f t="shared" si="6"/>
        <v>4969396</v>
      </c>
      <c r="I17" s="1196">
        <f t="shared" si="6"/>
        <v>4833515</v>
      </c>
      <c r="J17" s="2392">
        <f>SUM(J18:J25)</f>
        <v>256376194.30000001</v>
      </c>
      <c r="K17" s="2756">
        <f>SUM(K18:K25)</f>
        <v>229111781</v>
      </c>
      <c r="L17" s="1197">
        <f>SUM(L18:L25)</f>
        <v>175387436</v>
      </c>
      <c r="M17" s="480"/>
      <c r="N17" s="495">
        <f t="shared" si="2"/>
        <v>256376194.30000001</v>
      </c>
      <c r="O17" s="496">
        <f t="shared" si="3"/>
        <v>0</v>
      </c>
    </row>
    <row r="18" spans="1:15" s="497" customFormat="1" ht="14.25" customHeight="1">
      <c r="A18" s="1199" t="s">
        <v>12</v>
      </c>
      <c r="B18" s="1200">
        <f>+'Tab. 6B Polit społ i rozwój prz'!E12+'Tab. 6D - Oświata'!E15+'Tab. 6A -Drogi'!E13+'Tab. 6E - Administracja'!E14+'Tab. 6G - Roln i ochrona środ.'!E13+'Tab. 6H - Kultura fiz. i turyst'!E12+'Tab.6I - Planow. przestrz.'!E13+0.3</f>
        <v>11376225.300000001</v>
      </c>
      <c r="C18" s="1200">
        <f>+'Tab. 6B Polit społ i rozwój prz'!F12+'Tab. 6D - Oświata'!F15+'Tab. 6A -Drogi'!F13+'Tab. 6E - Administracja'!F14+'Tab. 6G - Roln i ochrona środ.'!F13+'Tab. 6H - Kultura fiz. i turyst'!F12+'Tab.6I - Planow. przestrz.'!F13</f>
        <v>46069248</v>
      </c>
      <c r="D18" s="1200">
        <f>+'Tab. 6B Polit społ i rozwój prz'!G12+'Tab. 6D - Oświata'!G15+'Tab. 6A -Drogi'!G13+'Tab. 6E - Administracja'!G14+'Tab. 6G - Roln i ochrona środ.'!G13+'Tab. 6H - Kultura fiz. i turyst'!G12+'Tab.6I - Planow. przestrz.'!G13</f>
        <v>95628619</v>
      </c>
      <c r="E18" s="1200">
        <f>+'Tab. 6B Polit społ i rozwój prz'!H12+'Tab. 6D - Oświata'!H15+'Tab. 6A -Drogi'!H13+'Tab. 6E - Administracja'!H14+'Tab. 6G - Roln i ochrona środ.'!H13+'Tab. 6H - Kultura fiz. i turyst'!H12+'Tab.6I - Planow. przestrz.'!H13</f>
        <v>27841218</v>
      </c>
      <c r="F18" s="1200">
        <f>+'Tab. 6B Polit społ i rozwój prz'!I12+'Tab. 6D - Oświata'!I15+'Tab. 6A -Drogi'!I13+'Tab. 6E - Administracja'!I14+'Tab. 6G - Roln i ochrona środ.'!I13+'Tab. 6H - Kultura fiz. i turyst'!I12+'Tab.6I - Planow. przestrz.'!I13</f>
        <v>19995270</v>
      </c>
      <c r="G18" s="1200">
        <f>+'Tab. 6B Polit społ i rozwój prz'!J12+'Tab. 6D - Oświata'!J15+'Tab. 6A -Drogi'!J13+'Tab. 6E - Administracja'!J14+'Tab. 6G - Roln i ochrona środ.'!J13+'Tab. 6H - Kultura fiz. i turyst'!J12+'Tab.6I - Planow. przestrz.'!J13</f>
        <v>6274372</v>
      </c>
      <c r="H18" s="1200">
        <f>+'Tab. 6B Polit społ i rozwój prz'!K12+'Tab. 6D - Oświata'!K15+'Tab. 6A -Drogi'!K13+'Tab. 6E - Administracja'!K14+'Tab. 6G - Roln i ochrona środ.'!K13+'Tab. 6H - Kultura fiz. i turyst'!K12+'Tab.6I - Planow. przestrz.'!K13</f>
        <v>4320302</v>
      </c>
      <c r="I18" s="1200">
        <f>+'Tab. 6B Polit społ i rozwój prz'!L12+'Tab. 6D - Oświata'!L15+'Tab. 6A -Drogi'!L13+'Tab. 6E - Administracja'!L14+'Tab. 6G - Roln i ochrona środ.'!L13+'Tab. 6H - Kultura fiz. i turyst'!L12+'Tab.6I - Planow. przestrz.'!L13</f>
        <v>4274790</v>
      </c>
      <c r="J18" s="2393">
        <f t="shared" ref="J18:J25" si="7">B18+C18+D18+E18+F18+G18+H18+I18</f>
        <v>215780044.30000001</v>
      </c>
      <c r="K18" s="2757">
        <f>SUM(C18:I18)</f>
        <v>204403819</v>
      </c>
      <c r="L18" s="1187">
        <f>SUM(D18:I18)</f>
        <v>158334571</v>
      </c>
      <c r="M18" s="480"/>
      <c r="N18" s="495">
        <f t="shared" si="2"/>
        <v>215780044.30000001</v>
      </c>
      <c r="O18" s="496">
        <f t="shared" si="3"/>
        <v>0</v>
      </c>
    </row>
    <row r="19" spans="1:15" s="497" customFormat="1" ht="15.75" customHeight="1">
      <c r="A19" s="498" t="s">
        <v>13</v>
      </c>
      <c r="B19" s="1200">
        <f>+'Tab. 6B Polit społ i rozwój prz'!E13+'Tab. 6A -Drogi'!E14+'Tab. 6E - Administracja'!E15+'Tab. 6G - Roln i ochrona środ.'!E14+'Tab.6I - Planow. przestrz.'!E14</f>
        <v>2611033</v>
      </c>
      <c r="C19" s="1200">
        <f>+'Tab. 6B Polit społ i rozwój prz'!F13+'Tab. 6A -Drogi'!F14+'Tab. 6E - Administracja'!F15+'Tab. 6G - Roln i ochrona środ.'!F14+'Tab.6I - Planow. przestrz.'!F14</f>
        <v>1954130</v>
      </c>
      <c r="D19" s="1200">
        <f>+'Tab. 6B Polit społ i rozwój prz'!G13+'Tab. 6A -Drogi'!G14+'Tab. 6E - Administracja'!G15+'Tab. 6G - Roln i ochrona środ.'!G14+'Tab.6I - Planow. przestrz.'!G14</f>
        <v>3012731</v>
      </c>
      <c r="E19" s="1200">
        <f>+'Tab. 6B Polit społ i rozwój prz'!H13+'Tab. 6A -Drogi'!H14+'Tab. 6E - Administracja'!H15+'Tab. 6G - Roln i ochrona środ.'!H14+'Tab.6I - Planow. przestrz.'!H14</f>
        <v>1233332</v>
      </c>
      <c r="F19" s="1200">
        <f>+'Tab. 6B Polit społ i rozwój prz'!I13+'Tab. 6A -Drogi'!I14+'Tab. 6E - Administracja'!I15+'Tab. 6G - Roln i ochrona środ.'!I14+'Tab.6I - Planow. przestrz.'!I14</f>
        <v>1243362</v>
      </c>
      <c r="G19" s="1200">
        <f>+'Tab. 6B Polit społ i rozwój prz'!J13+'Tab. 6A -Drogi'!J14+'Tab. 6E - Administracja'!J15+'Tab. 6G - Roln i ochrona środ.'!J14+'Tab.6I - Planow. przestrz.'!J14</f>
        <v>585076</v>
      </c>
      <c r="H19" s="1200">
        <f>+'Tab. 6B Polit społ i rozwój prz'!K13+'Tab. 6A -Drogi'!K14+'Tab. 6E - Administracja'!K15+'Tab. 6G - Roln i ochrona środ.'!K14+'Tab.6I - Planow. przestrz.'!K14</f>
        <v>585076</v>
      </c>
      <c r="I19" s="1200">
        <f>+'Tab. 6B Polit społ i rozwój prz'!L13+'Tab. 6A -Drogi'!L14+'Tab. 6E - Administracja'!L15+'Tab. 6G - Roln i ochrona środ.'!L14+'Tab.6I - Planow. przestrz.'!L14</f>
        <v>494707</v>
      </c>
      <c r="J19" s="2393">
        <f t="shared" si="7"/>
        <v>11719447</v>
      </c>
      <c r="K19" s="2757">
        <f t="shared" ref="K19:K22" si="8">SUM(C19:I19)</f>
        <v>9108414</v>
      </c>
      <c r="L19" s="1187">
        <f>SUM(D19:I19)</f>
        <v>7154284</v>
      </c>
      <c r="M19" s="480"/>
      <c r="N19" s="495">
        <f t="shared" si="2"/>
        <v>11719447</v>
      </c>
      <c r="O19" s="496">
        <f t="shared" si="3"/>
        <v>0</v>
      </c>
    </row>
    <row r="20" spans="1:15" s="497" customFormat="1" ht="13.5" hidden="1" customHeight="1">
      <c r="A20" s="498" t="s">
        <v>14</v>
      </c>
      <c r="B20" s="1200"/>
      <c r="C20" s="1201"/>
      <c r="D20" s="1201"/>
      <c r="E20" s="1201"/>
      <c r="F20" s="1201"/>
      <c r="G20" s="1201"/>
      <c r="H20" s="1201"/>
      <c r="I20" s="1201"/>
      <c r="J20" s="2393">
        <f t="shared" si="7"/>
        <v>0</v>
      </c>
      <c r="K20" s="2757">
        <f t="shared" si="8"/>
        <v>0</v>
      </c>
      <c r="L20" s="1187">
        <f t="shared" ref="K20:L24" si="9">SUM(D20:I20)</f>
        <v>0</v>
      </c>
      <c r="M20" s="480"/>
      <c r="N20" s="495">
        <f t="shared" si="2"/>
        <v>0</v>
      </c>
      <c r="O20" s="496">
        <f t="shared" si="3"/>
        <v>0</v>
      </c>
    </row>
    <row r="21" spans="1:15" s="497" customFormat="1" ht="15.75" customHeight="1">
      <c r="A21" s="498" t="s">
        <v>15</v>
      </c>
      <c r="B21" s="251">
        <f>+'Tab. 6A -Drogi'!E15+'Tab. 6H - Kultura fiz. i turyst'!E14</f>
        <v>9474695</v>
      </c>
      <c r="C21" s="1200">
        <f>+'Tab. 6A -Drogi'!F15+'Tab. 6H - Kultura fiz. i turyst'!F14</f>
        <v>2376842</v>
      </c>
      <c r="D21" s="1200">
        <f>+'Tab. 6A -Drogi'!G15+'Tab. 6H - Kultura fiz. i turyst'!G14</f>
        <v>5076165</v>
      </c>
      <c r="E21" s="2092">
        <f>+'Tab. 6A -Drogi'!H15+'Tab. 6H - Kultura fiz. i turyst'!H14</f>
        <v>0</v>
      </c>
      <c r="F21" s="2092">
        <f>+'Tab. 6A -Drogi'!I15+'Tab. 6H - Kultura fiz. i turyst'!I14</f>
        <v>0</v>
      </c>
      <c r="G21" s="2092">
        <f>+'Tab. 6A -Drogi'!J15+'Tab. 6H - Kultura fiz. i turyst'!J14</f>
        <v>0</v>
      </c>
      <c r="H21" s="2092">
        <f>+'Tab. 6A -Drogi'!K15+'Tab. 6H - Kultura fiz. i turyst'!K14</f>
        <v>0</v>
      </c>
      <c r="I21" s="2092">
        <f>+'Tab. 6A -Drogi'!L15+'Tab. 6H - Kultura fiz. i turyst'!L14</f>
        <v>0</v>
      </c>
      <c r="J21" s="2393">
        <f t="shared" si="7"/>
        <v>16927702</v>
      </c>
      <c r="K21" s="2757">
        <f t="shared" si="8"/>
        <v>7453007</v>
      </c>
      <c r="L21" s="1187">
        <f>SUM(D21:I21)</f>
        <v>5076165</v>
      </c>
      <c r="M21" s="480"/>
      <c r="N21" s="495">
        <f t="shared" si="2"/>
        <v>16927702</v>
      </c>
      <c r="O21" s="496">
        <f t="shared" si="3"/>
        <v>0</v>
      </c>
    </row>
    <row r="22" spans="1:15" s="497" customFormat="1" ht="15.75" customHeight="1">
      <c r="A22" s="498" t="s">
        <v>16</v>
      </c>
      <c r="B22" s="1203">
        <f>+'Tab. 6A -Drogi'!E16+'Tab. 6G - Roln i ochrona środ.'!E15+'Tab. 6E - Administracja'!E16+'Tab. 6H - Kultura fiz. i turyst'!E13</f>
        <v>2196030</v>
      </c>
      <c r="C22" s="1203">
        <f>+'Tab. 6A -Drogi'!F16+'Tab. 6G - Roln i ochrona środ.'!F15+'Tab. 6E - Administracja'!F16+'Tab. 6H - Kultura fiz. i turyst'!F13</f>
        <v>3324125</v>
      </c>
      <c r="D22" s="1203">
        <f>+'Tab. 6A -Drogi'!G16+'Tab. 6G - Roln i ochrona środ.'!G15+'Tab. 6E - Administracja'!G16+'Tab. 6H - Kultura fiz. i turyst'!G13</f>
        <v>3578701</v>
      </c>
      <c r="E22" s="1203">
        <f>+'Tab. 6A -Drogi'!H16+'Tab. 6G - Roln i ochrona środ.'!H15+'Tab. 6E - Administracja'!H16+'Tab. 6H - Kultura fiz. i turyst'!H13</f>
        <v>1243715</v>
      </c>
      <c r="F22" s="2092">
        <f>+'Tab. 6A -Drogi'!I16+'Tab. 6G - Roln i ochrona środ.'!I15+'Tab. 6E - Administracja'!I16+'Tab. 6H - Kultura fiz. i turyst'!I13</f>
        <v>0</v>
      </c>
      <c r="G22" s="2092">
        <f>+'Tab. 6A -Drogi'!J16+'Tab. 6G - Roln i ochrona środ.'!J15+'Tab. 6E - Administracja'!J16+'Tab. 6H - Kultura fiz. i turyst'!J13</f>
        <v>0</v>
      </c>
      <c r="H22" s="2092">
        <f>+'Tab. 6A -Drogi'!K16+'Tab. 6G - Roln i ochrona środ.'!K15+'Tab. 6E - Administracja'!K16+'Tab. 6H - Kultura fiz. i turyst'!K13</f>
        <v>0</v>
      </c>
      <c r="I22" s="2092">
        <f>+'Tab. 6A -Drogi'!L16+'Tab. 6G - Roln i ochrona środ.'!L15+'Tab. 6E - Administracja'!L16+'Tab. 6H - Kultura fiz. i turyst'!L13</f>
        <v>0</v>
      </c>
      <c r="J22" s="2393">
        <f t="shared" si="7"/>
        <v>10342571</v>
      </c>
      <c r="K22" s="2757">
        <f t="shared" si="8"/>
        <v>8146541</v>
      </c>
      <c r="L22" s="1187">
        <f>SUM(D22:I22)</f>
        <v>4822416</v>
      </c>
      <c r="M22" s="480"/>
      <c r="N22" s="495">
        <f t="shared" si="2"/>
        <v>10342571</v>
      </c>
      <c r="O22" s="496">
        <f t="shared" si="3"/>
        <v>0</v>
      </c>
    </row>
    <row r="23" spans="1:15" s="497" customFormat="1" ht="15.75" hidden="1" customHeight="1">
      <c r="A23" s="498" t="s">
        <v>25</v>
      </c>
      <c r="B23" s="1206"/>
      <c r="C23" s="1207">
        <v>0</v>
      </c>
      <c r="D23" s="1207">
        <v>0</v>
      </c>
      <c r="E23" s="1207">
        <v>0</v>
      </c>
      <c r="F23" s="1207">
        <v>0</v>
      </c>
      <c r="G23" s="1207">
        <f>+'Tab.6I - Planow. przestrz.'!J14</f>
        <v>0</v>
      </c>
      <c r="H23" s="1207"/>
      <c r="I23" s="1207"/>
      <c r="J23" s="2393">
        <f t="shared" si="7"/>
        <v>0</v>
      </c>
      <c r="K23" s="2757">
        <f t="shared" si="9"/>
        <v>0</v>
      </c>
      <c r="L23" s="1187">
        <f t="shared" si="9"/>
        <v>0</v>
      </c>
      <c r="M23" s="480"/>
      <c r="N23" s="495">
        <f t="shared" si="2"/>
        <v>0</v>
      </c>
      <c r="O23" s="496"/>
    </row>
    <row r="24" spans="1:15" s="497" customFormat="1" ht="15.75" hidden="1" customHeight="1">
      <c r="A24" s="498" t="s">
        <v>17</v>
      </c>
      <c r="B24" s="1203">
        <f>+'Tab. 6A -Drogi'!E17</f>
        <v>0</v>
      </c>
      <c r="C24" s="1202">
        <f>+'Tab. 6A -Drogi'!F17</f>
        <v>0</v>
      </c>
      <c r="D24" s="1202">
        <f>+'Tab. 6A -Drogi'!G17</f>
        <v>0</v>
      </c>
      <c r="E24" s="1202">
        <f>+'Tab. 6A -Drogi'!H17</f>
        <v>0</v>
      </c>
      <c r="F24" s="1202">
        <f>+'Tab. 6A -Drogi'!I17</f>
        <v>0</v>
      </c>
      <c r="G24" s="1202">
        <f>+'Tab. 6A -Drogi'!J17</f>
        <v>0</v>
      </c>
      <c r="H24" s="1202">
        <f>+'Tab. 6A -Drogi'!K17</f>
        <v>0</v>
      </c>
      <c r="I24" s="1202">
        <f>+'Tab. 6A -Drogi'!L17</f>
        <v>0</v>
      </c>
      <c r="J24" s="2394">
        <f t="shared" si="7"/>
        <v>0</v>
      </c>
      <c r="K24" s="2758">
        <f t="shared" si="9"/>
        <v>0</v>
      </c>
      <c r="L24" s="2085">
        <f t="shared" si="9"/>
        <v>0</v>
      </c>
      <c r="M24" s="480"/>
      <c r="N24" s="495">
        <f t="shared" si="2"/>
        <v>0</v>
      </c>
      <c r="O24" s="496">
        <f t="shared" si="3"/>
        <v>0</v>
      </c>
    </row>
    <row r="25" spans="1:15" s="497" customFormat="1" ht="15.75" customHeight="1">
      <c r="A25" s="498" t="s">
        <v>32</v>
      </c>
      <c r="B25" s="1205">
        <f>'Tab. 6E - Administracja'!E17</f>
        <v>391116</v>
      </c>
      <c r="C25" s="1205">
        <f>'Tab. 6E - Administracja'!F17</f>
        <v>372609</v>
      </c>
      <c r="D25" s="1205">
        <f>'Tab. 6E - Administracja'!G17</f>
        <v>484084</v>
      </c>
      <c r="E25" s="1205">
        <f>'Tab. 6E - Administracja'!H17</f>
        <v>89101</v>
      </c>
      <c r="F25" s="1205">
        <f>'Tab. 6E - Administracja'!I17</f>
        <v>77465</v>
      </c>
      <c r="G25" s="1205">
        <f>'Tab. 6E - Administracja'!J17</f>
        <v>64019</v>
      </c>
      <c r="H25" s="1205">
        <f>'Tab. 6E - Administracja'!K17</f>
        <v>64018</v>
      </c>
      <c r="I25" s="1205">
        <f>'Tab. 6E - Administracja'!L17</f>
        <v>64018</v>
      </c>
      <c r="J25" s="2393">
        <f t="shared" si="7"/>
        <v>1606430</v>
      </c>
      <c r="K25" s="2759" t="s">
        <v>61</v>
      </c>
      <c r="L25" s="2084" t="s">
        <v>61</v>
      </c>
      <c r="M25" s="480"/>
      <c r="N25" s="495">
        <f t="shared" si="2"/>
        <v>1606430</v>
      </c>
      <c r="O25" s="496">
        <f t="shared" si="3"/>
        <v>0</v>
      </c>
    </row>
    <row r="26" spans="1:15" s="497" customFormat="1" ht="17.25" customHeight="1">
      <c r="A26" s="491" t="s">
        <v>18</v>
      </c>
      <c r="B26" s="492">
        <f t="shared" ref="B26:C26" si="10">SUM(B27:B31)</f>
        <v>74649738</v>
      </c>
      <c r="C26" s="492">
        <f t="shared" si="10"/>
        <v>243409462</v>
      </c>
      <c r="D26" s="492">
        <f t="shared" ref="D26:J26" si="11">SUM(D27:D31)</f>
        <v>481179002</v>
      </c>
      <c r="E26" s="492">
        <f t="shared" si="11"/>
        <v>129987748</v>
      </c>
      <c r="F26" s="492">
        <f t="shared" si="11"/>
        <v>62723835</v>
      </c>
      <c r="G26" s="492">
        <f t="shared" si="11"/>
        <v>31775135</v>
      </c>
      <c r="H26" s="492">
        <f t="shared" si="11"/>
        <v>31652879</v>
      </c>
      <c r="I26" s="492">
        <f t="shared" si="11"/>
        <v>30209197</v>
      </c>
      <c r="J26" s="2395">
        <f t="shared" si="11"/>
        <v>1085586996</v>
      </c>
      <c r="K26" s="2760">
        <f>SUM(K29:K31)</f>
        <v>1010937258</v>
      </c>
      <c r="L26" s="2403">
        <f>SUM(L29:L31)</f>
        <v>767527796</v>
      </c>
      <c r="M26" s="480"/>
      <c r="N26" s="495">
        <f t="shared" si="2"/>
        <v>1085586996</v>
      </c>
      <c r="O26" s="496">
        <f t="shared" si="3"/>
        <v>0</v>
      </c>
    </row>
    <row r="27" spans="1:15" s="497" customFormat="1" ht="15.75" hidden="1" customHeight="1">
      <c r="A27" s="1199" t="s">
        <v>12</v>
      </c>
      <c r="B27" s="1200">
        <f>+'Tab. 6G - Roln i ochrona środ.'!E17</f>
        <v>0</v>
      </c>
      <c r="C27" s="1200">
        <f>+'Tab. 6G - Roln i ochrona środ.'!F17</f>
        <v>0</v>
      </c>
      <c r="D27" s="1200">
        <f>+'Tab. 6G - Roln i ochrona środ.'!G17</f>
        <v>0</v>
      </c>
      <c r="E27" s="1200">
        <f>+'Tab. 6G - Roln i ochrona środ.'!H17</f>
        <v>0</v>
      </c>
      <c r="F27" s="1200">
        <f>+'Tab. 6G - Roln i ochrona środ.'!I17</f>
        <v>0</v>
      </c>
      <c r="G27" s="1200">
        <f>+'Tab. 6G - Roln i ochrona środ.'!J17</f>
        <v>0</v>
      </c>
      <c r="H27" s="1200">
        <f>+'Tab. 6G - Roln i ochrona środ.'!K17</f>
        <v>0</v>
      </c>
      <c r="I27" s="1200">
        <f>+'Tab. 6G - Roln i ochrona środ.'!L17</f>
        <v>0</v>
      </c>
      <c r="J27" s="2393">
        <f>B27+C27+D27+E27+F27+G27+H27+I27</f>
        <v>0</v>
      </c>
      <c r="K27" s="2757">
        <f>SUM(B27:H27)</f>
        <v>0</v>
      </c>
      <c r="L27" s="1187">
        <f>SUM(C27:I27)</f>
        <v>0</v>
      </c>
      <c r="M27" s="480"/>
      <c r="N27" s="495">
        <f t="shared" si="2"/>
        <v>0</v>
      </c>
      <c r="O27" s="496">
        <f t="shared" si="3"/>
        <v>0</v>
      </c>
    </row>
    <row r="28" spans="1:15" s="497" customFormat="1" ht="13.5" hidden="1" customHeight="1">
      <c r="A28" s="1199" t="s">
        <v>19</v>
      </c>
      <c r="B28" s="1200">
        <f>+'Tab. 6A -Drogi'!E21</f>
        <v>0</v>
      </c>
      <c r="C28" s="1200">
        <f>+'Tab. 6A -Drogi'!F21</f>
        <v>0</v>
      </c>
      <c r="D28" s="1200">
        <f>+'Tab. 6A -Drogi'!G21</f>
        <v>0</v>
      </c>
      <c r="E28" s="1200">
        <f>+'Tab. 6A -Drogi'!H21</f>
        <v>0</v>
      </c>
      <c r="F28" s="1200">
        <f>+'Tab. 6A -Drogi'!I21</f>
        <v>0</v>
      </c>
      <c r="G28" s="1200">
        <f>+'Tab. 6A -Drogi'!J21</f>
        <v>0</v>
      </c>
      <c r="H28" s="1200">
        <f>+'Tab. 6A -Drogi'!K21</f>
        <v>0</v>
      </c>
      <c r="I28" s="1200">
        <f>+'Tab. 6A -Drogi'!L21</f>
        <v>0</v>
      </c>
      <c r="J28" s="2393">
        <f>B28+C28+D28+E28+F28+G28+H28+I28</f>
        <v>0</v>
      </c>
      <c r="K28" s="2757">
        <f>SUM(B28:H28)</f>
        <v>0</v>
      </c>
      <c r="L28" s="1187">
        <f>SUM(C28:I28)</f>
        <v>0</v>
      </c>
      <c r="M28" s="480"/>
      <c r="N28" s="495">
        <f t="shared" si="2"/>
        <v>0</v>
      </c>
      <c r="O28" s="496">
        <f t="shared" si="3"/>
        <v>0</v>
      </c>
    </row>
    <row r="29" spans="1:15" s="497" customFormat="1" ht="14.25" customHeight="1">
      <c r="A29" s="498" t="s">
        <v>20</v>
      </c>
      <c r="B29" s="1200">
        <f>+'Tab. 6D - Oświata'!E17+'Tab. 6A -Drogi'!E19+'Tab. 6G - Roln i ochrona środ.'!E20+'Tab.6I - Planow. przestrz.'!E17+'Tab. 6B Polit społ i rozwój prz'!E15</f>
        <v>7849356</v>
      </c>
      <c r="C29" s="1200">
        <f>+'Tab. 6D - Oświata'!F17+'Tab. 6A -Drogi'!F19+'Tab. 6G - Roln i ochrona środ.'!F20+'Tab.6I - Planow. przestrz.'!F17+'Tab. 6B Polit społ i rozwój prz'!F15</f>
        <v>8007183</v>
      </c>
      <c r="D29" s="1200">
        <f>+'Tab. 6D - Oświata'!G17+'Tab. 6A -Drogi'!G19+'Tab. 6G - Roln i ochrona środ.'!G20+'Tab.6I - Planow. przestrz.'!G17+'Tab. 6B Polit społ i rozwój prz'!G15</f>
        <v>22532182</v>
      </c>
      <c r="E29" s="1200">
        <f>+'Tab. 6D - Oświata'!H17+'Tab. 6A -Drogi'!H19+'Tab. 6G - Roln i ochrona środ.'!H20+'Tab.6I - Planow. przestrz.'!H17+'Tab. 6B Polit społ i rozwój prz'!H15</f>
        <v>8069390</v>
      </c>
      <c r="F29" s="1200">
        <f>+'Tab. 6D - Oświata'!I17+'Tab. 6A -Drogi'!I19+'Tab. 6G - Roln i ochrona środ.'!I20+'Tab.6I - Planow. przestrz.'!I17+'Tab. 6B Polit społ i rozwój prz'!I15</f>
        <v>283032</v>
      </c>
      <c r="G29" s="1200">
        <f>+'Tab. 6D - Oświata'!J17+'Tab. 6A -Drogi'!J19+'Tab. 6G - Roln i ochrona środ.'!J20+'Tab.6I - Planow. przestrz.'!J17+'Tab. 6B Polit społ i rozwój prz'!J15</f>
        <v>0</v>
      </c>
      <c r="H29" s="1200">
        <f>+'Tab. 6D - Oświata'!K17+'Tab. 6A -Drogi'!K19+'Tab. 6G - Roln i ochrona środ.'!K20+'Tab.6I - Planow. przestrz.'!K17+'Tab. 6B Polit społ i rozwój prz'!K15</f>
        <v>0</v>
      </c>
      <c r="I29" s="1200">
        <f>+'Tab. 6D - Oświata'!L17+'Tab. 6A -Drogi'!L19+'Tab. 6G - Roln i ochrona środ.'!L20+'Tab.6I - Planow. przestrz.'!L17+'Tab. 6B Polit społ i rozwój prz'!L15</f>
        <v>0</v>
      </c>
      <c r="J29" s="2393">
        <f>B29+C29+D29+E29+F29+G29+H29+I29</f>
        <v>46741143</v>
      </c>
      <c r="K29" s="2757">
        <f t="shared" ref="K29:K31" si="12">SUM(C29:I29)</f>
        <v>38891787</v>
      </c>
      <c r="L29" s="1187">
        <f>SUM(D29:I29)</f>
        <v>30884604</v>
      </c>
      <c r="M29" s="480"/>
      <c r="N29" s="495">
        <f t="shared" si="2"/>
        <v>46741143</v>
      </c>
      <c r="O29" s="496">
        <f t="shared" si="3"/>
        <v>0</v>
      </c>
    </row>
    <row r="30" spans="1:15" s="497" customFormat="1" ht="14.25" hidden="1" customHeight="1">
      <c r="A30" s="498" t="s">
        <v>14</v>
      </c>
      <c r="B30" s="251">
        <f>+'Tab. 6G - Roln i ochrona środ.'!E19</f>
        <v>0</v>
      </c>
      <c r="C30" s="251">
        <f>+'Tab. 6G - Roln i ochrona środ.'!F19</f>
        <v>0</v>
      </c>
      <c r="D30" s="251">
        <f>+'Tab. 6G - Roln i ochrona środ.'!G19</f>
        <v>0</v>
      </c>
      <c r="E30" s="251">
        <f>+'Tab. 6G - Roln i ochrona środ.'!H19</f>
        <v>0</v>
      </c>
      <c r="F30" s="251">
        <f>+'Tab. 6G - Roln i ochrona środ.'!I19</f>
        <v>0</v>
      </c>
      <c r="G30" s="251">
        <f>+'Tab. 6G - Roln i ochrona środ.'!J19</f>
        <v>0</v>
      </c>
      <c r="H30" s="251">
        <f>+'Tab. 6G - Roln i ochrona środ.'!K19</f>
        <v>0</v>
      </c>
      <c r="I30" s="251">
        <f>+'Tab. 6G - Roln i ochrona środ.'!L19</f>
        <v>0</v>
      </c>
      <c r="J30" s="2393">
        <f>B30+C30+D30+E30+F30+G30+H30+I30</f>
        <v>0</v>
      </c>
      <c r="K30" s="2757">
        <f t="shared" si="12"/>
        <v>0</v>
      </c>
      <c r="L30" s="1187">
        <f t="shared" ref="L30" si="13">SUM(D30:I30)</f>
        <v>0</v>
      </c>
      <c r="M30" s="480"/>
      <c r="N30" s="495">
        <f t="shared" si="2"/>
        <v>0</v>
      </c>
      <c r="O30" s="496">
        <f t="shared" si="3"/>
        <v>0</v>
      </c>
    </row>
    <row r="31" spans="1:15" s="497" customFormat="1" ht="14.25" customHeight="1">
      <c r="A31" s="498" t="s">
        <v>21</v>
      </c>
      <c r="B31" s="251">
        <f>+'Tab. 6B Polit społ i rozwój prz'!E16+'Tab. 6A -Drogi'!E20+'Tab. 6E - Administracja'!E19+'Tab. 6G - Roln i ochrona środ.'!E18+'Tab. 6H - Kultura fiz. i turyst'!E16+'Tab.6I - Planow. przestrz.'!E16</f>
        <v>66800382</v>
      </c>
      <c r="C31" s="251">
        <f>+'Tab. 6B Polit społ i rozwój prz'!F16+'Tab. 6A -Drogi'!F20+'Tab. 6E - Administracja'!F19+'Tab. 6G - Roln i ochrona środ.'!F18+'Tab. 6H - Kultura fiz. i turyst'!F16+'Tab.6I - Planow. przestrz.'!F16</f>
        <v>235402279</v>
      </c>
      <c r="D31" s="251">
        <f>+'Tab. 6B Polit społ i rozwój prz'!G16+'Tab. 6A -Drogi'!G20+'Tab. 6E - Administracja'!G19+'Tab. 6G - Roln i ochrona środ.'!G18+'Tab. 6H - Kultura fiz. i turyst'!G16+'Tab.6I - Planow. przestrz.'!G16</f>
        <v>458646820</v>
      </c>
      <c r="E31" s="251">
        <f>+'Tab. 6B Polit społ i rozwój prz'!H16+'Tab. 6A -Drogi'!H20+'Tab. 6E - Administracja'!H19+'Tab. 6G - Roln i ochrona środ.'!H18+'Tab. 6H - Kultura fiz. i turyst'!H16+'Tab.6I - Planow. przestrz.'!H16</f>
        <v>121918358</v>
      </c>
      <c r="F31" s="251">
        <f>+'Tab. 6B Polit społ i rozwój prz'!I16+'Tab. 6A -Drogi'!I20+'Tab. 6E - Administracja'!I19+'Tab. 6G - Roln i ochrona środ.'!I18+'Tab. 6H - Kultura fiz. i turyst'!I16+'Tab.6I - Planow. przestrz.'!I16</f>
        <v>62440803</v>
      </c>
      <c r="G31" s="251">
        <f>+'Tab. 6B Polit społ i rozwój prz'!J16+'Tab. 6A -Drogi'!J20+'Tab. 6E - Administracja'!J19+'Tab. 6G - Roln i ochrona środ.'!J18+'Tab. 6H - Kultura fiz. i turyst'!J16+'Tab.6I - Planow. przestrz.'!J16</f>
        <v>31775135</v>
      </c>
      <c r="H31" s="251">
        <f>+'Tab. 6B Polit społ i rozwój prz'!K16+'Tab. 6A -Drogi'!K20+'Tab. 6E - Administracja'!K19+'Tab. 6G - Roln i ochrona środ.'!K18+'Tab. 6H - Kultura fiz. i turyst'!K16+'Tab.6I - Planow. przestrz.'!K16</f>
        <v>31652879</v>
      </c>
      <c r="I31" s="251">
        <f>+'Tab. 6B Polit społ i rozwój prz'!L16+'Tab. 6A -Drogi'!L20+'Tab. 6E - Administracja'!L19+'Tab. 6G - Roln i ochrona środ.'!L18+'Tab. 6H - Kultura fiz. i turyst'!L16+'Tab.6I - Planow. przestrz.'!L16</f>
        <v>30209197</v>
      </c>
      <c r="J31" s="2393">
        <f>B31+C31+D31+E31+F31+G31+H31+I31</f>
        <v>1038845853</v>
      </c>
      <c r="K31" s="2757">
        <f t="shared" si="12"/>
        <v>972045471</v>
      </c>
      <c r="L31" s="1187">
        <f>SUM(D31:I31)</f>
        <v>736643192</v>
      </c>
      <c r="M31" s="480"/>
      <c r="N31" s="495">
        <f t="shared" si="2"/>
        <v>1038845853</v>
      </c>
      <c r="O31" s="1183">
        <f t="shared" si="3"/>
        <v>0</v>
      </c>
    </row>
    <row r="32" spans="1:15" s="1208" customFormat="1" ht="15.75" customHeight="1">
      <c r="A32" s="1888" t="s">
        <v>22</v>
      </c>
      <c r="B32" s="1889">
        <f>+B33+B41</f>
        <v>79181287</v>
      </c>
      <c r="C32" s="1889">
        <f t="shared" ref="C32:D32" si="14">+C33+C41</f>
        <v>229496333</v>
      </c>
      <c r="D32" s="1889">
        <f t="shared" si="14"/>
        <v>494335234</v>
      </c>
      <c r="E32" s="1889">
        <f t="shared" ref="E32:I32" si="15">+E33+E41</f>
        <v>147947232</v>
      </c>
      <c r="F32" s="1889">
        <f t="shared" si="15"/>
        <v>69459403</v>
      </c>
      <c r="G32" s="1889">
        <f t="shared" si="15"/>
        <v>35963654</v>
      </c>
      <c r="H32" s="1889">
        <f t="shared" si="15"/>
        <v>32088890</v>
      </c>
      <c r="I32" s="1889">
        <f t="shared" si="15"/>
        <v>31064939</v>
      </c>
      <c r="J32" s="2396">
        <f>+J33+J41</f>
        <v>1124576716</v>
      </c>
      <c r="K32" s="2991" t="s">
        <v>23</v>
      </c>
      <c r="L32" s="2996" t="s">
        <v>23</v>
      </c>
      <c r="M32" s="480"/>
    </row>
    <row r="33" spans="1:15" s="497" customFormat="1" ht="17.25" customHeight="1">
      <c r="A33" s="491" t="s">
        <v>24</v>
      </c>
      <c r="B33" s="1890">
        <f>SUM(B34:B40)</f>
        <v>14251486</v>
      </c>
      <c r="C33" s="1890">
        <f>SUM(C34:C40)</f>
        <v>7611823</v>
      </c>
      <c r="D33" s="1890">
        <f>SUM(D34:D40)</f>
        <v>9254555</v>
      </c>
      <c r="E33" s="1890">
        <f t="shared" ref="E33:I33" si="16">SUM(E34:E40)</f>
        <v>4937331</v>
      </c>
      <c r="F33" s="1890">
        <f t="shared" si="16"/>
        <v>1243362</v>
      </c>
      <c r="G33" s="1890">
        <f t="shared" si="16"/>
        <v>611380</v>
      </c>
      <c r="H33" s="1890">
        <f t="shared" si="16"/>
        <v>585076</v>
      </c>
      <c r="I33" s="1890">
        <f t="shared" si="16"/>
        <v>494707</v>
      </c>
      <c r="J33" s="2397">
        <f>SUM(J34:J40)</f>
        <v>38989720</v>
      </c>
      <c r="K33" s="2992"/>
      <c r="L33" s="2997"/>
      <c r="M33" s="494" t="s">
        <v>240</v>
      </c>
    </row>
    <row r="34" spans="1:15" s="497" customFormat="1" ht="14.25" customHeight="1">
      <c r="A34" s="1679" t="s">
        <v>13</v>
      </c>
      <c r="B34" s="1003">
        <f>+'Tab. 6B Polit społ i rozwój prz'!E19+'Tab. 6A -Drogi'!E24+'Tab. 6E - Administracja'!E22+'Tab. 6G - Roln i ochrona środ.'!E23</f>
        <v>2580761</v>
      </c>
      <c r="C34" s="1003">
        <f>+'Tab. 6B Polit społ i rozwój prz'!F19+'Tab. 6A -Drogi'!F24+'Tab. 6E - Administracja'!F22+'Tab. 6G - Roln i ochrona środ.'!F23+'Tab.6I - Planow. przestrz.'!F20</f>
        <v>1910856</v>
      </c>
      <c r="D34" s="1003">
        <f>+'Tab. 6B Polit społ i rozwój prz'!G19+'Tab. 6A -Drogi'!G24+'Tab. 6E - Administracja'!G22+'Tab. 6G - Roln i ochrona środ.'!G23+'Tab.6I - Planow. przestrz.'!G20</f>
        <v>3059974</v>
      </c>
      <c r="E34" s="1003">
        <f>+'Tab. 6B Polit społ i rozwój prz'!H19+'Tab. 6A -Drogi'!H24+'Tab. 6E - Administracja'!H22+'Tab. 6G - Roln i ochrona środ.'!H23+'Tab.6I - Planow. przestrz.'!H20</f>
        <v>1233331</v>
      </c>
      <c r="F34" s="1003">
        <f>+'Tab. 6B Polit społ i rozwój prz'!I19+'Tab. 6A -Drogi'!I24+'Tab. 6E - Administracja'!I22+'Tab. 6G - Roln i ochrona środ.'!I23+'Tab.6I - Planow. przestrz.'!I20</f>
        <v>1243362</v>
      </c>
      <c r="G34" s="1003">
        <f>+'Tab. 6B Polit społ i rozwój prz'!J19+'Tab. 6A -Drogi'!J24+'Tab. 6E - Administracja'!J22+'Tab. 6G - Roln i ochrona środ.'!J23+'Tab.6I - Planow. przestrz.'!J20</f>
        <v>611380</v>
      </c>
      <c r="H34" s="1003">
        <f>+'Tab. 6B Polit społ i rozwój prz'!K19+'Tab. 6A -Drogi'!K24+'Tab. 6E - Administracja'!K22+'Tab. 6G - Roln i ochrona środ.'!K23+'Tab.6I - Planow. przestrz.'!K20</f>
        <v>585076</v>
      </c>
      <c r="I34" s="1003">
        <f>+'Tab. 6B Polit społ i rozwój prz'!L19+'Tab. 6A -Drogi'!L24+'Tab. 6E - Administracja'!L22+'Tab. 6G - Roln i ochrona środ.'!L23+'Tab.6I - Planow. przestrz.'!L20</f>
        <v>494707</v>
      </c>
      <c r="J34" s="2393">
        <f t="shared" ref="J34:J40" si="17">B34+C34+D34+E34+F34+G34+H34+I34</f>
        <v>11719447</v>
      </c>
      <c r="K34" s="2992"/>
      <c r="L34" s="2997"/>
      <c r="M34" s="494"/>
    </row>
    <row r="35" spans="1:15" s="497" customFormat="1" hidden="1">
      <c r="A35" s="1679" t="s">
        <v>25</v>
      </c>
      <c r="B35" s="1003"/>
      <c r="C35" s="1003">
        <v>0</v>
      </c>
      <c r="D35" s="1003">
        <v>0</v>
      </c>
      <c r="E35" s="1003">
        <v>0</v>
      </c>
      <c r="F35" s="1003">
        <v>0</v>
      </c>
      <c r="G35" s="1003">
        <v>0</v>
      </c>
      <c r="H35" s="1209">
        <f>+'Tab. 6G - Roln i ochrona środ.'!K26</f>
        <v>0</v>
      </c>
      <c r="I35" s="1209">
        <f>+'Tab. 6G - Roln i ochrona środ.'!L26</f>
        <v>0</v>
      </c>
      <c r="J35" s="2393">
        <f t="shared" si="17"/>
        <v>0</v>
      </c>
      <c r="K35" s="2992"/>
      <c r="L35" s="2997"/>
      <c r="M35" s="494"/>
    </row>
    <row r="36" spans="1:15" s="497" customFormat="1" ht="14.25" hidden="1" customHeight="1">
      <c r="A36" s="1679" t="s">
        <v>14</v>
      </c>
      <c r="B36" s="1003">
        <f>+'Tab. 6G - Roln i ochrona środ.'!E24</f>
        <v>0</v>
      </c>
      <c r="C36" s="1003">
        <f>+'Tab. 6G - Roln i ochrona środ.'!F24</f>
        <v>0</v>
      </c>
      <c r="D36" s="1003">
        <f>+'Tab. 6G - Roln i ochrona środ.'!G24</f>
        <v>0</v>
      </c>
      <c r="E36" s="1003">
        <f>+'Tab. 6G - Roln i ochrona środ.'!H24</f>
        <v>0</v>
      </c>
      <c r="F36" s="1003">
        <f>+'Tab. 6G - Roln i ochrona środ.'!I24</f>
        <v>0</v>
      </c>
      <c r="G36" s="1003">
        <f>+'Tab. 6G - Roln i ochrona środ.'!J24</f>
        <v>0</v>
      </c>
      <c r="H36" s="1003">
        <f>+'Tab. 6G - Roln i ochrona środ.'!K24</f>
        <v>0</v>
      </c>
      <c r="I36" s="1003">
        <f>+'Tab. 6G - Roln i ochrona środ.'!L24</f>
        <v>0</v>
      </c>
      <c r="J36" s="2393">
        <f t="shared" si="17"/>
        <v>0</v>
      </c>
      <c r="K36" s="2992"/>
      <c r="L36" s="2997"/>
      <c r="M36" s="494">
        <f>J36-J20</f>
        <v>0</v>
      </c>
    </row>
    <row r="37" spans="1:15" s="497" customFormat="1" ht="14.25" customHeight="1">
      <c r="A37" s="1679" t="s">
        <v>15</v>
      </c>
      <c r="B37" s="1200">
        <f>+'Tab. 6A -Drogi'!E25+'Tab. 6H - Kultura fiz. i turyst'!E21</f>
        <v>9474695</v>
      </c>
      <c r="C37" s="1200">
        <f>+'Tab. 6A -Drogi'!F25+'Tab. 6H - Kultura fiz. i turyst'!F21</f>
        <v>2376842</v>
      </c>
      <c r="D37" s="1200">
        <f>+'Tab. 6A -Drogi'!G25+'Tab. 6H - Kultura fiz. i turyst'!G21</f>
        <v>5076165</v>
      </c>
      <c r="E37" s="2093">
        <f>+'Tab. 6A -Drogi'!H25+'Tab. 6H - Kultura fiz. i turyst'!H21</f>
        <v>0</v>
      </c>
      <c r="F37" s="2093">
        <f>+'Tab. 6A -Drogi'!I25+'Tab. 6H - Kultura fiz. i turyst'!I21</f>
        <v>0</v>
      </c>
      <c r="G37" s="2093">
        <f>+'Tab. 6A -Drogi'!J25+'Tab. 6H - Kultura fiz. i turyst'!J21</f>
        <v>0</v>
      </c>
      <c r="H37" s="2093">
        <f>+'Tab. 6A -Drogi'!K25+'Tab. 6H - Kultura fiz. i turyst'!K21</f>
        <v>0</v>
      </c>
      <c r="I37" s="2093">
        <f>+'Tab. 6A -Drogi'!L25+'Tab. 6G - Roln i ochrona środ.'!L24+'Tab. 6E - Administracja'!L22+'Tab. 6H - Kultura fiz. i turyst'!L19</f>
        <v>0</v>
      </c>
      <c r="J37" s="2393">
        <f t="shared" si="17"/>
        <v>16927702</v>
      </c>
      <c r="K37" s="2992"/>
      <c r="L37" s="2997"/>
      <c r="M37" s="494">
        <f>J37-J21</f>
        <v>0</v>
      </c>
      <c r="N37" s="1210"/>
    </row>
    <row r="38" spans="1:15" s="497" customFormat="1">
      <c r="A38" s="1679" t="s">
        <v>16</v>
      </c>
      <c r="B38" s="1891">
        <f>+'Tab. 6A -Drogi'!E26+'Tab. 6G - Roln i ochrona środ.'!E25+'Tab. 6E - Administracja'!E23+'Tab. 6H - Kultura fiz. i turyst'!E20</f>
        <v>2196030</v>
      </c>
      <c r="C38" s="1891">
        <f>+'Tab. 6A -Drogi'!F26+'Tab. 6G - Roln i ochrona środ.'!F25+'Tab. 6E - Administracja'!F23+'Tab. 6H - Kultura fiz. i turyst'!F20</f>
        <v>3324125</v>
      </c>
      <c r="D38" s="1891">
        <f>+'Tab. 6A -Drogi'!G26+'Tab. 6G - Roln i ochrona środ.'!G25+'Tab. 6E - Administracja'!G23+'Tab. 6H - Kultura fiz. i turyst'!G20</f>
        <v>1118416</v>
      </c>
      <c r="E38" s="1891">
        <f>+'Tab. 6A -Drogi'!H26+'Tab. 6G - Roln i ochrona środ.'!H25+'Tab. 6E - Administracja'!H23+'Tab. 6H - Kultura fiz. i turyst'!H20</f>
        <v>3704000</v>
      </c>
      <c r="F38" s="2093">
        <f>+'Tab. 6A -Drogi'!I26+'Tab. 6G - Roln i ochrona środ.'!I25+'Tab. 6E - Administracja'!I23+'Tab. 6H - Kultura fiz. i turyst'!I20</f>
        <v>0</v>
      </c>
      <c r="G38" s="2093">
        <f>+'Tab. 6A -Drogi'!J26+'Tab. 6G - Roln i ochrona środ.'!J25+'Tab. 6E - Administracja'!J23+'Tab. 6H - Kultura fiz. i turyst'!J20</f>
        <v>0</v>
      </c>
      <c r="H38" s="2093">
        <f>+'Tab. 6A -Drogi'!K26+'Tab. 6G - Roln i ochrona środ.'!K25+'Tab. 6E - Administracja'!K23+'Tab. 6H - Kultura fiz. i turyst'!K20</f>
        <v>0</v>
      </c>
      <c r="I38" s="2093">
        <f>+'Tab. 6A -Drogi'!L26+'Tab. 6G - Roln i ochrona środ.'!L25+'Tab. 6E - Administracja'!L23+'Tab. 6H - Kultura fiz. i turyst'!L20</f>
        <v>0</v>
      </c>
      <c r="J38" s="2393">
        <f t="shared" si="17"/>
        <v>10342571</v>
      </c>
      <c r="K38" s="2992"/>
      <c r="L38" s="2997"/>
      <c r="M38" s="494">
        <f>J38-J22</f>
        <v>0</v>
      </c>
    </row>
    <row r="39" spans="1:15" s="497" customFormat="1" ht="15" hidden="1" customHeight="1">
      <c r="A39" s="1679" t="s">
        <v>17</v>
      </c>
      <c r="B39" s="1200">
        <f>+'Tab. 6A -Drogi'!E27</f>
        <v>0</v>
      </c>
      <c r="C39" s="1201">
        <f>+'Tab. 6A -Drogi'!F27</f>
        <v>0</v>
      </c>
      <c r="D39" s="1201">
        <f>+'Tab. 6A -Drogi'!G27</f>
        <v>0</v>
      </c>
      <c r="E39" s="1201">
        <f>+'Tab. 6A -Drogi'!H27</f>
        <v>0</v>
      </c>
      <c r="F39" s="1201">
        <f>+'Tab. 6A -Drogi'!I27</f>
        <v>0</v>
      </c>
      <c r="G39" s="1201">
        <f>+'Tab. 6A -Drogi'!J27</f>
        <v>0</v>
      </c>
      <c r="H39" s="1201">
        <f>+'Tab. 6A -Drogi'!K27</f>
        <v>0</v>
      </c>
      <c r="I39" s="1201">
        <f>+'Tab. 6A -Drogi'!L27</f>
        <v>0</v>
      </c>
      <c r="J39" s="2393">
        <f t="shared" si="17"/>
        <v>0</v>
      </c>
      <c r="K39" s="2992"/>
      <c r="L39" s="2997"/>
      <c r="M39" s="494">
        <f>J39-J24</f>
        <v>0</v>
      </c>
    </row>
    <row r="40" spans="1:15" s="497" customFormat="1" ht="25.5" hidden="1" customHeight="1">
      <c r="A40" s="1199" t="s">
        <v>26</v>
      </c>
      <c r="B40" s="1205">
        <f>+'Tab. 6A -Drogi'!E28</f>
        <v>0</v>
      </c>
      <c r="C40" s="1204">
        <f>+'Tab. 6A -Drogi'!F28</f>
        <v>0</v>
      </c>
      <c r="D40" s="1204">
        <f>+'Tab. 6A -Drogi'!G28</f>
        <v>0</v>
      </c>
      <c r="E40" s="1204">
        <f>+'Tab. 6A -Drogi'!H28</f>
        <v>0</v>
      </c>
      <c r="F40" s="1204">
        <f>+'Tab. 6A -Drogi'!I28</f>
        <v>0</v>
      </c>
      <c r="G40" s="1204">
        <f>+'Tab. 6A -Drogi'!J28</f>
        <v>0</v>
      </c>
      <c r="H40" s="1204">
        <f>+'Tab. 6A -Drogi'!K28</f>
        <v>0</v>
      </c>
      <c r="I40" s="1204">
        <f>+'Tab. 6A -Drogi'!L28</f>
        <v>0</v>
      </c>
      <c r="J40" s="2393">
        <f t="shared" si="17"/>
        <v>0</v>
      </c>
      <c r="K40" s="2992"/>
      <c r="L40" s="2997"/>
      <c r="M40" s="494"/>
    </row>
    <row r="41" spans="1:15" s="497" customFormat="1" ht="16.5" customHeight="1">
      <c r="A41" s="491" t="s">
        <v>18</v>
      </c>
      <c r="B41" s="1892">
        <f t="shared" ref="B41:C41" si="18">SUM(B42:B46)</f>
        <v>64929801</v>
      </c>
      <c r="C41" s="1892">
        <f t="shared" si="18"/>
        <v>221884510</v>
      </c>
      <c r="D41" s="1892">
        <f t="shared" ref="D41:I41" si="19">SUM(D42:D46)</f>
        <v>485080679</v>
      </c>
      <c r="E41" s="1892">
        <f t="shared" si="19"/>
        <v>143009901</v>
      </c>
      <c r="F41" s="1892">
        <f t="shared" si="19"/>
        <v>68216041</v>
      </c>
      <c r="G41" s="1892">
        <f t="shared" si="19"/>
        <v>35352274</v>
      </c>
      <c r="H41" s="1892">
        <f t="shared" si="19"/>
        <v>31503814</v>
      </c>
      <c r="I41" s="1892">
        <f t="shared" si="19"/>
        <v>30570232</v>
      </c>
      <c r="J41" s="2397">
        <f>SUM(J42:J46)</f>
        <v>1085586996</v>
      </c>
      <c r="K41" s="2992"/>
      <c r="L41" s="2997"/>
      <c r="M41" s="494"/>
    </row>
    <row r="42" spans="1:15" s="497" customFormat="1" ht="15.75" hidden="1" customHeight="1">
      <c r="A42" s="1893" t="s">
        <v>17</v>
      </c>
      <c r="B42" s="1211"/>
      <c r="C42" s="1200"/>
      <c r="D42" s="1200"/>
      <c r="E42" s="1200"/>
      <c r="F42" s="1200"/>
      <c r="G42" s="1200"/>
      <c r="H42" s="1200"/>
      <c r="I42" s="1200"/>
      <c r="J42" s="2393">
        <f>B42+C42+D42+E42+F42+G42+H42+I42</f>
        <v>0</v>
      </c>
      <c r="K42" s="2992"/>
      <c r="L42" s="2997"/>
      <c r="M42" s="494"/>
    </row>
    <row r="43" spans="1:15" s="497" customFormat="1" ht="14.25" hidden="1" customHeight="1">
      <c r="A43" s="1679" t="s">
        <v>19</v>
      </c>
      <c r="B43" s="1200">
        <f>+'Tab. 6A -Drogi'!E33</f>
        <v>0</v>
      </c>
      <c r="C43" s="1200">
        <f>+'Tab. 6A -Drogi'!F33</f>
        <v>0</v>
      </c>
      <c r="D43" s="1200">
        <f>+'Tab. 6A -Drogi'!G33</f>
        <v>0</v>
      </c>
      <c r="E43" s="1200">
        <f>+'Tab. 6A -Drogi'!H33</f>
        <v>0</v>
      </c>
      <c r="F43" s="1200">
        <f>+'Tab. 6A -Drogi'!I33</f>
        <v>0</v>
      </c>
      <c r="G43" s="1200">
        <f>+'Tab. 6A -Drogi'!J33</f>
        <v>0</v>
      </c>
      <c r="H43" s="1200">
        <f>+'Tab. 6A -Drogi'!K33</f>
        <v>0</v>
      </c>
      <c r="I43" s="1200">
        <f>+'Tab. 6A -Drogi'!L33</f>
        <v>0</v>
      </c>
      <c r="J43" s="2393">
        <f>B43+C43+D43+E43+F43+G43+H43+I43</f>
        <v>0</v>
      </c>
      <c r="K43" s="2992"/>
      <c r="L43" s="2997"/>
      <c r="M43" s="494">
        <f>J43-J28</f>
        <v>0</v>
      </c>
    </row>
    <row r="44" spans="1:15" s="497" customFormat="1" ht="15.75" hidden="1" customHeight="1">
      <c r="A44" s="1679" t="s">
        <v>14</v>
      </c>
      <c r="B44" s="1200">
        <f>+'Tab. 6G - Roln i ochrona środ.'!E30</f>
        <v>0</v>
      </c>
      <c r="C44" s="1200">
        <f>+'Tab. 6G - Roln i ochrona środ.'!F30</f>
        <v>0</v>
      </c>
      <c r="D44" s="1200">
        <f>+'Tab. 6G - Roln i ochrona środ.'!G30</f>
        <v>0</v>
      </c>
      <c r="E44" s="1200">
        <f>+'Tab. 6G - Roln i ochrona środ.'!H30</f>
        <v>0</v>
      </c>
      <c r="F44" s="1200">
        <f>+'Tab. 6G - Roln i ochrona środ.'!I30</f>
        <v>0</v>
      </c>
      <c r="G44" s="1200">
        <f>+'Tab. 6G - Roln i ochrona środ.'!J30</f>
        <v>0</v>
      </c>
      <c r="H44" s="1200">
        <f>+'Tab. 6G - Roln i ochrona środ.'!K30</f>
        <v>0</v>
      </c>
      <c r="I44" s="1200">
        <f>+'Tab. 6G - Roln i ochrona środ.'!L30</f>
        <v>0</v>
      </c>
      <c r="J44" s="2393">
        <f>B44+C44+D44+E44+F44+G44+H44+I44</f>
        <v>0</v>
      </c>
      <c r="K44" s="2992"/>
      <c r="L44" s="2997"/>
      <c r="M44" s="494">
        <f>J44-J30</f>
        <v>0</v>
      </c>
    </row>
    <row r="45" spans="1:15" s="497" customFormat="1" ht="14.25" customHeight="1">
      <c r="A45" s="1679" t="s">
        <v>20</v>
      </c>
      <c r="B45" s="1894">
        <f>+'Tab. 6A -Drogi'!E31+'Tab. 6G - Roln i ochrona środ.'!E31+'Tab. 6D - Oświata'!E20+'Tab.6I - Planow. przestrz.'!E23+'Tab. 6B Polit społ i rozwój prz'!E21</f>
        <v>9393236</v>
      </c>
      <c r="C45" s="1894">
        <f>+'Tab. 6A -Drogi'!F31+'Tab. 6G - Roln i ochrona środ.'!F31+'Tab. 6D - Oświata'!F20+'Tab.6I - Planow. przestrz.'!F23+'Tab. 6B Polit społ i rozwój prz'!F21</f>
        <v>618052</v>
      </c>
      <c r="D45" s="1894">
        <f>+'Tab. 6A -Drogi'!G31+'Tab. 6G - Roln i ochrona środ.'!G31+'Tab. 6D - Oświata'!G20+'Tab.6I - Planow. przestrz.'!G23+'Tab. 6B Polit społ i rozwój prz'!G21</f>
        <v>18959111</v>
      </c>
      <c r="E45" s="1894">
        <f>+'Tab. 6A -Drogi'!H31+'Tab. 6G - Roln i ochrona środ.'!H31+'Tab. 6D - Oświata'!H20+'Tab.6I - Planow. przestrz.'!H23+'Tab. 6B Polit społ i rozwój prz'!H21</f>
        <v>14255634</v>
      </c>
      <c r="F45" s="1894">
        <f>+'Tab. 6A -Drogi'!I31+'Tab. 6G - Roln i ochrona środ.'!I31+'Tab. 6D - Oświata'!I20+'Tab.6I - Planow. przestrz.'!I23+'Tab. 6B Polit społ i rozwój prz'!I21</f>
        <v>3398928</v>
      </c>
      <c r="G45" s="1894">
        <f>+'Tab. 6A -Drogi'!J31+'Tab. 6G - Roln i ochrona środ.'!J31+'Tab. 6D - Oświata'!J20+'Tab.6I - Planow. przestrz.'!J23+'Tab. 6B Polit społ i rozwój prz'!J21</f>
        <v>116182</v>
      </c>
      <c r="H45" s="1894">
        <f>+'Tab. 6A -Drogi'!K31+'Tab. 6G - Roln i ochrona środ.'!K31+'Tab. 6D - Oświata'!K20+'Tab.6I - Planow. przestrz.'!K23+'Tab. 6B Polit społ i rozwój prz'!K21</f>
        <v>0</v>
      </c>
      <c r="I45" s="1894">
        <f>+'Tab. 6A -Drogi'!L31+'Tab. 6G - Roln i ochrona środ.'!L31+'Tab. 6D - Oświata'!L20+'Tab.6I - Planow. przestrz.'!L23+'Tab. 6B Polit społ i rozwój prz'!L21</f>
        <v>0</v>
      </c>
      <c r="J45" s="2393">
        <f>B45+C45+D45+E45+F45+G45+H45+I45</f>
        <v>46741143</v>
      </c>
      <c r="K45" s="2992"/>
      <c r="L45" s="2997"/>
      <c r="M45" s="494">
        <f>J45-J29-J27</f>
        <v>0</v>
      </c>
      <c r="N45" s="1210" t="s">
        <v>419</v>
      </c>
    </row>
    <row r="46" spans="1:15" s="497" customFormat="1" ht="15.75" customHeight="1" thickBot="1">
      <c r="A46" s="1232" t="s">
        <v>21</v>
      </c>
      <c r="B46" s="1895">
        <f>+'Tab. 6B Polit społ i rozwój prz'!E22+'Tab. 6A -Drogi'!E32+'Tab. 6E - Administracja'!E25+'Tab. 6G - Roln i ochrona środ.'!E29+'Tab. 6H - Kultura fiz. i turyst'!E23+'Tab.6I - Planow. przestrz.'!E22</f>
        <v>55536565</v>
      </c>
      <c r="C46" s="1896">
        <f>+'Tab. 6B Polit społ i rozwój prz'!F22+'Tab. 6A -Drogi'!F32+'Tab. 6E - Administracja'!F25+'Tab. 6G - Roln i ochrona środ.'!F29+'Tab. 6H - Kultura fiz. i turyst'!F23+'Tab.6I - Planow. przestrz.'!F22</f>
        <v>221266458</v>
      </c>
      <c r="D46" s="1896">
        <f>+'Tab. 6B Polit społ i rozwój prz'!G22+'Tab. 6A -Drogi'!G32+'Tab. 6E - Administracja'!G25+'Tab. 6G - Roln i ochrona środ.'!G29+'Tab. 6H - Kultura fiz. i turyst'!G23+'Tab.6I - Planow. przestrz.'!G22</f>
        <v>466121568</v>
      </c>
      <c r="E46" s="1896">
        <f>+'Tab. 6B Polit społ i rozwój prz'!H22+'Tab. 6A -Drogi'!H32+'Tab. 6E - Administracja'!H25+'Tab. 6G - Roln i ochrona środ.'!H29+'Tab. 6H - Kultura fiz. i turyst'!H23+'Tab.6I - Planow. przestrz.'!H22</f>
        <v>128754267</v>
      </c>
      <c r="F46" s="1896">
        <f>+'Tab. 6B Polit społ i rozwój prz'!I22+'Tab. 6A -Drogi'!I32+'Tab. 6E - Administracja'!I25+'Tab. 6G - Roln i ochrona środ.'!I29+'Tab. 6H - Kultura fiz. i turyst'!I23+'Tab.6I - Planow. przestrz.'!I22</f>
        <v>64817113</v>
      </c>
      <c r="G46" s="1896">
        <f>+'Tab. 6B Polit społ i rozwój prz'!J22+'Tab. 6A -Drogi'!J32+'Tab. 6E - Administracja'!J25+'Tab. 6G - Roln i ochrona środ.'!J29+'Tab. 6H - Kultura fiz. i turyst'!J23+'Tab.6I - Planow. przestrz.'!J22</f>
        <v>35236092</v>
      </c>
      <c r="H46" s="1896">
        <f>+'Tab. 6B Polit społ i rozwój prz'!K22+'Tab. 6A -Drogi'!K32+'Tab. 6E - Administracja'!K25+'Tab. 6G - Roln i ochrona środ.'!K29+'Tab. 6H - Kultura fiz. i turyst'!K23+'Tab.6I - Planow. przestrz.'!K22</f>
        <v>31503814</v>
      </c>
      <c r="I46" s="1896">
        <f>+'Tab. 6B Polit społ i rozwój prz'!L22+'Tab. 6A -Drogi'!L32+'Tab. 6E - Administracja'!L25+'Tab. 6G - Roln i ochrona środ.'!L29+'Tab. 6H - Kultura fiz. i turyst'!L23+'Tab.6I - Planow. przestrz.'!L22</f>
        <v>30570232</v>
      </c>
      <c r="J46" s="2398">
        <f>B46+C46+D46+E46+F46+G46+H46+I46+5028154+11590</f>
        <v>1038845853</v>
      </c>
      <c r="K46" s="2993"/>
      <c r="L46" s="2998"/>
      <c r="M46" s="494">
        <f>J46-J31</f>
        <v>0</v>
      </c>
      <c r="N46" s="1210"/>
    </row>
    <row r="47" spans="1:15" s="497" customFormat="1" ht="21" customHeight="1" thickBot="1">
      <c r="A47" s="1190"/>
      <c r="B47" s="1191"/>
      <c r="C47" s="1191"/>
      <c r="D47" s="1191"/>
      <c r="E47" s="1191"/>
      <c r="F47" s="1191"/>
      <c r="G47" s="1191"/>
      <c r="H47" s="1191"/>
      <c r="I47" s="1191"/>
      <c r="J47" s="1191"/>
      <c r="K47" s="1214"/>
      <c r="L47" s="1214"/>
      <c r="M47" s="494"/>
    </row>
    <row r="48" spans="1:15" s="1194" customFormat="1" ht="18.75" customHeight="1" thickBot="1">
      <c r="A48" s="1215" t="s">
        <v>27</v>
      </c>
      <c r="B48" s="1216">
        <f>+B16-B25</f>
        <v>100307721.3</v>
      </c>
      <c r="C48" s="1216">
        <f t="shared" ref="C48:I48" si="20">+C16-C25</f>
        <v>297133807</v>
      </c>
      <c r="D48" s="1216">
        <f t="shared" si="20"/>
        <v>588475218</v>
      </c>
      <c r="E48" s="1216">
        <f t="shared" si="20"/>
        <v>160306013</v>
      </c>
      <c r="F48" s="1216">
        <f t="shared" si="20"/>
        <v>83962467</v>
      </c>
      <c r="G48" s="1216">
        <f t="shared" si="20"/>
        <v>38634583</v>
      </c>
      <c r="H48" s="1216">
        <f t="shared" si="20"/>
        <v>36558257</v>
      </c>
      <c r="I48" s="1216">
        <f t="shared" si="20"/>
        <v>34978694</v>
      </c>
      <c r="J48" s="2399">
        <f>+J16-J25</f>
        <v>1340356760.3</v>
      </c>
      <c r="K48" s="2404">
        <f>+C48+D48+E48+F48+G48+H48+I48</f>
        <v>1240049039</v>
      </c>
      <c r="L48" s="1217">
        <f>+D48+E48+F48+G48+H48+I48</f>
        <v>942915232</v>
      </c>
      <c r="M48" s="1218">
        <f>B48+C48+D48+E48+F48+G48+H48+I48</f>
        <v>1340356760.3</v>
      </c>
      <c r="N48" s="1219">
        <f>M48-J48</f>
        <v>0</v>
      </c>
      <c r="O48" s="1219"/>
    </row>
    <row r="49" spans="1:15" s="1194" customFormat="1" ht="16.5" customHeight="1" thickBot="1">
      <c r="A49" s="1215" t="s">
        <v>28</v>
      </c>
      <c r="B49" s="1220">
        <f>+B32</f>
        <v>79181287</v>
      </c>
      <c r="C49" s="1220">
        <f>+C32</f>
        <v>229496333</v>
      </c>
      <c r="D49" s="1220">
        <f t="shared" ref="D49:I49" si="21">+D32</f>
        <v>494335234</v>
      </c>
      <c r="E49" s="1220">
        <f t="shared" si="21"/>
        <v>147947232</v>
      </c>
      <c r="F49" s="1220">
        <f t="shared" si="21"/>
        <v>69459403</v>
      </c>
      <c r="G49" s="1220">
        <f t="shared" si="21"/>
        <v>35963654</v>
      </c>
      <c r="H49" s="1220">
        <f t="shared" si="21"/>
        <v>32088890</v>
      </c>
      <c r="I49" s="1220">
        <f t="shared" si="21"/>
        <v>31064939</v>
      </c>
      <c r="J49" s="2400">
        <f>+J32</f>
        <v>1124576716</v>
      </c>
      <c r="K49" s="2405" t="s">
        <v>23</v>
      </c>
      <c r="L49" s="1221" t="s">
        <v>23</v>
      </c>
      <c r="M49" s="1218">
        <v>105067692</v>
      </c>
      <c r="N49" s="1219" t="s">
        <v>252</v>
      </c>
    </row>
    <row r="50" spans="1:15" s="497" customFormat="1" ht="18.75" hidden="1" customHeight="1">
      <c r="A50" s="1222"/>
      <c r="B50" s="1191">
        <f>'Tab. 6A -Drogi'!E16+'Tab. 6E - Administracja'!E16+'Tab. 6G - Roln i ochrona środ.'!E15</f>
        <v>2196030</v>
      </c>
      <c r="C50" s="1191"/>
      <c r="D50" s="1191"/>
      <c r="E50" s="1191"/>
      <c r="F50" s="1191"/>
      <c r="G50" s="1191"/>
      <c r="H50" s="1191"/>
      <c r="I50" s="1191"/>
      <c r="J50" s="1214"/>
      <c r="K50" s="1210"/>
      <c r="L50" s="1210"/>
      <c r="M50" s="1210">
        <f>M49+M48</f>
        <v>1445424452.3</v>
      </c>
      <c r="N50" s="1210">
        <f>J48-M50</f>
        <v>-105067692</v>
      </c>
    </row>
    <row r="51" spans="1:15" s="497" customFormat="1" ht="12.75" hidden="1" customHeight="1">
      <c r="A51" s="1191"/>
      <c r="B51" s="1191">
        <f>'Tab. 6A -Drogi'!E32+'Tab. 6B Polit społ i rozwój prz'!E22+'Tab. 6E - Administracja'!E25+'Tab. 6H - Kultura fiz. i turyst'!E23+'Tab.6I - Planow. przestrz.'!E22+'Tab. 6G - Roln i ochrona środ.'!E29</f>
        <v>55536565</v>
      </c>
      <c r="C51" s="1191">
        <f>'Tab. 6A -Drogi'!F32+'Tab. 6B Polit społ i rozwój prz'!F22+'Tab. 6E - Administracja'!F25+'Tab. 6H - Kultura fiz. i turyst'!F23+'Tab.6I - Planow. przestrz.'!F22+'Tab. 6G - Roln i ochrona środ.'!F29</f>
        <v>221266458</v>
      </c>
      <c r="D51" s="1191">
        <f>'Tab. 6A -Drogi'!G32+'Tab. 6B Polit społ i rozwój prz'!G22+'Tab. 6E - Administracja'!G25+'Tab. 6H - Kultura fiz. i turyst'!G23+'Tab.6I - Planow. przestrz.'!G22+'Tab. 6G - Roln i ochrona środ.'!G29</f>
        <v>466121568</v>
      </c>
      <c r="E51" s="1191">
        <f>'Tab. 6A -Drogi'!H32+'Tab. 6B Polit społ i rozwój prz'!H22+'Tab. 6E - Administracja'!H25+'Tab. 6H - Kultura fiz. i turyst'!H23+'Tab.6I - Planow. przestrz.'!H22+'Tab. 6G - Roln i ochrona środ.'!H29</f>
        <v>128754267</v>
      </c>
      <c r="F51" s="1191">
        <f>'Tab. 6A -Drogi'!I32+'Tab. 6B Polit społ i rozwój prz'!I22+'Tab. 6E - Administracja'!I25+'Tab. 6H - Kultura fiz. i turyst'!I23+'Tab.6I - Planow. przestrz.'!I22+'Tab. 6G - Roln i ochrona środ.'!I29</f>
        <v>64817113</v>
      </c>
      <c r="G51" s="1191">
        <f>'Tab. 6A -Drogi'!J32+'Tab. 6B Polit społ i rozwój prz'!J22+'Tab. 6E - Administracja'!J25+'Tab. 6H - Kultura fiz. i turyst'!J23+'Tab.6I - Planow. przestrz.'!J22+'Tab. 6G - Roln i ochrona środ.'!J29</f>
        <v>35236092</v>
      </c>
      <c r="H51" s="1191">
        <f>'Tab. 6A -Drogi'!K32+'Tab. 6B Polit społ i rozwój prz'!K22+'Tab. 6E - Administracja'!K25+'Tab. 6H - Kultura fiz. i turyst'!K23+'Tab.6I - Planow. przestrz.'!K22+'Tab. 6G - Roln i ochrona środ.'!K29</f>
        <v>31503814</v>
      </c>
      <c r="I51" s="1191">
        <f>'Tab. 6A -Drogi'!L32+'Tab. 6B Polit społ i rozwój prz'!L22+'Tab. 6E - Administracja'!L25+'Tab. 6H - Kultura fiz. i turyst'!L23+'Tab.6I - Planow. przestrz.'!L22+'Tab. 6G - Roln i ochrona środ.'!L29</f>
        <v>30570232</v>
      </c>
      <c r="J51" s="1191" t="e">
        <f>B51+#REF!+#REF!+C51+D51+E51+F51+G51+H51+I51</f>
        <v>#REF!</v>
      </c>
      <c r="K51" s="494"/>
      <c r="L51" s="494"/>
      <c r="M51" s="494"/>
    </row>
    <row r="52" spans="1:15" s="497" customFormat="1" hidden="1">
      <c r="A52" s="1223"/>
      <c r="B52" s="1191">
        <f>B46-B51</f>
        <v>0</v>
      </c>
      <c r="C52" s="1191">
        <f t="shared" ref="C52:I52" si="22">C46-C51</f>
        <v>0</v>
      </c>
      <c r="D52" s="1191">
        <f t="shared" si="22"/>
        <v>0</v>
      </c>
      <c r="E52" s="1191">
        <f t="shared" si="22"/>
        <v>0</v>
      </c>
      <c r="F52" s="1191">
        <f t="shared" si="22"/>
        <v>0</v>
      </c>
      <c r="G52" s="1191">
        <f t="shared" si="22"/>
        <v>0</v>
      </c>
      <c r="H52" s="1191">
        <f t="shared" si="22"/>
        <v>0</v>
      </c>
      <c r="I52" s="1191">
        <f t="shared" si="22"/>
        <v>0</v>
      </c>
      <c r="J52" s="1191"/>
      <c r="K52" s="494"/>
      <c r="L52" s="494"/>
      <c r="M52" s="494"/>
    </row>
    <row r="53" spans="1:15" s="497" customFormat="1">
      <c r="A53" s="1222"/>
      <c r="B53" s="1191"/>
      <c r="C53" s="1191"/>
      <c r="D53" s="1191"/>
      <c r="E53" s="1191"/>
      <c r="F53" s="1191"/>
      <c r="G53" s="1191"/>
      <c r="H53" s="1191"/>
      <c r="I53" s="1191"/>
      <c r="J53" s="1214"/>
      <c r="K53" s="494"/>
      <c r="L53" s="494"/>
      <c r="M53" s="494"/>
    </row>
    <row r="54" spans="1:15" ht="31.5" customHeight="1" thickBot="1">
      <c r="A54" s="3012" t="s">
        <v>29</v>
      </c>
      <c r="B54" s="3012"/>
      <c r="C54" s="3012"/>
      <c r="D54" s="3012"/>
      <c r="E54" s="3012"/>
      <c r="F54" s="3012"/>
      <c r="G54" s="3012"/>
      <c r="H54" s="3012"/>
      <c r="I54" s="3012"/>
      <c r="J54" s="3012"/>
      <c r="K54" s="1224"/>
      <c r="L54" s="1224"/>
    </row>
    <row r="55" spans="1:15" s="1160" customFormat="1" ht="34.5" customHeight="1">
      <c r="A55" s="1166"/>
      <c r="B55" s="3010" t="s">
        <v>263</v>
      </c>
      <c r="C55" s="3017" t="s">
        <v>547</v>
      </c>
      <c r="D55" s="3013" t="s">
        <v>472</v>
      </c>
      <c r="E55" s="3013"/>
      <c r="F55" s="3013"/>
      <c r="G55" s="3013"/>
      <c r="H55" s="3013"/>
      <c r="I55" s="3014"/>
      <c r="J55" s="3007" t="s">
        <v>3</v>
      </c>
      <c r="K55" s="2994" t="s">
        <v>496</v>
      </c>
      <c r="L55" s="2994" t="s">
        <v>473</v>
      </c>
    </row>
    <row r="56" spans="1:15" ht="19.5" customHeight="1">
      <c r="A56" s="1168" t="s">
        <v>4</v>
      </c>
      <c r="B56" s="3011"/>
      <c r="C56" s="3018"/>
      <c r="D56" s="3015"/>
      <c r="E56" s="3015"/>
      <c r="F56" s="3015"/>
      <c r="G56" s="3015"/>
      <c r="H56" s="3015"/>
      <c r="I56" s="3016"/>
      <c r="J56" s="3008"/>
      <c r="K56" s="2995"/>
      <c r="L56" s="2995"/>
    </row>
    <row r="57" spans="1:15" ht="24" customHeight="1" thickBot="1">
      <c r="A57" s="1168"/>
      <c r="B57" s="1169" t="s">
        <v>453</v>
      </c>
      <c r="C57" s="3019"/>
      <c r="D57" s="1170" t="s">
        <v>6</v>
      </c>
      <c r="E57" s="1170" t="s">
        <v>207</v>
      </c>
      <c r="F57" s="1170" t="s">
        <v>209</v>
      </c>
      <c r="G57" s="1170" t="s">
        <v>254</v>
      </c>
      <c r="H57" s="1170" t="s">
        <v>255</v>
      </c>
      <c r="I57" s="1171" t="s">
        <v>253</v>
      </c>
      <c r="J57" s="3009"/>
      <c r="K57" s="2995"/>
      <c r="L57" s="2995"/>
    </row>
    <row r="58" spans="1:15" ht="13.5" customHeight="1" thickBot="1">
      <c r="A58" s="1173">
        <v>1</v>
      </c>
      <c r="B58" s="1174">
        <v>2</v>
      </c>
      <c r="C58" s="1175">
        <v>3</v>
      </c>
      <c r="D58" s="1174">
        <v>4</v>
      </c>
      <c r="E58" s="1176">
        <v>5</v>
      </c>
      <c r="F58" s="1177">
        <v>6</v>
      </c>
      <c r="G58" s="1178">
        <v>7</v>
      </c>
      <c r="H58" s="1174">
        <v>8</v>
      </c>
      <c r="I58" s="1178">
        <v>9</v>
      </c>
      <c r="J58" s="2387">
        <v>10</v>
      </c>
      <c r="K58" s="1179">
        <v>12</v>
      </c>
      <c r="L58" s="1179">
        <v>11</v>
      </c>
    </row>
    <row r="59" spans="1:15" ht="18.75" customHeight="1">
      <c r="A59" s="1180" t="s">
        <v>7</v>
      </c>
      <c r="B59" s="1181">
        <f>+B60+B61</f>
        <v>403565022</v>
      </c>
      <c r="C59" s="1181">
        <f t="shared" ref="C59:L59" si="23">+C60+C61</f>
        <v>190028008</v>
      </c>
      <c r="D59" s="1181">
        <f t="shared" si="23"/>
        <v>246197649</v>
      </c>
      <c r="E59" s="1181">
        <f>+E60+E61</f>
        <v>270611930</v>
      </c>
      <c r="F59" s="1181">
        <f>+F60+F61</f>
        <v>210086782</v>
      </c>
      <c r="G59" s="1181">
        <f>+G60+G61</f>
        <v>52896082</v>
      </c>
      <c r="H59" s="1181">
        <f>+H60+H61</f>
        <v>7257957</v>
      </c>
      <c r="I59" s="1181">
        <f>+I60+I61</f>
        <v>4270868</v>
      </c>
      <c r="J59" s="2406">
        <f t="shared" si="23"/>
        <v>1419221745</v>
      </c>
      <c r="K59" s="1182">
        <f t="shared" ref="K59" si="24">+K60+K61</f>
        <v>1015656723</v>
      </c>
      <c r="L59" s="1182">
        <f t="shared" si="23"/>
        <v>825628715</v>
      </c>
      <c r="M59" s="480">
        <f>+L63-L59</f>
        <v>0</v>
      </c>
      <c r="N59" s="495">
        <f>+C59+D59+E59+F59+G59+H59+I59+B59+'Tab. 6C - Ochrona zdrowia'!P51+'Tab. 6C - Ochrona zdrowia'!P56</f>
        <v>1419221745</v>
      </c>
      <c r="O59" s="496">
        <f>J59-N59</f>
        <v>0</v>
      </c>
    </row>
    <row r="60" spans="1:15" s="1184" customFormat="1" ht="15" customHeight="1">
      <c r="A60" s="1185" t="s">
        <v>364</v>
      </c>
      <c r="B60" s="1186">
        <f>'Tab. 6A -Drogi'!E486+'Tab. 6C - Ochrona zdrowia'!E11+'Tab. 6D - Oświata'!E74+'Tab. 6E - Administracja'!E239+'Tab. 6F - Kultura'!E8+'Tab. 6G - Roln i ochrona środ.'!E77+'Tab. 6H - Kultura fiz. i turyst'!E223+'Tab.6I - Planow. przestrz.'!E84</f>
        <v>362255011</v>
      </c>
      <c r="C60" s="1186">
        <f>'Tab. 6A -Drogi'!F486+'Tab. 6C - Ochrona zdrowia'!F11+'Tab. 6D - Oświata'!F74+'Tab. 6E - Administracja'!F239+'Tab. 6F - Kultura'!F8+'Tab. 6G - Roln i ochrona środ.'!F77+'Tab. 6H - Kultura fiz. i turyst'!F223+'Tab.6I - Planow. przestrz.'!F84</f>
        <v>142334192</v>
      </c>
      <c r="D60" s="1186">
        <f>'Tab. 6A -Drogi'!G486+'Tab. 6C - Ochrona zdrowia'!G11+'Tab. 6D - Oświata'!G74+'Tab. 6E - Administracja'!G239+'Tab. 6F - Kultura'!G8+'Tab. 6G - Roln i ochrona środ.'!G77+'Tab. 6H - Kultura fiz. i turyst'!G223+'Tab.6I - Planow. przestrz.'!G84</f>
        <v>169011942</v>
      </c>
      <c r="E60" s="1186">
        <f>'Tab. 6A -Drogi'!H486+'Tab. 6C - Ochrona zdrowia'!H11+'Tab. 6D - Oświata'!H74+'Tab. 6E - Administracja'!H239+'Tab. 6F - Kultura'!H8+'Tab. 6G - Roln i ochrona środ.'!H77+'Tab. 6H - Kultura fiz. i turyst'!H223+'Tab.6I - Planow. przestrz.'!H84</f>
        <v>154687625</v>
      </c>
      <c r="F60" s="1186">
        <f>'Tab. 6A -Drogi'!I486+'Tab. 6C - Ochrona zdrowia'!I11+'Tab. 6D - Oświata'!I74+'Tab. 6E - Administracja'!I239+'Tab. 6F - Kultura'!I8+'Tab. 6G - Roln i ochrona środ.'!I77+'Tab. 6H - Kultura fiz. i turyst'!I223+'Tab.6I - Planow. przestrz.'!I84</f>
        <v>149195282</v>
      </c>
      <c r="G60" s="1186">
        <f>'Tab. 6A -Drogi'!J486+'Tab. 6C - Ochrona zdrowia'!J11+'Tab. 6D - Oświata'!J74+'Tab. 6E - Administracja'!J239+'Tab. 6F - Kultura'!J8+'Tab. 6G - Roln i ochrona środ.'!J77+'Tab. 6H - Kultura fiz. i turyst'!J223+'Tab.6I - Planow. przestrz.'!J84</f>
        <v>9268402</v>
      </c>
      <c r="H60" s="1186">
        <f>'Tab. 6A -Drogi'!K486+'Tab. 6C - Ochrona zdrowia'!K11+'Tab. 6D - Oświata'!K74+'Tab. 6E - Administracja'!K239+'Tab. 6F - Kultura'!K8+'Tab. 6G - Roln i ochrona środ.'!K77+'Tab. 6H - Kultura fiz. i turyst'!K223+'Tab.6I - Planow. przestrz.'!K84</f>
        <v>5199552</v>
      </c>
      <c r="I60" s="1186">
        <f>'Tab. 6A -Drogi'!L486+'Tab. 6C - Ochrona zdrowia'!L11+'Tab. 6D - Oświata'!L74+'Tab. 6E - Administracja'!L239+'Tab. 6F - Kultura'!L8+'Tab. 6G - Roln i ochrona środ.'!L77+'Tab. 6H - Kultura fiz. i turyst'!L223+'Tab.6I - Planow. przestrz.'!L84</f>
        <v>4270868</v>
      </c>
      <c r="J60" s="2407">
        <f>'Tab. 6A -Drogi'!D486+'Tab. 6C - Ochrona zdrowia'!D11+'Tab. 6D - Oświata'!D74+'Tab. 6E - Administracja'!D239+'Tab. 6F - Kultura'!D8+'Tab. 6G - Roln i ochrona środ.'!D77+'Tab. 6H - Kultura fiz. i turyst'!D223+'Tab.6I - Planow. przestrz.'!D84</f>
        <v>1030530321</v>
      </c>
      <c r="K60" s="1452">
        <f>SUM(C60:I60)+'Tab. 6C - Ochrona zdrowia'!P51+'Tab. 6C - Ochrona zdrowia'!P56</f>
        <v>668275310</v>
      </c>
      <c r="L60" s="1452">
        <f>SUM(D60:I60)+'Tab. 6C - Ochrona zdrowia'!P51+'Tab. 6C - Ochrona zdrowia'!P56</f>
        <v>525941118</v>
      </c>
      <c r="M60" s="233"/>
      <c r="N60" s="495">
        <f>+C60+D60+E60+F60+G60+H60+I60+B60+'Tab. 6C - Ochrona zdrowia'!P51+'Tab. 6C - Ochrona zdrowia'!P56</f>
        <v>1030530321</v>
      </c>
      <c r="O60" s="496">
        <f t="shared" ref="O60:O74" si="25">J60-N60</f>
        <v>0</v>
      </c>
    </row>
    <row r="61" spans="1:15" ht="14.25" customHeight="1" thickBot="1">
      <c r="A61" s="1225" t="s">
        <v>30</v>
      </c>
      <c r="B61" s="1226">
        <f>'Tab. 6A -Drogi'!E487+'Tab. 6C - Ochrona zdrowia'!E12+'Tab. 6D - Oświata'!E75+'Tab. 6E - Administracja'!E240+'Tab. 6F - Kultura'!E9+'Tab. 6G - Roln i ochrona środ.'!E78</f>
        <v>41310011</v>
      </c>
      <c r="C61" s="1226">
        <f>'Tab. 6A -Drogi'!F487+'Tab. 6C - Ochrona zdrowia'!F12+'Tab. 6D - Oświata'!F75+'Tab. 6E - Administracja'!F240+'Tab. 6F - Kultura'!F9+'Tab. 6G - Roln i ochrona środ.'!F78</f>
        <v>47693816</v>
      </c>
      <c r="D61" s="1226">
        <f>'Tab. 6A -Drogi'!G487+'Tab. 6C - Ochrona zdrowia'!G12+'Tab. 6D - Oświata'!G75+'Tab. 6E - Administracja'!G240+'Tab. 6F - Kultura'!G9+'Tab. 6G - Roln i ochrona środ.'!G78</f>
        <v>77185707</v>
      </c>
      <c r="E61" s="1226">
        <f>'Tab. 6A -Drogi'!H487+'Tab. 6C - Ochrona zdrowia'!H12+'Tab. 6D - Oświata'!H75+'Tab. 6E - Administracja'!H240+'Tab. 6F - Kultura'!H9+'Tab. 6G - Roln i ochrona środ.'!H78</f>
        <v>115924305</v>
      </c>
      <c r="F61" s="1226">
        <f>'Tab. 6A -Drogi'!I487+'Tab. 6C - Ochrona zdrowia'!I12+'Tab. 6D - Oświata'!I75+'Tab. 6E - Administracja'!I240+'Tab. 6F - Kultura'!I9+'Tab. 6G - Roln i ochrona środ.'!I78</f>
        <v>60891500</v>
      </c>
      <c r="G61" s="1226">
        <f>'Tab. 6A -Drogi'!J487+'Tab. 6C - Ochrona zdrowia'!J12+'Tab. 6D - Oświata'!J75+'Tab. 6E - Administracja'!J240+'Tab. 6F - Kultura'!J9+'Tab. 6G - Roln i ochrona środ.'!J78</f>
        <v>43627680</v>
      </c>
      <c r="H61" s="1226">
        <f>'Tab. 6A -Drogi'!K487+'Tab. 6C - Ochrona zdrowia'!K12+'Tab. 6D - Oświata'!K75+'Tab. 6E - Administracja'!K240+'Tab. 6F - Kultura'!K9+'Tab. 6G - Roln i ochrona środ.'!K78</f>
        <v>2058405</v>
      </c>
      <c r="I61" s="1226">
        <f>'Tab. 6A -Drogi'!L487+'Tab. 6C - Ochrona zdrowia'!L12+'Tab. 6D - Oświata'!L75+'Tab. 6E - Administracja'!L240+'Tab. 6F - Kultura'!L9+'Tab. 6G - Roln i ochrona środ.'!L78</f>
        <v>0</v>
      </c>
      <c r="J61" s="2408">
        <f>'Tab. 6A -Drogi'!D487+'Tab. 6C - Ochrona zdrowia'!D12+'Tab. 6D - Oświata'!D75+'Tab. 6E - Administracja'!D240+'Tab. 6F - Kultura'!D9+'Tab. 6G - Roln i ochrona środ.'!D78</f>
        <v>388691424</v>
      </c>
      <c r="K61" s="1453">
        <f>SUM(C61:I61)</f>
        <v>347381413</v>
      </c>
      <c r="L61" s="1453">
        <f>SUM(D61:I61)</f>
        <v>299687597</v>
      </c>
      <c r="M61" s="233"/>
      <c r="N61" s="495">
        <f>+C61+D61+E61+F61+G61+H61+I61+B61</f>
        <v>388691424</v>
      </c>
      <c r="O61" s="496">
        <f t="shared" si="25"/>
        <v>0</v>
      </c>
    </row>
    <row r="62" spans="1:15" s="497" customFormat="1" ht="4.5" customHeight="1">
      <c r="A62" s="1190"/>
      <c r="B62" s="1191"/>
      <c r="C62" s="1191"/>
      <c r="D62" s="1213"/>
      <c r="E62" s="1191"/>
      <c r="F62" s="1191"/>
      <c r="G62" s="1191"/>
      <c r="H62" s="1191"/>
      <c r="I62" s="1191"/>
      <c r="J62" s="1214"/>
      <c r="K62" s="2413"/>
      <c r="L62" s="2413"/>
      <c r="M62" s="494"/>
      <c r="N62" s="495"/>
      <c r="O62" s="496"/>
    </row>
    <row r="63" spans="1:15" s="1208" customFormat="1" ht="18" customHeight="1">
      <c r="A63" s="1192" t="s">
        <v>10</v>
      </c>
      <c r="B63" s="1193">
        <f>+B64+B73</f>
        <v>405353861.63999999</v>
      </c>
      <c r="C63" s="1193">
        <f t="shared" ref="C63:J63" si="26">+C64+C73</f>
        <v>191414820</v>
      </c>
      <c r="D63" s="1193">
        <f t="shared" si="26"/>
        <v>261135864</v>
      </c>
      <c r="E63" s="1193">
        <f>+E64+E73</f>
        <v>295002593</v>
      </c>
      <c r="F63" s="1193">
        <f>+F64+F73</f>
        <v>222758938</v>
      </c>
      <c r="G63" s="1193">
        <f>+G64+G73</f>
        <v>61396082</v>
      </c>
      <c r="H63" s="1193">
        <f>+H64+H73</f>
        <v>17350457</v>
      </c>
      <c r="I63" s="1193">
        <f>+I64+I73</f>
        <v>4270868</v>
      </c>
      <c r="J63" s="2391">
        <f t="shared" si="26"/>
        <v>1492990930.6400001</v>
      </c>
      <c r="K63" s="2402">
        <f>+K64</f>
        <v>1015656723</v>
      </c>
      <c r="L63" s="2402">
        <f>+L64</f>
        <v>825628715</v>
      </c>
      <c r="M63" s="1218"/>
      <c r="N63" s="495">
        <f>+C63+D63+E63+F63+G63+H63+I63+B63+'Tab. 6C - Ochrona zdrowia'!P51+'Tab. 6C - Ochrona zdrowia'!P56</f>
        <v>1492990930.6399999</v>
      </c>
      <c r="O63" s="496">
        <f t="shared" si="25"/>
        <v>0</v>
      </c>
    </row>
    <row r="64" spans="1:15" s="1198" customFormat="1" ht="18" customHeight="1">
      <c r="A64" s="1195" t="s">
        <v>11</v>
      </c>
      <c r="B64" s="1227">
        <f t="shared" ref="B64" si="27">SUM(B65:B72)</f>
        <v>405353861.63999999</v>
      </c>
      <c r="C64" s="1227">
        <f t="shared" ref="C64:J64" si="28">SUM(C65:C72)</f>
        <v>191367815</v>
      </c>
      <c r="D64" s="1227">
        <f t="shared" si="28"/>
        <v>246214900</v>
      </c>
      <c r="E64" s="1227">
        <f>SUM(E65:E72)</f>
        <v>270611930</v>
      </c>
      <c r="F64" s="1227">
        <f t="shared" si="28"/>
        <v>210086782</v>
      </c>
      <c r="G64" s="1227">
        <f>SUM(G65:G72)</f>
        <v>52896082</v>
      </c>
      <c r="H64" s="1227">
        <f>SUM(H65:H72)</f>
        <v>7257957</v>
      </c>
      <c r="I64" s="1227">
        <f>SUM(I65:I72)</f>
        <v>4270868</v>
      </c>
      <c r="J64" s="2409">
        <f t="shared" si="28"/>
        <v>1422367642.6400001</v>
      </c>
      <c r="K64" s="2414">
        <f>SUM(K65:K72)</f>
        <v>1015656723</v>
      </c>
      <c r="L64" s="2414">
        <f>SUM(L65:L72)</f>
        <v>825628715</v>
      </c>
      <c r="M64" s="494"/>
      <c r="N64" s="495">
        <f>+C64+D64+E64+F64+G64+H64+I64+B64+'Tab. 6C - Ochrona zdrowia'!P51+'Tab. 6C - Ochrona zdrowia'!P56</f>
        <v>1422367642.6399999</v>
      </c>
      <c r="O64" s="496">
        <f t="shared" si="25"/>
        <v>0</v>
      </c>
    </row>
    <row r="65" spans="1:15" s="497" customFormat="1" ht="16.5" customHeight="1">
      <c r="A65" s="1199" t="s">
        <v>31</v>
      </c>
      <c r="B65" s="500">
        <f>+'Tab. 6D - Oświata'!E80+'Tab. 6A -Drogi'!E490+'Tab. 6E - Administracja'!E243+'Tab. 6C - Ochrona zdrowia'!E15+'Tab.6I - Planow. przestrz.'!E88+'Tab. 6G - Roln i ochrona środ.'!E81+'Tab. 6H - Kultura fiz. i turyst'!E227</f>
        <v>390774617</v>
      </c>
      <c r="C65" s="500">
        <f>+'Tab. 6D - Oświata'!F80+'Tab. 6A -Drogi'!F490+'Tab. 6E - Administracja'!F243+'Tab. 6C - Ochrona zdrowia'!F15+'Tab.6I - Planow. przestrz.'!F88+'Tab. 6G - Roln i ochrona środ.'!F81+'Tab. 6H - Kultura fiz. i turyst'!F227</f>
        <v>139721657</v>
      </c>
      <c r="D65" s="500">
        <f>+'Tab. 6D - Oświata'!G80+'Tab. 6A -Drogi'!G490+'Tab. 6E - Administracja'!G243+'Tab. 6C - Ochrona zdrowia'!G15+'Tab.6I - Planow. przestrz.'!G88+'Tab. 6G - Roln i ochrona środ.'!G81+'Tab. 6H - Kultura fiz. i turyst'!G227</f>
        <v>186648817</v>
      </c>
      <c r="E65" s="500">
        <f>+'Tab. 6D - Oświata'!H80+'Tab. 6A -Drogi'!H490+'Tab. 6E - Administracja'!H243+'Tab. 6C - Ochrona zdrowia'!H15+'Tab.6I - Planow. przestrz.'!H88+'Tab. 6G - Roln i ochrona środ.'!H81+'Tab. 6H - Kultura fiz. i turyst'!H227</f>
        <v>182519028</v>
      </c>
      <c r="F65" s="500">
        <f>+'Tab. 6D - Oświata'!I80+'Tab. 6A -Drogi'!I490+'Tab. 6E - Administracja'!I243+'Tab. 6C - Ochrona zdrowia'!I15+'Tab.6I - Planow. przestrz.'!I88+'Tab. 6G - Roln i ochrona środ.'!I81+'Tab. 6H - Kultura fiz. i turyst'!I227</f>
        <v>169583510</v>
      </c>
      <c r="G65" s="500">
        <f>+'Tab. 6D - Oświata'!J80+'Tab. 6A -Drogi'!J490+'Tab. 6E - Administracja'!J243+'Tab. 6C - Ochrona zdrowia'!J15+'Tab.6I - Planow. przestrz.'!J88+'Tab. 6G - Roln i ochrona środ.'!J81+'Tab. 6H - Kultura fiz. i turyst'!J227</f>
        <v>9268402</v>
      </c>
      <c r="H65" s="500">
        <f>+'Tab. 6D - Oświata'!K80+'Tab. 6A -Drogi'!K490+'Tab. 6E - Administracja'!K243+'Tab. 6C - Ochrona zdrowia'!K15+'Tab.6I - Planow. przestrz.'!K88+'Tab. 6G - Roln i ochrona środ.'!K81+'Tab. 6H - Kultura fiz. i turyst'!K227</f>
        <v>5199552</v>
      </c>
      <c r="I65" s="500">
        <f>+'Tab. 6D - Oświata'!L80+'Tab. 6A -Drogi'!L490+'Tab. 6E - Administracja'!L243+'Tab. 6C - Ochrona zdrowia'!L15+'Tab.6I - Planow. przestrz.'!L88+'Tab. 6G - Roln i ochrona środ.'!L81+'Tab. 6H - Kultura fiz. i turyst'!L227</f>
        <v>4270868</v>
      </c>
      <c r="J65" s="2393">
        <f>B65+C65+D65+E65+F65+G65+H65+I65+'Tab. 6C - Ochrona zdrowia'!P51+'Tab. 6C - Ochrona zdrowia'!P56</f>
        <v>1122293898</v>
      </c>
      <c r="K65" s="1187">
        <f>SUM(C65:I65)+'Tab. 6C - Ochrona zdrowia'!P51+'Tab. 6C - Ochrona zdrowia'!P56</f>
        <v>731519281</v>
      </c>
      <c r="L65" s="1187">
        <f>SUM(D65:I65)+'Tab. 6C - Ochrona zdrowia'!P51+'Tab. 6C - Ochrona zdrowia'!P56</f>
        <v>591797624</v>
      </c>
      <c r="M65" s="233"/>
      <c r="N65" s="495">
        <f>+C65+D65+E65+F65+G65+H65+I65+B65+'Tab. 6C - Ochrona zdrowia'!P51+'Tab. 6C - Ochrona zdrowia'!P56</f>
        <v>1122293898</v>
      </c>
      <c r="O65" s="496">
        <f t="shared" si="25"/>
        <v>0</v>
      </c>
    </row>
    <row r="66" spans="1:15" s="497" customFormat="1" ht="15.75" customHeight="1">
      <c r="A66" s="498" t="s">
        <v>16</v>
      </c>
      <c r="B66" s="499">
        <f>+'Tab. 6A -Drogi'!E493+'Tab. 6G - Roln i ochrona środ.'!E85+'Tab. 6H - Kultura fiz. i turyst'!E13</f>
        <v>0</v>
      </c>
      <c r="C66" s="500">
        <f>+'Tab. 6A -Drogi'!F493+'Tab. 6G - Roln i ochrona środ.'!F85+'Tab. 6H - Kultura fiz. i turyst'!F228</f>
        <v>10003578</v>
      </c>
      <c r="D66" s="500">
        <f>+'Tab. 6A -Drogi'!G493+'Tab. 6G - Roln i ochrona środ.'!G85+'Tab. 6H - Kultura fiz. i turyst'!G228</f>
        <v>24142763</v>
      </c>
      <c r="E66" s="500">
        <f>+'Tab. 6A -Drogi'!H493+'Tab. 6G - Roln i ochrona środ.'!H85+'Tab. 6H - Kultura fiz. i turyst'!H228</f>
        <v>14120000</v>
      </c>
      <c r="F66" s="500">
        <f>+'Tab. 6A -Drogi'!I493+'Tab. 6G - Roln i ochrona środ.'!I85+'Tab. 6H - Kultura fiz. i turyst'!I228</f>
        <v>14182860</v>
      </c>
      <c r="G66" s="499">
        <f>+'Tab. 6A -Drogi'!J493+'Tab. 6G - Roln i ochrona środ.'!J85+'Tab. 6H - Kultura fiz. i turyst'!J228</f>
        <v>0</v>
      </c>
      <c r="H66" s="499">
        <f>+'Tab. 6A -Drogi'!K493+'Tab. 6G - Roln i ochrona środ.'!K85+'Tab. 6H - Kultura fiz. i turyst'!K228</f>
        <v>0</v>
      </c>
      <c r="I66" s="499">
        <f>+'Tab. 6A -Drogi'!L493+'Tab. 6G - Roln i ochrona środ.'!L85+'Tab. 6H - Kultura fiz. i turyst'!L228</f>
        <v>0</v>
      </c>
      <c r="J66" s="2393">
        <f t="shared" ref="J66:J72" si="29">B66+C66+D66+E66+F66+G66+H66+I66</f>
        <v>62449201</v>
      </c>
      <c r="K66" s="1187">
        <f t="shared" ref="K66" si="30">SUM(C66:I66)</f>
        <v>62449201</v>
      </c>
      <c r="L66" s="1187">
        <f>SUM(D66:I66)</f>
        <v>52445623</v>
      </c>
      <c r="M66" s="233"/>
      <c r="N66" s="495">
        <f>+C66+D66+E66+F66+G66+H66+I66+B66</f>
        <v>62449201</v>
      </c>
      <c r="O66" s="496">
        <f t="shared" si="25"/>
        <v>0</v>
      </c>
    </row>
    <row r="67" spans="1:15" s="497" customFormat="1" ht="15.75" customHeight="1">
      <c r="A67" s="498" t="s">
        <v>32</v>
      </c>
      <c r="B67" s="500">
        <f>+'Tab. 6F - Kultura'!E12+'Tab. 6C - Ochrona zdrowia'!E16</f>
        <v>1788839.64</v>
      </c>
      <c r="C67" s="500">
        <f>+'Tab. 6F - Kultura'!F12+'Tab. 6C - Ochrona zdrowia'!F16</f>
        <v>1339807</v>
      </c>
      <c r="D67" s="500">
        <f>+'Tab. 6F - Kultura'!G12+'Tab. 6C - Ochrona zdrowia'!G16</f>
        <v>17251</v>
      </c>
      <c r="E67" s="499">
        <f>+'Tab. 6F - Kultura'!H12+'Tab. 6C - Ochrona zdrowia'!H16</f>
        <v>0</v>
      </c>
      <c r="F67" s="499">
        <f>+'Tab. 6F - Kultura'!I12+'Tab. 6C - Ochrona zdrowia'!I16</f>
        <v>0</v>
      </c>
      <c r="G67" s="499">
        <f>+'Tab. 6F - Kultura'!J12+'Tab. 6C - Ochrona zdrowia'!J16</f>
        <v>0</v>
      </c>
      <c r="H67" s="499">
        <f>+'Tab. 6F - Kultura'!K12+'Tab. 6C - Ochrona zdrowia'!K16</f>
        <v>0</v>
      </c>
      <c r="I67" s="499">
        <f>+'Tab. 6F - Kultura'!L12+'Tab. 6C - Ochrona zdrowia'!L16+'Tab. 6H - Kultura fiz. i turyst'!L13</f>
        <v>0</v>
      </c>
      <c r="J67" s="2393">
        <f t="shared" si="29"/>
        <v>3145897.6399999997</v>
      </c>
      <c r="K67" s="2084" t="s">
        <v>61</v>
      </c>
      <c r="L67" s="2084" t="s">
        <v>61</v>
      </c>
      <c r="M67" s="494"/>
      <c r="N67" s="495">
        <f t="shared" ref="N67:N74" si="31">+C67+D67+E67+F67+G67+H67+I67+B67</f>
        <v>3145897.6399999997</v>
      </c>
      <c r="O67" s="496">
        <f t="shared" si="25"/>
        <v>0</v>
      </c>
    </row>
    <row r="68" spans="1:15" s="497" customFormat="1" ht="15.75" customHeight="1">
      <c r="A68" s="1199" t="s">
        <v>33</v>
      </c>
      <c r="B68" s="500">
        <f>+'Tab. 6F - Kultura'!E13+'Tab. 6C - Ochrona zdrowia'!E17+'Tab. 6D - Oświata'!E79+'Tab. 6H - Kultura fiz. i turyst'!E236</f>
        <v>8096641</v>
      </c>
      <c r="C68" s="500">
        <f>+'Tab. 6F - Kultura'!F13+'Tab. 6C - Ochrona zdrowia'!F17+'Tab. 6D - Oświata'!F79+'Tab. 6H - Kultura fiz. i turyst'!F236</f>
        <v>8629331</v>
      </c>
      <c r="D68" s="500">
        <f>+'Tab. 6F - Kultura'!G13+'Tab. 6C - Ochrona zdrowia'!G17+'Tab. 6D - Oświata'!G79+'Tab. 6H - Kultura fiz. i turyst'!G236</f>
        <v>15181227</v>
      </c>
      <c r="E68" s="500">
        <f>+'Tab. 6F - Kultura'!H13+'Tab. 6C - Ochrona zdrowia'!H17+'Tab. 6D - Oświata'!H79+'Tab. 6H - Kultura fiz. i turyst'!H236</f>
        <v>13811745</v>
      </c>
      <c r="F68" s="500">
        <f>+'Tab. 6F - Kultura'!I13+'Tab. 6C - Ochrona zdrowia'!I17+'Tab. 6D - Oświata'!I79+'Tab. 6H - Kultura fiz. i turyst'!I236</f>
        <v>5936412</v>
      </c>
      <c r="G68" s="500">
        <f>+'Tab. 6F - Kultura'!J13+'Tab. 6C - Ochrona zdrowia'!J17+'Tab. 6D - Oświata'!J79+'Tab. 6H - Kultura fiz. i turyst'!J236</f>
        <v>3566880</v>
      </c>
      <c r="H68" s="500">
        <f>+'Tab. 6F - Kultura'!K13+'Tab. 6C - Ochrona zdrowia'!K17+'Tab. 6D - Oświata'!K79+'Tab. 6H - Kultura fiz. i turyst'!K236</f>
        <v>1472245</v>
      </c>
      <c r="I68" s="500">
        <f>+'Tab. 6F - Kultura'!L13+'Tab. 6C - Ochrona zdrowia'!L17+'Tab. 6D - Oświata'!L79+'Tab. 6H - Kultura fiz. i turyst'!L236</f>
        <v>0</v>
      </c>
      <c r="J68" s="2393">
        <f t="shared" si="29"/>
        <v>56694481</v>
      </c>
      <c r="K68" s="1187">
        <f t="shared" ref="K68:K72" si="32">SUM(C68:I68)</f>
        <v>48597840</v>
      </c>
      <c r="L68" s="1187">
        <f>SUM(D68:I68)</f>
        <v>39968509</v>
      </c>
      <c r="M68" s="233"/>
      <c r="N68" s="495">
        <f t="shared" si="31"/>
        <v>56694481</v>
      </c>
      <c r="O68" s="496">
        <f t="shared" si="25"/>
        <v>0</v>
      </c>
    </row>
    <row r="69" spans="1:15" s="497" customFormat="1" ht="15.75" customHeight="1">
      <c r="A69" s="498" t="s">
        <v>15</v>
      </c>
      <c r="B69" s="500">
        <f>+'Tab. 6A -Drogi'!E492+'Tab. 6C - Ochrona zdrowia'!E20</f>
        <v>4693764</v>
      </c>
      <c r="C69" s="500">
        <f>+'Tab. 6A -Drogi'!F492+'Tab. 6C - Ochrona zdrowia'!F20</f>
        <v>4243008</v>
      </c>
      <c r="D69" s="500">
        <f>+'Tab. 6A -Drogi'!G492+'Tab. 6C - Ochrona zdrowia'!G20</f>
        <v>1360602</v>
      </c>
      <c r="E69" s="499">
        <f>+'Tab. 6A -Drogi'!H492+'Tab. 6C - Ochrona zdrowia'!H20</f>
        <v>0</v>
      </c>
      <c r="F69" s="499">
        <f>+'Tab. 6A -Drogi'!I492+'Tab. 6C - Ochrona zdrowia'!I20</f>
        <v>0</v>
      </c>
      <c r="G69" s="499">
        <f>+'Tab. 6A -Drogi'!J492+'Tab. 6C - Ochrona zdrowia'!J20</f>
        <v>0</v>
      </c>
      <c r="H69" s="499">
        <f>+'Tab. 6A -Drogi'!K492+'Tab. 6C - Ochrona zdrowia'!K20</f>
        <v>0</v>
      </c>
      <c r="I69" s="499">
        <f>+'Tab. 6A -Drogi'!L492+'Tab. 6C - Ochrona zdrowia'!L20</f>
        <v>0</v>
      </c>
      <c r="J69" s="2393">
        <f t="shared" si="29"/>
        <v>10297374</v>
      </c>
      <c r="K69" s="1187">
        <f t="shared" si="32"/>
        <v>5603610</v>
      </c>
      <c r="L69" s="1187">
        <f>SUM(D69:I69)</f>
        <v>1360602</v>
      </c>
      <c r="M69" s="233"/>
      <c r="N69" s="495">
        <f t="shared" si="31"/>
        <v>10297374</v>
      </c>
      <c r="O69" s="496">
        <f t="shared" si="25"/>
        <v>0</v>
      </c>
    </row>
    <row r="70" spans="1:15" s="497" customFormat="1" ht="15.75" customHeight="1">
      <c r="A70" s="498" t="s">
        <v>13</v>
      </c>
      <c r="B70" s="500">
        <f>+'Tab. 6A -Drogi'!E491+'Tab. 6C - Ochrona zdrowia'!E18</f>
        <v>0</v>
      </c>
      <c r="C70" s="500">
        <f>+'Tab. 6A -Drogi'!F491+'Tab. 6C - Ochrona zdrowia'!F18</f>
        <v>23425991</v>
      </c>
      <c r="D70" s="499">
        <f>+'Tab. 6A -Drogi'!G491+'Tab. 6C - Ochrona zdrowia'!G18</f>
        <v>0</v>
      </c>
      <c r="E70" s="499">
        <f>+'Tab. 6A -Drogi'!H491+'Tab. 6C - Ochrona zdrowia'!H18</f>
        <v>0</v>
      </c>
      <c r="F70" s="499">
        <f>+'Tab. 6A -Drogi'!I491+'Tab. 6C - Ochrona zdrowia'!I18</f>
        <v>0</v>
      </c>
      <c r="G70" s="499">
        <f>+'Tab. 6A -Drogi'!J491+'Tab. 6C - Ochrona zdrowia'!J18</f>
        <v>0</v>
      </c>
      <c r="H70" s="499">
        <f>+'Tab. 6A -Drogi'!K491+'Tab. 6C - Ochrona zdrowia'!K18</f>
        <v>0</v>
      </c>
      <c r="I70" s="499">
        <f>+'Tab. 6A -Drogi'!L491+'Tab. 6C - Ochrona zdrowia'!L18</f>
        <v>0</v>
      </c>
      <c r="J70" s="2393">
        <f t="shared" si="29"/>
        <v>23425991</v>
      </c>
      <c r="K70" s="1187">
        <f t="shared" si="32"/>
        <v>23425991</v>
      </c>
      <c r="L70" s="1187">
        <f>SUM(D70:I70)</f>
        <v>0</v>
      </c>
      <c r="M70" s="233"/>
      <c r="N70" s="495">
        <f t="shared" si="31"/>
        <v>23425991</v>
      </c>
      <c r="O70" s="496">
        <f t="shared" si="25"/>
        <v>0</v>
      </c>
    </row>
    <row r="71" spans="1:15" s="497" customFormat="1" ht="13.5" hidden="1" customHeight="1">
      <c r="A71" s="1228" t="s">
        <v>34</v>
      </c>
      <c r="B71" s="500">
        <v>0</v>
      </c>
      <c r="C71" s="499">
        <f>+'Tab. 6C - Ochrona zdrowia'!F19</f>
        <v>0</v>
      </c>
      <c r="D71" s="499">
        <f>+'Tab. 6D - Oświata'!G78</f>
        <v>0</v>
      </c>
      <c r="E71" s="499">
        <f>+'Tab. 6D - Oświata'!H78</f>
        <v>0</v>
      </c>
      <c r="F71" s="499">
        <f>+'Tab. 6D - Oświata'!I78</f>
        <v>0</v>
      </c>
      <c r="G71" s="499">
        <f>+'Tab. 6D - Oświata'!J78</f>
        <v>0</v>
      </c>
      <c r="H71" s="499">
        <f>+'Tab. 6D - Oświata'!K78</f>
        <v>0</v>
      </c>
      <c r="I71" s="499">
        <f>+'Tab. 6D - Oświata'!L78</f>
        <v>0</v>
      </c>
      <c r="J71" s="2393">
        <f t="shared" si="29"/>
        <v>0</v>
      </c>
      <c r="K71" s="1187">
        <f t="shared" si="32"/>
        <v>0</v>
      </c>
      <c r="L71" s="1187">
        <f>SUM(D71:I71)+'Tab. 6C - Ochrona zdrowia'!P57+'Tab. 6C - Ochrona zdrowia'!P62</f>
        <v>0</v>
      </c>
      <c r="M71" s="494"/>
      <c r="N71" s="495">
        <f t="shared" si="31"/>
        <v>0</v>
      </c>
      <c r="O71" s="496">
        <f t="shared" si="25"/>
        <v>0</v>
      </c>
    </row>
    <row r="72" spans="1:15" s="497" customFormat="1" ht="15.75" customHeight="1">
      <c r="A72" s="498" t="s">
        <v>14</v>
      </c>
      <c r="B72" s="499">
        <f>+'Tab. 6G - Roln i ochrona środ.'!E84+'Tab. 6E - Administracja'!E260</f>
        <v>0</v>
      </c>
      <c r="C72" s="500">
        <f>'Tab. 6G - Roln i ochrona środ.'!F84</f>
        <v>4004443</v>
      </c>
      <c r="D72" s="500">
        <f>'Tab. 6G - Roln i ochrona środ.'!G84</f>
        <v>18864240</v>
      </c>
      <c r="E72" s="500">
        <f>'Tab. 6G - Roln i ochrona środ.'!H84</f>
        <v>60161157</v>
      </c>
      <c r="F72" s="500">
        <f>'Tab. 6G - Roln i ochrona środ.'!I84</f>
        <v>20384000</v>
      </c>
      <c r="G72" s="500">
        <f>'Tab. 6G - Roln i ochrona środ.'!J84</f>
        <v>40060800</v>
      </c>
      <c r="H72" s="500">
        <f>'Tab. 6G - Roln i ochrona środ.'!K84</f>
        <v>586160</v>
      </c>
      <c r="I72" s="499">
        <f>'Tab. 6G - Roln i ochrona środ.'!L84</f>
        <v>0</v>
      </c>
      <c r="J72" s="2393">
        <f t="shared" si="29"/>
        <v>144060800</v>
      </c>
      <c r="K72" s="1187">
        <f t="shared" si="32"/>
        <v>144060800</v>
      </c>
      <c r="L72" s="1187">
        <f>SUM(D72:I72)</f>
        <v>140056357</v>
      </c>
      <c r="M72" s="233"/>
      <c r="N72" s="495">
        <f t="shared" si="31"/>
        <v>144060800</v>
      </c>
      <c r="O72" s="496">
        <f t="shared" si="25"/>
        <v>0</v>
      </c>
    </row>
    <row r="73" spans="1:15" s="497" customFormat="1" ht="18" customHeight="1">
      <c r="A73" s="491" t="s">
        <v>18</v>
      </c>
      <c r="B73" s="493">
        <f t="shared" ref="B73:I73" si="33">SUM(B74:B74)</f>
        <v>0</v>
      </c>
      <c r="C73" s="492">
        <f t="shared" si="33"/>
        <v>47005</v>
      </c>
      <c r="D73" s="492">
        <f t="shared" si="33"/>
        <v>14920964</v>
      </c>
      <c r="E73" s="492">
        <f t="shared" si="33"/>
        <v>24390663</v>
      </c>
      <c r="F73" s="492">
        <f t="shared" si="33"/>
        <v>12672156</v>
      </c>
      <c r="G73" s="492">
        <f t="shared" si="33"/>
        <v>8500000</v>
      </c>
      <c r="H73" s="492">
        <f t="shared" si="33"/>
        <v>10092500</v>
      </c>
      <c r="I73" s="493">
        <f t="shared" si="33"/>
        <v>0</v>
      </c>
      <c r="J73" s="2395">
        <f>+J74</f>
        <v>70623288</v>
      </c>
      <c r="K73" s="2415" t="s">
        <v>61</v>
      </c>
      <c r="L73" s="2415" t="s">
        <v>61</v>
      </c>
      <c r="M73" s="494"/>
      <c r="N73" s="495">
        <f t="shared" si="31"/>
        <v>70623288</v>
      </c>
      <c r="O73" s="496">
        <f t="shared" si="25"/>
        <v>0</v>
      </c>
    </row>
    <row r="74" spans="1:15" s="497" customFormat="1" ht="16.5" customHeight="1">
      <c r="A74" s="498" t="s">
        <v>35</v>
      </c>
      <c r="B74" s="499">
        <f>+'Tab. 6D - Oświata'!E82+'Tab. 6F - Kultura'!E16+'Tab. 6C - Ochrona zdrowia'!E22</f>
        <v>0</v>
      </c>
      <c r="C74" s="500">
        <f>+'Tab. 6D - Oświata'!F82+'Tab. 6F - Kultura'!F16+'Tab. 6C - Ochrona zdrowia'!F22</f>
        <v>47005</v>
      </c>
      <c r="D74" s="500">
        <f>+'Tab. 6D - Oświata'!G82+'Tab. 6F - Kultura'!G16+'Tab. 6C - Ochrona zdrowia'!G22</f>
        <v>14920964</v>
      </c>
      <c r="E74" s="500">
        <f>+'Tab. 6D - Oświata'!H82+'Tab. 6F - Kultura'!H16+'Tab. 6C - Ochrona zdrowia'!H22</f>
        <v>24390663</v>
      </c>
      <c r="F74" s="500">
        <f>+'Tab. 6D - Oświata'!I82+'Tab. 6F - Kultura'!I16+'Tab. 6C - Ochrona zdrowia'!I22</f>
        <v>12672156</v>
      </c>
      <c r="G74" s="500">
        <f>+'Tab. 6D - Oświata'!J82+'Tab. 6F - Kultura'!J16+'Tab. 6C - Ochrona zdrowia'!J22</f>
        <v>8500000</v>
      </c>
      <c r="H74" s="500">
        <f>+'Tab. 6D - Oświata'!K82+'Tab. 6F - Kultura'!K16+'Tab. 6C - Ochrona zdrowia'!K22</f>
        <v>10092500</v>
      </c>
      <c r="I74" s="499">
        <f>+'Tab. 6D - Oświata'!L82+'Tab. 6F - Kultura'!L16+'Tab. 6C - Ochrona zdrowia'!L22</f>
        <v>0</v>
      </c>
      <c r="J74" s="2393">
        <f>B74+C74+D74+E74+F74+G74+H74+I74</f>
        <v>70623288</v>
      </c>
      <c r="K74" s="2086" t="s">
        <v>61</v>
      </c>
      <c r="L74" s="2086" t="s">
        <v>61</v>
      </c>
      <c r="M74" s="494"/>
      <c r="N74" s="495">
        <f t="shared" si="31"/>
        <v>70623288</v>
      </c>
      <c r="O74" s="496">
        <f t="shared" si="25"/>
        <v>0</v>
      </c>
    </row>
    <row r="75" spans="1:15" s="1194" customFormat="1" ht="18" customHeight="1">
      <c r="A75" s="1192" t="s">
        <v>22</v>
      </c>
      <c r="B75" s="1001">
        <f>+B76+B82</f>
        <v>56644776</v>
      </c>
      <c r="C75" s="1001">
        <f t="shared" ref="C75:F75" si="34">+C76+C82</f>
        <v>54113809</v>
      </c>
      <c r="D75" s="1001">
        <f t="shared" si="34"/>
        <v>65927600</v>
      </c>
      <c r="E75" s="1001">
        <f t="shared" si="34"/>
        <v>121615445</v>
      </c>
      <c r="F75" s="1001">
        <f t="shared" si="34"/>
        <v>67258804</v>
      </c>
      <c r="G75" s="1001">
        <f t="shared" ref="G75:I75" si="35">+G76+G82</f>
        <v>50560800</v>
      </c>
      <c r="H75" s="1001">
        <f t="shared" si="35"/>
        <v>12329389</v>
      </c>
      <c r="I75" s="1675">
        <f t="shared" si="35"/>
        <v>0</v>
      </c>
      <c r="J75" s="2410">
        <f t="shared" ref="J75" si="36">+J76+J82</f>
        <v>428450623</v>
      </c>
      <c r="K75" s="2996" t="s">
        <v>23</v>
      </c>
      <c r="L75" s="2996" t="s">
        <v>23</v>
      </c>
      <c r="M75" s="1218"/>
    </row>
    <row r="76" spans="1:15" s="497" customFormat="1" ht="15" customHeight="1">
      <c r="A76" s="491" t="s">
        <v>24</v>
      </c>
      <c r="B76" s="1002">
        <f>SUM(B77:B81)</f>
        <v>56644776</v>
      </c>
      <c r="C76" s="1002">
        <f t="shared" ref="C76:F76" si="37">SUM(C77:C81)</f>
        <v>54091454</v>
      </c>
      <c r="D76" s="1002">
        <f t="shared" si="37"/>
        <v>50981986</v>
      </c>
      <c r="E76" s="1002">
        <f t="shared" si="37"/>
        <v>97224782</v>
      </c>
      <c r="F76" s="1002">
        <f t="shared" si="37"/>
        <v>54586648</v>
      </c>
      <c r="G76" s="1002">
        <f t="shared" ref="G76:I76" si="38">SUM(G77:G81)</f>
        <v>42060800</v>
      </c>
      <c r="H76" s="1002">
        <f t="shared" si="38"/>
        <v>2236889</v>
      </c>
      <c r="I76" s="1230">
        <f t="shared" si="38"/>
        <v>0</v>
      </c>
      <c r="J76" s="2397">
        <f>SUM(J77:J81)</f>
        <v>357827335</v>
      </c>
      <c r="K76" s="2997"/>
      <c r="L76" s="2997"/>
      <c r="M76" s="494" t="s">
        <v>240</v>
      </c>
    </row>
    <row r="77" spans="1:15" s="497" customFormat="1" ht="15.75" customHeight="1">
      <c r="A77" s="498" t="s">
        <v>13</v>
      </c>
      <c r="B77" s="1003">
        <f>+'Tab. 6C - Ochrona zdrowia'!E25+'Tab. 6A -Drogi'!E497</f>
        <v>0</v>
      </c>
      <c r="C77" s="252">
        <f>+'Tab. 6C - Ochrona zdrowia'!F25+'Tab. 6A -Drogi'!F497</f>
        <v>23425991</v>
      </c>
      <c r="D77" s="1229">
        <f>+'Tab. 6C - Ochrona zdrowia'!G25+'Tab. 6A -Drogi'!G497</f>
        <v>0</v>
      </c>
      <c r="E77" s="1229">
        <f>+'Tab. 6C - Ochrona zdrowia'!H25+'Tab. 6A -Drogi'!H497</f>
        <v>0</v>
      </c>
      <c r="F77" s="1229">
        <f>+'Tab. 6C - Ochrona zdrowia'!I25+'Tab. 6A -Drogi'!I497</f>
        <v>0</v>
      </c>
      <c r="G77" s="1229">
        <f>+'Tab. 6C - Ochrona zdrowia'!J25+'Tab. 6A -Drogi'!J497</f>
        <v>0</v>
      </c>
      <c r="H77" s="1229">
        <f>+'Tab. 6C - Ochrona zdrowia'!K25+'Tab. 6A -Drogi'!K497</f>
        <v>0</v>
      </c>
      <c r="I77" s="1229">
        <f>+'Tab. 6C - Ochrona zdrowia'!L25+'Tab. 6A -Drogi'!L497</f>
        <v>0</v>
      </c>
      <c r="J77" s="2393">
        <f>B77+C77+D77+E77+F77+G77+H77+I77</f>
        <v>23425991</v>
      </c>
      <c r="K77" s="2997"/>
      <c r="L77" s="2997"/>
      <c r="M77" s="494">
        <f>J77-J70</f>
        <v>0</v>
      </c>
    </row>
    <row r="78" spans="1:15" s="497" customFormat="1" ht="15" customHeight="1">
      <c r="A78" s="498" t="s">
        <v>15</v>
      </c>
      <c r="B78" s="1003">
        <f>+'Tab. 6A -Drogi'!E498+'Tab. 6C - Ochrona zdrowia'!E26</f>
        <v>4693764</v>
      </c>
      <c r="C78" s="252">
        <f>+'Tab. 6A -Drogi'!F498+'Tab. 6C - Ochrona zdrowia'!F26</f>
        <v>4243008</v>
      </c>
      <c r="D78" s="252">
        <f>+'Tab. 6A -Drogi'!G498+'Tab. 6C - Ochrona zdrowia'!G26</f>
        <v>1360602</v>
      </c>
      <c r="E78" s="1229">
        <f>+'Tab. 6A -Drogi'!H498+'Tab. 6C - Ochrona zdrowia'!H26</f>
        <v>0</v>
      </c>
      <c r="F78" s="1229">
        <f>+'Tab. 6A -Drogi'!I498+'Tab. 6C - Ochrona zdrowia'!I26</f>
        <v>0</v>
      </c>
      <c r="G78" s="1229">
        <f>+'Tab. 6A -Drogi'!J498+'Tab. 6C - Ochrona zdrowia'!J26</f>
        <v>0</v>
      </c>
      <c r="H78" s="1229">
        <f>+'Tab. 6A -Drogi'!K498+'Tab. 6C - Ochrona zdrowia'!K26</f>
        <v>0</v>
      </c>
      <c r="I78" s="1229">
        <f>+'Tab. 6A -Drogi'!L498+'Tab. 6C - Ochrona zdrowia'!L26</f>
        <v>0</v>
      </c>
      <c r="J78" s="2393">
        <f>B78+C78+D78+E78+F78+G78+H78+I78</f>
        <v>10297374</v>
      </c>
      <c r="K78" s="2997"/>
      <c r="L78" s="2997"/>
      <c r="M78" s="494">
        <f>J78-J69</f>
        <v>0</v>
      </c>
    </row>
    <row r="79" spans="1:15" s="497" customFormat="1" ht="15" customHeight="1">
      <c r="A79" s="498" t="s">
        <v>16</v>
      </c>
      <c r="B79" s="1003">
        <f>+'Tab. 6A -Drogi'!E499+'Tab. 6G - Roln i ochrona środ.'!E91</f>
        <v>28772061</v>
      </c>
      <c r="C79" s="1003">
        <f>+'Tab. 6A -Drogi'!F499+'Tab. 6G - Roln i ochrona środ.'!F91</f>
        <v>8419285</v>
      </c>
      <c r="D79" s="1003">
        <f>+'Tab. 6A -Drogi'!G499+'Tab. 6G - Roln i ochrona środ.'!G91</f>
        <v>8419285</v>
      </c>
      <c r="E79" s="1003">
        <f>+'Tab. 6A -Drogi'!H499+'Tab. 6G - Roln i ochrona środ.'!H91</f>
        <v>8419285</v>
      </c>
      <c r="F79" s="1003">
        <f>+'Tab. 6A -Drogi'!I499+'Tab. 6G - Roln i ochrona środ.'!I91</f>
        <v>8419285</v>
      </c>
      <c r="G79" s="1209">
        <f>+'Tab. 6A -Drogi'!J499+'Tab. 6G - Roln i ochrona środ.'!J91</f>
        <v>0</v>
      </c>
      <c r="H79" s="1209">
        <f>+'Tab. 6A -Drogi'!K499+'Tab. 6G - Roln i ochrona środ.'!K91</f>
        <v>0</v>
      </c>
      <c r="I79" s="1209">
        <f>+'Tab. 6A -Drogi'!L499+'Tab. 6G - Roln i ochrona środ.'!L91</f>
        <v>0</v>
      </c>
      <c r="J79" s="2393">
        <f>B79+C79+D79+E79+F79+G79+H79+I79</f>
        <v>62449201</v>
      </c>
      <c r="K79" s="2997"/>
      <c r="L79" s="2997"/>
      <c r="M79" s="494">
        <f>J79-J66</f>
        <v>0</v>
      </c>
    </row>
    <row r="80" spans="1:15" s="497" customFormat="1" ht="14.25" customHeight="1">
      <c r="A80" s="1199" t="s">
        <v>213</v>
      </c>
      <c r="B80" s="1004">
        <f>+'Tab. 6F - Kultura'!E19+'Tab. 6D - Oświata'!E86+'Tab. 6A -Drogi'!E496</f>
        <v>23178951</v>
      </c>
      <c r="C80" s="1200">
        <f>+'Tab. 6F - Kultura'!F19+'Tab. 6D - Oświata'!F86+'Tab. 6A -Drogi'!F496</f>
        <v>13998727</v>
      </c>
      <c r="D80" s="1200">
        <f>+'Tab. 6F - Kultura'!G19+'Tab. 6D - Oświata'!G86+'Tab. 6A -Drogi'!G496</f>
        <v>22337859</v>
      </c>
      <c r="E80" s="1200">
        <f>+'Tab. 6F - Kultura'!H19+'Tab. 6D - Oświata'!H86+'Tab. 6A -Drogi'!H496</f>
        <v>28644340</v>
      </c>
      <c r="F80" s="1200">
        <f>+'Tab. 6F - Kultura'!I19+'Tab. 6D - Oświata'!I86+'Tab. 6A -Drogi'!I496</f>
        <v>25783363</v>
      </c>
      <c r="G80" s="1200">
        <f>+'Tab. 6F - Kultura'!J19+'Tab. 6D - Oświata'!J86+'Tab. 6A -Drogi'!J496</f>
        <v>2000000</v>
      </c>
      <c r="H80" s="1200">
        <f>+'Tab. 6F - Kultura'!K19+'Tab. 6D - Oświata'!K86+'Tab. 6A -Drogi'!K496</f>
        <v>1650729</v>
      </c>
      <c r="I80" s="1201">
        <f>+'Tab. 6F - Kultura'!L19+'Tab. 6D - Oświata'!L86+'Tab. 6A -Drogi'!L496</f>
        <v>0</v>
      </c>
      <c r="J80" s="2393">
        <f>B80+C80+D80+E80+F80+G80+H80+I80</f>
        <v>117593969</v>
      </c>
      <c r="K80" s="2997"/>
      <c r="L80" s="2997"/>
      <c r="M80" s="494"/>
    </row>
    <row r="81" spans="1:14" s="497" customFormat="1" ht="15" customHeight="1">
      <c r="A81" s="498" t="s">
        <v>14</v>
      </c>
      <c r="B81" s="1209">
        <f>+'Tab. 6G - Roln i ochrona środ.'!E90+'Tab. 6E - Administracja'!E263</f>
        <v>0</v>
      </c>
      <c r="C81" s="1200">
        <f>+'Tab. 6G - Roln i ochrona środ.'!F90</f>
        <v>4004443</v>
      </c>
      <c r="D81" s="1200">
        <f>+'Tab. 6G - Roln i ochrona środ.'!G90</f>
        <v>18864240</v>
      </c>
      <c r="E81" s="1200">
        <f>+'Tab. 6G - Roln i ochrona środ.'!H90</f>
        <v>60161157</v>
      </c>
      <c r="F81" s="1200">
        <f>+'Tab. 6G - Roln i ochrona środ.'!I90</f>
        <v>20384000</v>
      </c>
      <c r="G81" s="1200">
        <f>+'Tab. 6G - Roln i ochrona środ.'!J90</f>
        <v>40060800</v>
      </c>
      <c r="H81" s="1200">
        <f>+'Tab. 6G - Roln i ochrona środ.'!K90</f>
        <v>586160</v>
      </c>
      <c r="I81" s="1229">
        <f>+'Tab. 6G - Roln i ochrona środ.'!L90</f>
        <v>0</v>
      </c>
      <c r="J81" s="2393">
        <f>B81+C81+D81+E81+F81+G81+H81+I81</f>
        <v>144060800</v>
      </c>
      <c r="K81" s="2997"/>
      <c r="L81" s="2997"/>
      <c r="M81" s="494">
        <f>J81-J72</f>
        <v>0</v>
      </c>
    </row>
    <row r="82" spans="1:14" s="497" customFormat="1" ht="14.25" customHeight="1">
      <c r="A82" s="491" t="s">
        <v>18</v>
      </c>
      <c r="B82" s="1231">
        <f t="shared" ref="B82:I82" si="39">SUM(B83:B83)</f>
        <v>0</v>
      </c>
      <c r="C82" s="1005">
        <f t="shared" si="39"/>
        <v>22355</v>
      </c>
      <c r="D82" s="1005">
        <f t="shared" si="39"/>
        <v>14945614</v>
      </c>
      <c r="E82" s="1005">
        <f t="shared" si="39"/>
        <v>24390663</v>
      </c>
      <c r="F82" s="1005">
        <f t="shared" si="39"/>
        <v>12672156</v>
      </c>
      <c r="G82" s="1005">
        <f t="shared" si="39"/>
        <v>8500000</v>
      </c>
      <c r="H82" s="1005">
        <f t="shared" si="39"/>
        <v>10092500</v>
      </c>
      <c r="I82" s="1231">
        <f t="shared" si="39"/>
        <v>0</v>
      </c>
      <c r="J82" s="2411">
        <f>+J83</f>
        <v>70623288</v>
      </c>
      <c r="K82" s="2997"/>
      <c r="L82" s="2997"/>
      <c r="M82" s="494"/>
    </row>
    <row r="83" spans="1:14" s="497" customFormat="1" ht="15.75" customHeight="1" thickBot="1">
      <c r="A83" s="1232" t="s">
        <v>35</v>
      </c>
      <c r="B83" s="1674">
        <f>+'Tab. 6D - Oświata'!E88+'Tab. 6F - Kultura'!E22+'Tab. 6C - Ochrona zdrowia'!E28</f>
        <v>0</v>
      </c>
      <c r="C83" s="1676">
        <f>+'Tab. 6D - Oświata'!F88+'Tab. 6F - Kultura'!F22+'Tab. 6C - Ochrona zdrowia'!F28</f>
        <v>22355</v>
      </c>
      <c r="D83" s="1234">
        <f>+'Tab. 6D - Oświata'!G88+'Tab. 6F - Kultura'!G22+'Tab. 6C - Ochrona zdrowia'!G28</f>
        <v>14945614</v>
      </c>
      <c r="E83" s="1234">
        <f>+'Tab. 6D - Oświata'!H88+'Tab. 6F - Kultura'!H22+'Tab. 6C - Ochrona zdrowia'!H28</f>
        <v>24390663</v>
      </c>
      <c r="F83" s="1234">
        <f>+'Tab. 6D - Oświata'!I88+'Tab. 6F - Kultura'!I22+'Tab. 6C - Ochrona zdrowia'!I28</f>
        <v>12672156</v>
      </c>
      <c r="G83" s="1234">
        <f>+'Tab. 6D - Oświata'!J88+'Tab. 6F - Kultura'!J22+'Tab. 6C - Ochrona zdrowia'!J28</f>
        <v>8500000</v>
      </c>
      <c r="H83" s="1234">
        <f>+'Tab. 6D - Oświata'!K88+'Tab. 6F - Kultura'!K22+'Tab. 6C - Ochrona zdrowia'!K28</f>
        <v>10092500</v>
      </c>
      <c r="I83" s="1233">
        <f>+'Tab. 6D - Oświata'!L88+'Tab. 6F - Kultura'!L22+'Tab. 6C - Ochrona zdrowia'!L28</f>
        <v>0</v>
      </c>
      <c r="J83" s="2412">
        <f>B83+C83+D83+E83+F83+G83+H83+I83</f>
        <v>70623288</v>
      </c>
      <c r="K83" s="2998"/>
      <c r="L83" s="2998"/>
      <c r="M83" s="494"/>
      <c r="N83" s="1210"/>
    </row>
    <row r="84" spans="1:14" s="497" customFormat="1" ht="9.75" customHeight="1" thickBot="1">
      <c r="A84" s="1222"/>
      <c r="B84" s="1191"/>
      <c r="C84" s="1191"/>
      <c r="D84" s="1191"/>
      <c r="E84" s="1191"/>
      <c r="F84" s="1191"/>
      <c r="G84" s="1213"/>
      <c r="H84" s="1212"/>
      <c r="I84" s="1212"/>
      <c r="J84" s="1214"/>
      <c r="K84" s="1214"/>
      <c r="L84" s="1214"/>
      <c r="M84" s="494"/>
    </row>
    <row r="85" spans="1:14" s="1194" customFormat="1" ht="18" customHeight="1" thickBot="1">
      <c r="A85" s="1235" t="s">
        <v>27</v>
      </c>
      <c r="B85" s="1236">
        <f>+B63-B71-B73-B67</f>
        <v>403565022</v>
      </c>
      <c r="C85" s="1236">
        <f t="shared" ref="C85" si="40">+C63-C71-C73-C67</f>
        <v>190028008</v>
      </c>
      <c r="D85" s="1237">
        <f t="shared" ref="D85:I85" si="41">+D63-D71-D73-D67</f>
        <v>246197649</v>
      </c>
      <c r="E85" s="1237">
        <f t="shared" si="41"/>
        <v>270611930</v>
      </c>
      <c r="F85" s="1237">
        <f t="shared" si="41"/>
        <v>210086782</v>
      </c>
      <c r="G85" s="1237">
        <f t="shared" si="41"/>
        <v>52896082</v>
      </c>
      <c r="H85" s="1236">
        <f t="shared" si="41"/>
        <v>7257957</v>
      </c>
      <c r="I85" s="1236">
        <f t="shared" si="41"/>
        <v>4270868</v>
      </c>
      <c r="J85" s="1238">
        <f>SUM(C85:I85)+B85+'Tab. 6C - Ochrona zdrowia'!P51+'Tab. 6C - Ochrona zdrowia'!P56</f>
        <v>1419221745</v>
      </c>
      <c r="K85" s="1239">
        <f>+C85+D85+E85+F85+G85+H85+I85+'Tab. 6C - Ochrona zdrowia'!P51+'Tab. 6C - Ochrona zdrowia'!P56</f>
        <v>1015656723</v>
      </c>
      <c r="L85" s="1239">
        <f>+D85+E85+F85+G85+H85+I85+'Tab. 6C - Ochrona zdrowia'!P51+'Tab. 6C - Ochrona zdrowia'!P56</f>
        <v>825628715</v>
      </c>
      <c r="M85" s="1218">
        <f>+C85+D85+E85+F85+G85+H85+I85+M86-L85</f>
        <v>190028008</v>
      </c>
      <c r="N85" s="1219">
        <f>J65+J66+J68+J69+J70+J72-J85</f>
        <v>0</v>
      </c>
    </row>
    <row r="86" spans="1:14" s="1194" customFormat="1" ht="18" customHeight="1" thickBot="1">
      <c r="A86" s="1235" t="s">
        <v>28</v>
      </c>
      <c r="B86" s="1240">
        <f>+B75-B82</f>
        <v>56644776</v>
      </c>
      <c r="C86" s="1240">
        <f t="shared" ref="C86:I86" si="42">+C75-C82</f>
        <v>54091454</v>
      </c>
      <c r="D86" s="1241">
        <f t="shared" si="42"/>
        <v>50981986</v>
      </c>
      <c r="E86" s="1241">
        <f t="shared" si="42"/>
        <v>97224782</v>
      </c>
      <c r="F86" s="1241">
        <f t="shared" si="42"/>
        <v>54586648</v>
      </c>
      <c r="G86" s="1241">
        <f t="shared" si="42"/>
        <v>42060800</v>
      </c>
      <c r="H86" s="1240">
        <f t="shared" si="42"/>
        <v>2236889</v>
      </c>
      <c r="I86" s="1240">
        <f t="shared" si="42"/>
        <v>0</v>
      </c>
      <c r="J86" s="1238">
        <f>SUM(C86:I86)+B86</f>
        <v>357827335</v>
      </c>
      <c r="K86" s="1242" t="s">
        <v>23</v>
      </c>
      <c r="L86" s="1242" t="s">
        <v>23</v>
      </c>
      <c r="M86" s="1218">
        <f>+'Tab. 6C - Ochrona zdrowia'!P51+'Tab. 6C - Ochrona zdrowia'!P56</f>
        <v>34307447</v>
      </c>
      <c r="N86" s="1194" t="s">
        <v>412</v>
      </c>
    </row>
    <row r="87" spans="1:14" s="1246" customFormat="1" ht="15" customHeight="1" thickBot="1">
      <c r="A87" s="1243"/>
      <c r="B87" s="1244"/>
      <c r="C87" s="1244"/>
      <c r="D87" s="1244"/>
      <c r="E87" s="1244"/>
      <c r="F87" s="1244"/>
      <c r="G87" s="1244"/>
      <c r="H87" s="1244"/>
      <c r="I87" s="1244"/>
      <c r="J87" s="1244"/>
      <c r="K87" s="1244"/>
      <c r="L87" s="1244"/>
      <c r="M87" s="1245"/>
    </row>
    <row r="88" spans="1:14" s="1246" customFormat="1" ht="18" customHeight="1" thickBot="1">
      <c r="A88" s="1247" t="s">
        <v>36</v>
      </c>
      <c r="B88" s="1248">
        <f>B89+B90</f>
        <v>503872743</v>
      </c>
      <c r="C88" s="1248">
        <f t="shared" ref="C88:D88" si="43">C89+C90</f>
        <v>487161815</v>
      </c>
      <c r="D88" s="1248">
        <f t="shared" si="43"/>
        <v>834672867</v>
      </c>
      <c r="E88" s="1248">
        <f t="shared" ref="E88:L88" si="44">E89+E90</f>
        <v>430917943</v>
      </c>
      <c r="F88" s="1248">
        <f t="shared" si="44"/>
        <v>294049249</v>
      </c>
      <c r="G88" s="1248">
        <f t="shared" si="44"/>
        <v>91530665</v>
      </c>
      <c r="H88" s="1248">
        <f t="shared" si="44"/>
        <v>43816214</v>
      </c>
      <c r="I88" s="1248">
        <f t="shared" si="44"/>
        <v>39249562</v>
      </c>
      <c r="J88" s="1249">
        <f t="shared" si="44"/>
        <v>2759578505</v>
      </c>
      <c r="K88" s="1250">
        <f>K89+K90</f>
        <v>2255705762</v>
      </c>
      <c r="L88" s="1250">
        <f t="shared" si="44"/>
        <v>1768543947</v>
      </c>
      <c r="M88" s="1245"/>
    </row>
    <row r="89" spans="1:14" s="1246" customFormat="1" ht="18" customHeight="1" thickTop="1">
      <c r="A89" s="1251" t="s">
        <v>37</v>
      </c>
      <c r="B89" s="1252">
        <f t="shared" ref="B89:I89" si="45">B13+B60</f>
        <v>406742727</v>
      </c>
      <c r="C89" s="1252">
        <f t="shared" si="45"/>
        <v>193622965</v>
      </c>
      <c r="D89" s="1252">
        <f t="shared" si="45"/>
        <v>237683189</v>
      </c>
      <c r="E89" s="1252">
        <f>E13+E60</f>
        <v>206809079</v>
      </c>
      <c r="F89" s="1252">
        <f t="shared" si="45"/>
        <v>194886002</v>
      </c>
      <c r="G89" s="1252">
        <f t="shared" si="45"/>
        <v>47741485</v>
      </c>
      <c r="H89" s="1252">
        <f t="shared" si="45"/>
        <v>41596309</v>
      </c>
      <c r="I89" s="1252">
        <f t="shared" si="45"/>
        <v>39088062</v>
      </c>
      <c r="J89" s="1253">
        <f>J13+J60</f>
        <v>1402477265</v>
      </c>
      <c r="K89" s="1254">
        <f>K13+K60</f>
        <v>995734538</v>
      </c>
      <c r="L89" s="1254">
        <f>L13+L60</f>
        <v>802111573</v>
      </c>
      <c r="M89" s="1245"/>
    </row>
    <row r="90" spans="1:14" s="1246" customFormat="1" ht="18" customHeight="1">
      <c r="A90" s="1251" t="s">
        <v>38</v>
      </c>
      <c r="B90" s="1252">
        <f t="shared" ref="B90:L90" si="46">B14+B61</f>
        <v>97130016</v>
      </c>
      <c r="C90" s="1252">
        <f t="shared" si="46"/>
        <v>293538850</v>
      </c>
      <c r="D90" s="1252">
        <f t="shared" si="46"/>
        <v>596989678</v>
      </c>
      <c r="E90" s="1252">
        <f t="shared" si="46"/>
        <v>224108864</v>
      </c>
      <c r="F90" s="1252">
        <f t="shared" si="46"/>
        <v>99163247</v>
      </c>
      <c r="G90" s="1252">
        <f t="shared" si="46"/>
        <v>43789180</v>
      </c>
      <c r="H90" s="1252">
        <f t="shared" si="46"/>
        <v>2219905</v>
      </c>
      <c r="I90" s="1252">
        <f t="shared" si="46"/>
        <v>161500</v>
      </c>
      <c r="J90" s="1253">
        <f>J14+J61</f>
        <v>1357101240</v>
      </c>
      <c r="K90" s="1254">
        <f t="shared" ref="K90" si="47">K14+K61</f>
        <v>1259971224</v>
      </c>
      <c r="L90" s="1254">
        <f t="shared" si="46"/>
        <v>966432374</v>
      </c>
      <c r="M90" s="1245"/>
    </row>
    <row r="91" spans="1:14" s="1246" customFormat="1" ht="18" customHeight="1" thickBot="1">
      <c r="A91" s="1255" t="s">
        <v>39</v>
      </c>
      <c r="B91" s="1256">
        <f>B49+B86</f>
        <v>135826063</v>
      </c>
      <c r="C91" s="1256">
        <f t="shared" ref="C91:D91" si="48">C49+C86</f>
        <v>283587787</v>
      </c>
      <c r="D91" s="1256">
        <f t="shared" si="48"/>
        <v>545317220</v>
      </c>
      <c r="E91" s="1256">
        <f t="shared" ref="E91:I91" si="49">E49+E86</f>
        <v>245172014</v>
      </c>
      <c r="F91" s="1256">
        <f>F49+F86</f>
        <v>124046051</v>
      </c>
      <c r="G91" s="1256">
        <f t="shared" si="49"/>
        <v>78024454</v>
      </c>
      <c r="H91" s="1256">
        <f t="shared" si="49"/>
        <v>34325779</v>
      </c>
      <c r="I91" s="1256">
        <f t="shared" si="49"/>
        <v>31064939</v>
      </c>
      <c r="J91" s="1256">
        <f>J49+J86</f>
        <v>1482404051</v>
      </c>
      <c r="K91" s="1257" t="s">
        <v>23</v>
      </c>
      <c r="L91" s="1257" t="s">
        <v>23</v>
      </c>
      <c r="M91" s="1245">
        <f>'Tab. 6A -Drogi'!D22+'Tab. 6A -Drogi'!D494+'Tab. 6B Polit społ i rozwój prz'!D17+'Tab. 6C - Ochrona zdrowia'!D24+'Tab. 6D - Oświata'!D18+'Tab. 6E - Administracja'!D20+'Tab. 6E - Administracja'!D245+'Tab. 6F - Kultura'!D19+'Tab. 6G - Roln i ochrona środ.'!D21+'Tab. 6G - Roln i ochrona środ.'!D86+'Tab. 6H - Kultura fiz. i turyst'!D18+'Tab.6I - Planow. przestrz.'!D18</f>
        <v>1482404051</v>
      </c>
      <c r="N91" s="1246" t="s">
        <v>241</v>
      </c>
    </row>
    <row r="92" spans="1:14" s="1246" customFormat="1" ht="18.75" customHeight="1" thickTop="1">
      <c r="A92" s="1251" t="s">
        <v>40</v>
      </c>
      <c r="B92" s="1252">
        <f>B98+B102</f>
        <v>89028424</v>
      </c>
      <c r="C92" s="1252">
        <f>C98+C102</f>
        <v>90278243</v>
      </c>
      <c r="D92" s="1252">
        <f t="shared" ref="C92:D93" si="50">D98+D102</f>
        <v>93775272</v>
      </c>
      <c r="E92" s="1252">
        <f t="shared" ref="E92:I93" si="51">E98+E102</f>
        <v>82475120</v>
      </c>
      <c r="F92" s="1252">
        <f t="shared" si="51"/>
        <v>73155473</v>
      </c>
      <c r="G92" s="1252">
        <f t="shared" si="51"/>
        <v>34778129</v>
      </c>
      <c r="H92" s="1252">
        <f t="shared" si="51"/>
        <v>33578119</v>
      </c>
      <c r="I92" s="1252">
        <f t="shared" si="51"/>
        <v>30903439</v>
      </c>
      <c r="J92" s="1252">
        <f>J98+J102</f>
        <v>533011963</v>
      </c>
      <c r="K92" s="1258" t="s">
        <v>23</v>
      </c>
      <c r="L92" s="1258" t="s">
        <v>23</v>
      </c>
      <c r="M92" s="1245">
        <f>J91-M91</f>
        <v>0</v>
      </c>
      <c r="N92" s="1259"/>
    </row>
    <row r="93" spans="1:14" s="1246" customFormat="1" ht="16.5" customHeight="1" thickBot="1">
      <c r="A93" s="1260" t="s">
        <v>41</v>
      </c>
      <c r="B93" s="1261">
        <f>B99+B103</f>
        <v>46797639</v>
      </c>
      <c r="C93" s="1261">
        <f t="shared" si="50"/>
        <v>193309544</v>
      </c>
      <c r="D93" s="1261">
        <f t="shared" si="50"/>
        <v>451541948</v>
      </c>
      <c r="E93" s="1261">
        <f t="shared" si="51"/>
        <v>162696894</v>
      </c>
      <c r="F93" s="1261">
        <f t="shared" si="51"/>
        <v>50890578</v>
      </c>
      <c r="G93" s="1261">
        <f t="shared" si="51"/>
        <v>43246325</v>
      </c>
      <c r="H93" s="1261">
        <f t="shared" si="51"/>
        <v>747660</v>
      </c>
      <c r="I93" s="1261">
        <f t="shared" si="51"/>
        <v>161500</v>
      </c>
      <c r="J93" s="1261">
        <f>J99+J103</f>
        <v>949392088</v>
      </c>
      <c r="K93" s="1262" t="s">
        <v>23</v>
      </c>
      <c r="L93" s="1262" t="s">
        <v>23</v>
      </c>
      <c r="M93" s="1245">
        <f>M91-J97-J101</f>
        <v>0</v>
      </c>
    </row>
    <row r="94" spans="1:14" s="1246" customFormat="1" ht="18" hidden="1" customHeight="1">
      <c r="A94" s="1263" t="s">
        <v>42</v>
      </c>
      <c r="B94" s="1264">
        <f>B92+B93-B91</f>
        <v>0</v>
      </c>
      <c r="C94" s="1264">
        <f>C92+C93-C91</f>
        <v>0</v>
      </c>
      <c r="D94" s="1264">
        <f t="shared" ref="D94:I94" si="52">D92+D93-D91</f>
        <v>0</v>
      </c>
      <c r="E94" s="1264">
        <f t="shared" si="52"/>
        <v>0</v>
      </c>
      <c r="F94" s="1264">
        <f>F92+F93-F91</f>
        <v>0</v>
      </c>
      <c r="G94" s="1264">
        <f t="shared" si="52"/>
        <v>0</v>
      </c>
      <c r="H94" s="1264">
        <f t="shared" si="52"/>
        <v>0</v>
      </c>
      <c r="I94" s="1264">
        <f t="shared" si="52"/>
        <v>0</v>
      </c>
      <c r="J94" s="1264">
        <f>J92+J93-J91</f>
        <v>0</v>
      </c>
      <c r="K94" s="1245"/>
      <c r="L94" s="1245"/>
      <c r="M94" s="1245"/>
      <c r="N94" s="1259"/>
    </row>
    <row r="95" spans="1:14" s="1246" customFormat="1" ht="11.25" hidden="1" customHeight="1">
      <c r="A95" s="1265"/>
      <c r="B95" s="1264"/>
      <c r="C95" s="1264"/>
      <c r="D95" s="1264"/>
      <c r="E95" s="1264"/>
      <c r="F95" s="1264"/>
      <c r="G95" s="1264"/>
      <c r="H95" s="1264"/>
      <c r="I95" s="1264"/>
      <c r="J95" s="1264"/>
      <c r="K95" s="1245"/>
      <c r="L95" s="1245"/>
      <c r="M95" s="1245"/>
    </row>
    <row r="96" spans="1:14" s="1246" customFormat="1" ht="18" hidden="1" customHeight="1" thickBot="1">
      <c r="A96" s="1266" t="s">
        <v>43</v>
      </c>
      <c r="B96" s="1267">
        <f>B32-B97</f>
        <v>0</v>
      </c>
      <c r="C96" s="1267">
        <f t="shared" ref="C96:D96" si="53">C32-C97</f>
        <v>0</v>
      </c>
      <c r="D96" s="1267">
        <f t="shared" si="53"/>
        <v>0</v>
      </c>
      <c r="E96" s="1267">
        <f t="shared" ref="E96:J96" si="54">E32-E97</f>
        <v>0</v>
      </c>
      <c r="F96" s="1267">
        <f t="shared" si="54"/>
        <v>0</v>
      </c>
      <c r="G96" s="1267">
        <f t="shared" si="54"/>
        <v>0</v>
      </c>
      <c r="H96" s="1267">
        <f t="shared" si="54"/>
        <v>0</v>
      </c>
      <c r="I96" s="1267">
        <f t="shared" si="54"/>
        <v>0</v>
      </c>
      <c r="J96" s="1267">
        <f t="shared" si="54"/>
        <v>0</v>
      </c>
      <c r="K96" s="1245"/>
      <c r="L96" s="1245"/>
      <c r="M96" s="1245"/>
      <c r="N96" s="1259">
        <f>M97+M101-M91</f>
        <v>0</v>
      </c>
    </row>
    <row r="97" spans="1:15" s="1246" customFormat="1" ht="18" hidden="1" customHeight="1" thickBot="1">
      <c r="A97" s="1268" t="s">
        <v>44</v>
      </c>
      <c r="B97" s="1269">
        <f t="shared" ref="B97:D97" si="55">B98+B99</f>
        <v>79181287</v>
      </c>
      <c r="C97" s="1269">
        <f t="shared" si="55"/>
        <v>229496333</v>
      </c>
      <c r="D97" s="1269">
        <f t="shared" si="55"/>
        <v>494335234</v>
      </c>
      <c r="E97" s="1269">
        <f t="shared" ref="E97:N97" si="56">E98+E99</f>
        <v>147947232</v>
      </c>
      <c r="F97" s="1269">
        <f t="shared" si="56"/>
        <v>69459403</v>
      </c>
      <c r="G97" s="1269">
        <f t="shared" si="56"/>
        <v>35963654</v>
      </c>
      <c r="H97" s="1269">
        <f t="shared" si="56"/>
        <v>32088890</v>
      </c>
      <c r="I97" s="1269">
        <f t="shared" si="56"/>
        <v>31064939</v>
      </c>
      <c r="J97" s="1270">
        <f>J98+J99</f>
        <v>1124576716</v>
      </c>
      <c r="K97" s="1245"/>
      <c r="L97" s="1245"/>
      <c r="M97" s="1270">
        <f t="shared" si="56"/>
        <v>1124576716</v>
      </c>
      <c r="N97" s="1270">
        <f t="shared" si="56"/>
        <v>0</v>
      </c>
      <c r="O97" s="1562" t="s">
        <v>407</v>
      </c>
    </row>
    <row r="98" spans="1:15" s="1246" customFormat="1" ht="20.25" hidden="1" customHeight="1" thickTop="1">
      <c r="A98" s="1271" t="s">
        <v>40</v>
      </c>
      <c r="B98" s="1272">
        <f>'Tab. 6A -Drogi'!E633+'Tab. 6B Polit społ i rozwój prz'!E176+'Tab. 6D - Oświata'!E116+'Tab. 6E - Administracja'!E268+'Tab. 6G - Roln i ochrona środ.'!E115+'Tab. 6H - Kultura fiz. i turyst'!E252+'Tab.6I - Planow. przestrz.'!E104</f>
        <v>32383648</v>
      </c>
      <c r="C98" s="1272">
        <f>'Tab. 6A -Drogi'!F633+'Tab. 6B Polit społ i rozwój prz'!F176+'Tab. 6D - Oświata'!F116+'Tab. 6E - Administracja'!F268+'Tab. 6G - Roln i ochrona środ.'!F115+'Tab. 6H - Kultura fiz. i turyst'!F252+'Tab.6I - Planow. przestrz.'!F104</f>
        <v>42614232</v>
      </c>
      <c r="D98" s="1272">
        <f>'Tab. 6A -Drogi'!G633+'Tab. 6B Polit społ i rozwój prz'!G176+'Tab. 6D - Oświata'!G116+'Tab. 6E - Administracja'!G268+'Tab. 6G - Roln i ochrona środ.'!G115+'Tab. 6H - Kultura fiz. i turyst'!G252+'Tab.6I - Planow. przestrz.'!G104</f>
        <v>61657526</v>
      </c>
      <c r="E98" s="1272">
        <f>'Tab. 6A -Drogi'!H633+'Tab. 6B Polit społ i rozwój prz'!H176+'Tab. 6D - Oświata'!H116+'Tab. 6E - Administracja'!H268+'Tab. 6G - Roln i ochrona środ.'!H115+'Tab. 6H - Kultura fiz. i turyst'!H252+'Tab.6I - Planow. przestrz.'!H104</f>
        <v>45411495</v>
      </c>
      <c r="F98" s="1272">
        <f>'Tab. 6A -Drogi'!I633+'Tab. 6B Polit społ i rozwój prz'!I176+'Tab. 6D - Oświata'!I116+'Tab. 6E - Administracja'!I268+'Tab. 6G - Roln i ochrona środ.'!I115+'Tab. 6H - Kultura fiz. i turyst'!I252+'Tab.6I - Planow. przestrz.'!I104</f>
        <v>38952825</v>
      </c>
      <c r="G98" s="1272">
        <f>'Tab. 6A -Drogi'!J633+'Tab. 6B Polit społ i rozwój prz'!J176+'Tab. 6D - Oświata'!J116+'Tab. 6E - Administracja'!J268+'Tab. 6G - Roln i ochrona środ.'!J115+'Tab. 6H - Kultura fiz. i turyst'!J252+'Tab.6I - Planow. przestrz.'!J104</f>
        <v>32778129</v>
      </c>
      <c r="H98" s="1272">
        <f>'Tab. 6A -Drogi'!K633+'Tab. 6B Polit społ i rozwój prz'!K176+'Tab. 6D - Oświata'!K116+'Tab. 6E - Administracja'!K268+'Tab. 6G - Roln i ochrona środ.'!K115+'Tab. 6H - Kultura fiz. i turyst'!K252+'Tab.6I - Planow. przestrz.'!K104</f>
        <v>31927390</v>
      </c>
      <c r="I98" s="1272">
        <f>'Tab. 6A -Drogi'!L633+'Tab. 6B Polit społ i rozwój prz'!L176+'Tab. 6D - Oświata'!L116+'Tab. 6E - Administracja'!L268+'Tab. 6G - Roln i ochrona środ.'!L115+'Tab. 6H - Kultura fiz. i turyst'!L252+'Tab.6I - Planow. przestrz.'!L104</f>
        <v>30903439</v>
      </c>
      <c r="J98" s="1273">
        <f>B98+C98+D98+E98+F98+G98+H98+I98+5028154+11590</f>
        <v>321668428</v>
      </c>
      <c r="K98" s="1245"/>
      <c r="L98" s="1245"/>
      <c r="M98" s="1563">
        <f>'Tab. 6A -Drogi'!D633+'Tab. 6B Polit społ i rozwój prz'!D176+'Tab. 6D - Oświata'!D116+'Tab. 6E - Administracja'!D268+'Tab. 6G - Roln i ochrona środ.'!D115+'Tab. 6H - Kultura fiz. i turyst'!D252+'Tab.6I - Planow. przestrz.'!D104</f>
        <v>321656838</v>
      </c>
      <c r="N98" s="1564">
        <f>J98-M98</f>
        <v>11590</v>
      </c>
      <c r="O98" s="1564"/>
    </row>
    <row r="99" spans="1:15" s="1246" customFormat="1" ht="18" hidden="1" customHeight="1">
      <c r="A99" s="1271" t="s">
        <v>41</v>
      </c>
      <c r="B99" s="1272">
        <f>'Tab. 6A -Drogi'!E634+'Tab. 6B Polit społ i rozwój prz'!E177+'Tab. 6D - Oświata'!E117+'Tab. 6E - Administracja'!E269+'Tab. 6G - Roln i ochrona środ.'!E116+'Tab. 6H - Kultura fiz. i turyst'!E253+'Tab.6I - Planow. przestrz.'!E105</f>
        <v>46797639</v>
      </c>
      <c r="C99" s="1272">
        <f>'Tab. 6A -Drogi'!F634+'Tab. 6B Polit społ i rozwój prz'!F177+'Tab. 6D - Oświata'!F117+'Tab. 6E - Administracja'!F269+'Tab. 6G - Roln i ochrona środ.'!F116+'Tab. 6H - Kultura fiz. i turyst'!F253+'Tab.6I - Planow. przestrz.'!F105</f>
        <v>186882101</v>
      </c>
      <c r="D99" s="1272">
        <f>'Tab. 6A -Drogi'!G634+'Tab. 6B Polit społ i rozwój prz'!G177+'Tab. 6D - Oświata'!G117+'Tab. 6E - Administracja'!G269+'Tab. 6G - Roln i ochrona środ.'!G116+'Tab. 6H - Kultura fiz. i turyst'!G253+'Tab.6I - Planow. przestrz.'!G105</f>
        <v>432677708</v>
      </c>
      <c r="E99" s="1272">
        <f>'Tab. 6A -Drogi'!H634+'Tab. 6B Polit społ i rozwój prz'!H177+'Tab. 6D - Oświata'!H117+'Tab. 6E - Administracja'!H269+'Tab. 6G - Roln i ochrona środ.'!H116+'Tab. 6H - Kultura fiz. i turyst'!H253+'Tab.6I - Planow. przestrz.'!H105</f>
        <v>102535737</v>
      </c>
      <c r="F99" s="1272">
        <f>'Tab. 6A -Drogi'!I634+'Tab. 6B Polit społ i rozwój prz'!I177+'Tab. 6D - Oświata'!I117+'Tab. 6E - Administracja'!I269+'Tab. 6G - Roln i ochrona środ.'!I116+'Tab. 6H - Kultura fiz. i turyst'!I253+'Tab.6I - Planow. przestrz.'!I105</f>
        <v>30506578</v>
      </c>
      <c r="G99" s="1272">
        <f>'Tab. 6A -Drogi'!J634+'Tab. 6B Polit społ i rozwój prz'!J177+'Tab. 6D - Oświata'!J117+'Tab. 6E - Administracja'!J269+'Tab. 6G - Roln i ochrona środ.'!J116+'Tab. 6H - Kultura fiz. i turyst'!J253+'Tab.6I - Planow. przestrz.'!J105</f>
        <v>3185525</v>
      </c>
      <c r="H99" s="1272">
        <f>'Tab. 6A -Drogi'!K634+'Tab. 6B Polit społ i rozwój prz'!K177+'Tab. 6D - Oświata'!K117+'Tab. 6E - Administracja'!K269+'Tab. 6G - Roln i ochrona środ.'!K116+'Tab. 6H - Kultura fiz. i turyst'!K253+'Tab.6I - Planow. przestrz.'!K105</f>
        <v>161500</v>
      </c>
      <c r="I99" s="1272">
        <f>'Tab. 6A -Drogi'!L634+'Tab. 6B Polit społ i rozwój prz'!L177+'Tab. 6D - Oświata'!L117+'Tab. 6E - Administracja'!L269+'Tab. 6G - Roln i ochrona środ.'!L116+'Tab. 6H - Kultura fiz. i turyst'!L253+'Tab.6I - Planow. przestrz.'!L105</f>
        <v>161500</v>
      </c>
      <c r="J99" s="1273">
        <f>B99+C99+D99+E99+F99+G99+H99+I99</f>
        <v>802908288</v>
      </c>
      <c r="K99" s="1245"/>
      <c r="L99" s="1245"/>
      <c r="M99" s="1563">
        <f>'Tab. 6A -Drogi'!D634+'Tab. 6B Polit społ i rozwój prz'!D177+'Tab. 6E - Administracja'!D269+'Tab. 6G - Roln i ochrona środ.'!D116+'Tab. 6H - Kultura fiz. i turyst'!D253+'Tab.6I - Planow. przestrz.'!D105</f>
        <v>802919878</v>
      </c>
      <c r="N99" s="1564">
        <f>J99-M99</f>
        <v>-11590</v>
      </c>
      <c r="O99" s="1562"/>
    </row>
    <row r="100" spans="1:15" s="1246" customFormat="1" ht="24" hidden="1" customHeight="1" thickBot="1">
      <c r="A100" s="1266" t="s">
        <v>45</v>
      </c>
      <c r="B100" s="1267">
        <f t="shared" ref="B100:J100" si="57">B86-B101</f>
        <v>0</v>
      </c>
      <c r="C100" s="1267">
        <f>C86-C101</f>
        <v>0</v>
      </c>
      <c r="D100" s="1267">
        <f t="shared" si="57"/>
        <v>0</v>
      </c>
      <c r="E100" s="1267">
        <f t="shared" si="57"/>
        <v>0</v>
      </c>
      <c r="F100" s="1267">
        <f>F86-F101</f>
        <v>0</v>
      </c>
      <c r="G100" s="1267">
        <f t="shared" si="57"/>
        <v>0</v>
      </c>
      <c r="H100" s="1267">
        <f t="shared" si="57"/>
        <v>0</v>
      </c>
      <c r="I100" s="1267">
        <f t="shared" si="57"/>
        <v>0</v>
      </c>
      <c r="J100" s="1267">
        <f t="shared" si="57"/>
        <v>0</v>
      </c>
      <c r="K100" s="1245"/>
      <c r="L100" s="1245"/>
      <c r="M100" s="1563"/>
      <c r="N100" s="1562"/>
      <c r="O100" s="1562"/>
    </row>
    <row r="101" spans="1:15" s="1246" customFormat="1" ht="20.25" hidden="1" customHeight="1" thickBot="1">
      <c r="A101" s="1268" t="s">
        <v>44</v>
      </c>
      <c r="B101" s="1269">
        <f>B102+B103</f>
        <v>56644776</v>
      </c>
      <c r="C101" s="1269">
        <f t="shared" ref="C101:J101" si="58">C102+C103</f>
        <v>54091454</v>
      </c>
      <c r="D101" s="1269">
        <f t="shared" si="58"/>
        <v>50981986</v>
      </c>
      <c r="E101" s="1269">
        <f t="shared" si="58"/>
        <v>97224782</v>
      </c>
      <c r="F101" s="1269">
        <f t="shared" si="58"/>
        <v>54586648</v>
      </c>
      <c r="G101" s="1269">
        <f t="shared" si="58"/>
        <v>42060800</v>
      </c>
      <c r="H101" s="1269">
        <f>H102+H103</f>
        <v>2236889</v>
      </c>
      <c r="I101" s="1269">
        <f>I102+I103</f>
        <v>0</v>
      </c>
      <c r="J101" s="1270">
        <f t="shared" si="58"/>
        <v>357827335</v>
      </c>
      <c r="K101" s="1245"/>
      <c r="L101" s="1245"/>
      <c r="M101" s="1270">
        <f t="shared" ref="M101:N101" si="59">M102+M103</f>
        <v>357827335</v>
      </c>
      <c r="N101" s="1270">
        <f t="shared" si="59"/>
        <v>0</v>
      </c>
      <c r="O101" s="1562" t="s">
        <v>407</v>
      </c>
    </row>
    <row r="102" spans="1:15" s="1246" customFormat="1" ht="19.5" hidden="1" customHeight="1" thickTop="1">
      <c r="A102" s="1271" t="s">
        <v>40</v>
      </c>
      <c r="B102" s="1272">
        <f>'Tab. 6A -Drogi'!E640+'Tab. 6F - Kultura'!E19</f>
        <v>56644776</v>
      </c>
      <c r="C102" s="1272">
        <f>'Tab. 6A -Drogi'!F640+'Tab. 6F - Kultura'!F19</f>
        <v>47664011</v>
      </c>
      <c r="D102" s="1272">
        <f>'Tab. 6A -Drogi'!G640+'Tab. 6F - Kultura'!G19</f>
        <v>32117746</v>
      </c>
      <c r="E102" s="1272">
        <f>'Tab. 6A -Drogi'!H640+'Tab. 6F - Kultura'!H19</f>
        <v>37063625</v>
      </c>
      <c r="F102" s="1272">
        <f>'Tab. 6A -Drogi'!I640+'Tab. 6F - Kultura'!I19</f>
        <v>34202648</v>
      </c>
      <c r="G102" s="1272">
        <f>'Tab. 6A -Drogi'!J640+'Tab. 6F - Kultura'!J19</f>
        <v>2000000</v>
      </c>
      <c r="H102" s="1272">
        <f>'Tab. 6A -Drogi'!K640+'Tab. 6F - Kultura'!K19</f>
        <v>1650729</v>
      </c>
      <c r="I102" s="1272">
        <f>'Tab. 6A -Drogi'!L640+'Tab. 6F - Kultura'!L19</f>
        <v>0</v>
      </c>
      <c r="J102" s="1273">
        <f>B102+C102+D102+E102+F102+G102+H102+I102</f>
        <v>211343535</v>
      </c>
      <c r="K102" s="1245"/>
      <c r="L102" s="1245"/>
      <c r="M102" s="1563">
        <f>'Tab. 6A -Drogi'!D505+'Tab. 6A -Drogi'!D567+'Tab. 6A -Drogi'!D612+'Tab. 6F - Kultura'!D19+'Tab. 6A -Drogi'!D540</f>
        <v>211343535</v>
      </c>
      <c r="N102" s="1564">
        <f>J102-M102</f>
        <v>0</v>
      </c>
      <c r="O102" s="1562"/>
    </row>
    <row r="103" spans="1:15" s="1246" customFormat="1" ht="19.5" hidden="1" customHeight="1">
      <c r="A103" s="1271" t="s">
        <v>41</v>
      </c>
      <c r="B103" s="1272">
        <f>'Tab. 6A -Drogi'!E517+'Tab. 6A -Drogi'!E620+'Tab. 6C - Ochrona zdrowia'!E24+'Tab. 6G - Roln i ochrona środ.'!E97</f>
        <v>0</v>
      </c>
      <c r="C103" s="1272">
        <f>'Tab. 6A -Drogi'!F517+'Tab. 6A -Drogi'!F620+'Tab. 6C - Ochrona zdrowia'!F24+'Tab. 6G - Roln i ochrona środ.'!F97</f>
        <v>6427443</v>
      </c>
      <c r="D103" s="1272">
        <f>'Tab. 6A -Drogi'!G517+'Tab. 6A -Drogi'!G620+'Tab. 6C - Ochrona zdrowia'!G24+'Tab. 6G - Roln i ochrona środ.'!G97</f>
        <v>18864240</v>
      </c>
      <c r="E103" s="1272">
        <f>'Tab. 6A -Drogi'!H517+'Tab. 6A -Drogi'!H620+'Tab. 6C - Ochrona zdrowia'!H24+'Tab. 6G - Roln i ochrona środ.'!H97</f>
        <v>60161157</v>
      </c>
      <c r="F103" s="1272">
        <f>'Tab. 6A -Drogi'!I517+'Tab. 6A -Drogi'!I620+'Tab. 6C - Ochrona zdrowia'!I24+'Tab. 6G - Roln i ochrona środ.'!I97</f>
        <v>20384000</v>
      </c>
      <c r="G103" s="1272">
        <f>'Tab. 6A -Drogi'!J517+'Tab. 6A -Drogi'!J620+'Tab. 6C - Ochrona zdrowia'!J24+'Tab. 6G - Roln i ochrona środ.'!J97</f>
        <v>40060800</v>
      </c>
      <c r="H103" s="1272">
        <f>'Tab. 6A -Drogi'!K517+'Tab. 6A -Drogi'!K620+'Tab. 6C - Ochrona zdrowia'!K24+'Tab. 6G - Roln i ochrona środ.'!K97</f>
        <v>586160</v>
      </c>
      <c r="I103" s="1272">
        <f>'Tab. 6A -Drogi'!L517+'Tab. 6A -Drogi'!L620+'Tab. 6C - Ochrona zdrowia'!L24+'Tab. 6G - Roln i ochrona środ.'!L97</f>
        <v>0</v>
      </c>
      <c r="J103" s="1273">
        <f>B103+C103+D103+E103+F103+G103+H103+I103</f>
        <v>146483800</v>
      </c>
      <c r="K103" s="1245"/>
      <c r="L103" s="1245"/>
      <c r="M103" s="1563">
        <f>'Tab. 6A -Drogi'!D641+'Tab. 6C - Ochrona zdrowia'!D24+'Tab. 6G - Roln i ochrona środ.'!D97</f>
        <v>146483800</v>
      </c>
      <c r="N103" s="1564">
        <f>J103-M103</f>
        <v>0</v>
      </c>
      <c r="O103" s="1562"/>
    </row>
    <row r="104" spans="1:15" s="1246" customFormat="1" ht="18" hidden="1" customHeight="1">
      <c r="A104" s="1265"/>
      <c r="B104" s="1264">
        <f>B101+B97-B91</f>
        <v>0</v>
      </c>
      <c r="C104" s="1264">
        <f>C101+C97-C91</f>
        <v>0</v>
      </c>
      <c r="D104" s="1264">
        <f t="shared" ref="D104:I104" si="60">D101+D97-D91</f>
        <v>0</v>
      </c>
      <c r="E104" s="1264">
        <f t="shared" si="60"/>
        <v>0</v>
      </c>
      <c r="F104" s="1264">
        <f t="shared" si="60"/>
        <v>0</v>
      </c>
      <c r="G104" s="1264">
        <f t="shared" si="60"/>
        <v>0</v>
      </c>
      <c r="H104" s="1264">
        <f t="shared" si="60"/>
        <v>0</v>
      </c>
      <c r="I104" s="1264">
        <f t="shared" si="60"/>
        <v>0</v>
      </c>
      <c r="J104" s="1264">
        <f>J101+J97-J91</f>
        <v>0</v>
      </c>
      <c r="K104" s="1245"/>
      <c r="L104" s="1245"/>
      <c r="M104" s="1245"/>
    </row>
    <row r="105" spans="1:15" s="1246" customFormat="1" ht="18" hidden="1" customHeight="1" thickBot="1">
      <c r="A105" s="1274"/>
      <c r="B105" s="1275"/>
      <c r="C105" s="1275"/>
      <c r="D105" s="1275"/>
      <c r="E105" s="1275"/>
      <c r="F105" s="1275"/>
      <c r="G105" s="1275"/>
      <c r="H105" s="1275"/>
      <c r="I105" s="1275"/>
      <c r="J105" s="1275"/>
      <c r="K105" s="1245"/>
      <c r="L105" s="1245"/>
      <c r="M105" s="1245"/>
    </row>
    <row r="106" spans="1:15" s="1246" customFormat="1" ht="18" hidden="1" customHeight="1">
      <c r="A106" s="1243"/>
      <c r="B106" s="1244">
        <f>+B85-B59</f>
        <v>0</v>
      </c>
      <c r="C106" s="1244">
        <f>+C85-C59</f>
        <v>0</v>
      </c>
      <c r="D106" s="1244">
        <f>+D85-D59</f>
        <v>0</v>
      </c>
      <c r="E106" s="1244">
        <f t="shared" ref="E106:I106" si="61">+E85-E59</f>
        <v>0</v>
      </c>
      <c r="F106" s="1244">
        <f>+F85-F59</f>
        <v>0</v>
      </c>
      <c r="G106" s="1244">
        <f t="shared" si="61"/>
        <v>0</v>
      </c>
      <c r="H106" s="1244">
        <f t="shared" si="61"/>
        <v>0</v>
      </c>
      <c r="I106" s="1244">
        <f t="shared" si="61"/>
        <v>0</v>
      </c>
      <c r="J106" s="1244">
        <f>+J85-J59</f>
        <v>0</v>
      </c>
      <c r="K106" s="1244"/>
      <c r="L106" s="1244"/>
      <c r="M106" s="1245"/>
    </row>
    <row r="107" spans="1:15" s="1246" customFormat="1" ht="18" hidden="1" customHeight="1">
      <c r="A107" s="1243"/>
      <c r="B107" s="1244">
        <f t="shared" ref="B107:I107" si="62">B12+B59</f>
        <v>503872743</v>
      </c>
      <c r="C107" s="1244">
        <f t="shared" si="62"/>
        <v>487161815</v>
      </c>
      <c r="D107" s="1244">
        <f t="shared" si="62"/>
        <v>834672867</v>
      </c>
      <c r="E107" s="1244">
        <f t="shared" si="62"/>
        <v>430917943</v>
      </c>
      <c r="F107" s="1244">
        <f t="shared" si="62"/>
        <v>294049249</v>
      </c>
      <c r="G107" s="1244">
        <f t="shared" si="62"/>
        <v>91530665</v>
      </c>
      <c r="H107" s="1244">
        <f t="shared" si="62"/>
        <v>43816214</v>
      </c>
      <c r="I107" s="1244">
        <f t="shared" si="62"/>
        <v>39249562</v>
      </c>
      <c r="J107" s="1244">
        <f>J12+J59</f>
        <v>2759578505</v>
      </c>
      <c r="K107" s="1244"/>
      <c r="L107" s="1244"/>
      <c r="M107" s="1245"/>
    </row>
    <row r="108" spans="1:15" s="1246" customFormat="1" ht="16.5" hidden="1" customHeight="1" thickBot="1">
      <c r="A108" s="1243"/>
      <c r="B108" s="1276" t="s">
        <v>453</v>
      </c>
      <c r="C108" s="1277" t="s">
        <v>5</v>
      </c>
      <c r="D108" s="1278" t="s">
        <v>6</v>
      </c>
      <c r="E108" s="1278" t="s">
        <v>207</v>
      </c>
      <c r="F108" s="1278" t="s">
        <v>209</v>
      </c>
      <c r="G108" s="1278" t="s">
        <v>254</v>
      </c>
      <c r="H108" s="1278" t="s">
        <v>255</v>
      </c>
      <c r="I108" s="1278" t="s">
        <v>253</v>
      </c>
      <c r="J108" s="1279" t="s">
        <v>46</v>
      </c>
      <c r="K108" s="1279" t="s">
        <v>389</v>
      </c>
      <c r="L108" s="1279" t="s">
        <v>389</v>
      </c>
      <c r="M108" s="1245"/>
    </row>
    <row r="109" spans="1:15" s="1246" customFormat="1" ht="18" hidden="1" customHeight="1">
      <c r="A109" s="1243"/>
      <c r="B109" s="1244"/>
      <c r="C109" s="1244"/>
      <c r="D109" s="1244"/>
      <c r="E109" s="1244"/>
      <c r="F109" s="1244"/>
      <c r="G109" s="1244"/>
      <c r="H109" s="1244"/>
      <c r="I109" s="1244"/>
      <c r="J109" s="1244"/>
      <c r="K109" s="1280"/>
      <c r="L109" s="1280"/>
      <c r="M109" s="1245"/>
    </row>
    <row r="110" spans="1:15" s="1246" customFormat="1" ht="18" hidden="1" customHeight="1">
      <c r="A110" s="1243"/>
      <c r="B110" s="1244"/>
      <c r="C110" s="1244"/>
      <c r="D110" s="1244"/>
      <c r="E110" s="1244"/>
      <c r="F110" s="1244"/>
      <c r="G110" s="1244"/>
      <c r="H110" s="1244"/>
      <c r="I110" s="1244"/>
      <c r="J110" s="1244"/>
      <c r="K110" s="1280"/>
      <c r="L110" s="1280"/>
      <c r="M110" s="1245"/>
    </row>
    <row r="111" spans="1:15" s="497" customFormat="1" ht="12.75" hidden="1" customHeight="1">
      <c r="A111" s="1222"/>
      <c r="B111" s="1191"/>
      <c r="C111" s="1191">
        <f t="shared" ref="C111:D112" si="63">+C13+C60</f>
        <v>193622965</v>
      </c>
      <c r="D111" s="1191">
        <f t="shared" si="63"/>
        <v>237683189</v>
      </c>
      <c r="E111" s="1191"/>
      <c r="F111" s="1191"/>
      <c r="G111" s="1191"/>
      <c r="H111" s="1191"/>
      <c r="I111" s="1191"/>
      <c r="J111" s="1191"/>
      <c r="M111" s="494"/>
    </row>
    <row r="112" spans="1:15" s="497" customFormat="1" ht="28.5" hidden="1" customHeight="1">
      <c r="A112" s="1281"/>
      <c r="B112" s="1282"/>
      <c r="C112" s="1282">
        <f t="shared" si="63"/>
        <v>293538850</v>
      </c>
      <c r="D112" s="1282">
        <f t="shared" si="63"/>
        <v>596989678</v>
      </c>
      <c r="E112" s="1282"/>
      <c r="F112" s="1282"/>
      <c r="G112" s="1282"/>
      <c r="H112" s="1282"/>
      <c r="I112" s="1282"/>
      <c r="J112" s="1281"/>
      <c r="K112" s="1281"/>
      <c r="L112" s="1281"/>
      <c r="M112" s="494"/>
    </row>
    <row r="113" spans="1:13" s="497" customFormat="1" ht="8.25" hidden="1" customHeight="1" thickBot="1">
      <c r="A113" s="1222"/>
      <c r="B113" s="1191"/>
      <c r="C113" s="1191"/>
      <c r="D113" s="1191"/>
      <c r="E113" s="1191"/>
      <c r="F113" s="1191"/>
      <c r="G113" s="1191"/>
      <c r="H113" s="1191"/>
      <c r="I113" s="1191"/>
      <c r="J113" s="1191"/>
      <c r="M113" s="494"/>
    </row>
    <row r="114" spans="1:13" s="497" customFormat="1" ht="12.75" hidden="1" customHeight="1">
      <c r="A114" s="1222"/>
      <c r="B114" s="1283"/>
      <c r="C114" s="1284">
        <f t="shared" ref="C114:J114" si="64">+C115+C116</f>
        <v>487161815</v>
      </c>
      <c r="D114" s="1284">
        <f>+D115+D116</f>
        <v>834672867</v>
      </c>
      <c r="E114" s="1284"/>
      <c r="F114" s="1284"/>
      <c r="G114" s="1284"/>
      <c r="H114" s="1284"/>
      <c r="I114" s="1284"/>
      <c r="J114" s="1283">
        <f t="shared" si="64"/>
        <v>2759578505</v>
      </c>
      <c r="K114" s="1285"/>
      <c r="L114" s="1285"/>
      <c r="M114" s="494"/>
    </row>
    <row r="115" spans="1:13" s="497" customFormat="1" ht="12.75" hidden="1" customHeight="1">
      <c r="A115" s="1222"/>
      <c r="B115" s="1286"/>
      <c r="C115" s="1287">
        <f t="shared" ref="C115:D116" si="65">+C13+C60</f>
        <v>193622965</v>
      </c>
      <c r="D115" s="1287">
        <f t="shared" si="65"/>
        <v>237683189</v>
      </c>
      <c r="E115" s="1287"/>
      <c r="F115" s="1287"/>
      <c r="G115" s="1287"/>
      <c r="H115" s="1287"/>
      <c r="I115" s="1287"/>
      <c r="J115" s="1286">
        <f>+J13+J60</f>
        <v>1402477265</v>
      </c>
      <c r="K115" s="1288"/>
      <c r="L115" s="1288"/>
      <c r="M115" s="494"/>
    </row>
    <row r="116" spans="1:13" s="497" customFormat="1" ht="12.75" hidden="1" customHeight="1" thickBot="1">
      <c r="A116" s="1222"/>
      <c r="B116" s="1289"/>
      <c r="C116" s="1290">
        <f t="shared" si="65"/>
        <v>293538850</v>
      </c>
      <c r="D116" s="1290">
        <f t="shared" si="65"/>
        <v>596989678</v>
      </c>
      <c r="E116" s="1290"/>
      <c r="F116" s="1290"/>
      <c r="G116" s="1290"/>
      <c r="H116" s="1290"/>
      <c r="I116" s="1290"/>
      <c r="J116" s="1289">
        <f>+J14+J61</f>
        <v>1357101240</v>
      </c>
      <c r="K116" s="1291"/>
      <c r="L116" s="1291"/>
      <c r="M116" s="494"/>
    </row>
    <row r="117" spans="1:13" s="497" customFormat="1" ht="21.75" hidden="1" customHeight="1">
      <c r="A117" s="1292" t="s">
        <v>47</v>
      </c>
      <c r="B117" s="1293"/>
      <c r="C117" s="1293">
        <f t="shared" ref="C117:J117" si="66">+C85+C48</f>
        <v>487161815</v>
      </c>
      <c r="D117" s="1293">
        <f t="shared" si="66"/>
        <v>834672867</v>
      </c>
      <c r="E117" s="1293"/>
      <c r="F117" s="1293"/>
      <c r="G117" s="1293"/>
      <c r="H117" s="1293"/>
      <c r="I117" s="1293"/>
      <c r="J117" s="1293">
        <f t="shared" si="66"/>
        <v>2759578505.3000002</v>
      </c>
      <c r="K117" s="1294"/>
      <c r="L117" s="1294"/>
      <c r="M117" s="494"/>
    </row>
    <row r="118" spans="1:13" s="497" customFormat="1" ht="9.75" hidden="1" customHeight="1">
      <c r="A118" s="1292"/>
      <c r="B118" s="1282"/>
      <c r="C118" s="1282">
        <f t="shared" ref="C118:J118" si="67">+C117-C114</f>
        <v>0</v>
      </c>
      <c r="D118" s="1282">
        <f t="shared" si="67"/>
        <v>0</v>
      </c>
      <c r="E118" s="1282"/>
      <c r="F118" s="1282"/>
      <c r="G118" s="1282"/>
      <c r="H118" s="1282"/>
      <c r="I118" s="1282"/>
      <c r="J118" s="1282">
        <f t="shared" si="67"/>
        <v>0.30000019073486328</v>
      </c>
      <c r="K118" s="1191"/>
      <c r="L118" s="1191"/>
      <c r="M118" s="494"/>
    </row>
    <row r="119" spans="1:13" s="497" customFormat="1" ht="15.75" hidden="1" customHeight="1" thickBot="1">
      <c r="A119" s="1292" t="s">
        <v>48</v>
      </c>
      <c r="B119" s="1293"/>
      <c r="C119" s="1293">
        <f t="shared" ref="C119:J119" si="68">+C86+C49</f>
        <v>283587787</v>
      </c>
      <c r="D119" s="1293">
        <f t="shared" si="68"/>
        <v>545317220</v>
      </c>
      <c r="E119" s="1293"/>
      <c r="F119" s="1293"/>
      <c r="G119" s="1293"/>
      <c r="H119" s="1293"/>
      <c r="I119" s="1293"/>
      <c r="J119" s="1293">
        <f t="shared" si="68"/>
        <v>1482404051</v>
      </c>
      <c r="K119" s="1191"/>
      <c r="L119" s="1191"/>
      <c r="M119" s="494"/>
    </row>
    <row r="120" spans="1:13" ht="1.5" hidden="1" customHeight="1">
      <c r="A120" s="3001" t="s">
        <v>537</v>
      </c>
      <c r="B120" s="1295"/>
      <c r="C120" s="1296"/>
      <c r="D120" s="1295"/>
      <c r="E120" s="1295"/>
      <c r="F120" s="1295"/>
      <c r="G120" s="1295"/>
      <c r="H120" s="1295"/>
      <c r="I120" s="1295"/>
      <c r="J120" s="1295"/>
      <c r="K120" s="1297"/>
      <c r="L120" s="1297"/>
    </row>
    <row r="121" spans="1:13" s="1184" customFormat="1" ht="27.75" hidden="1" customHeight="1" thickBot="1">
      <c r="A121" s="3002"/>
      <c r="B121" s="1298">
        <f>+B85+B48</f>
        <v>503872743.30000001</v>
      </c>
      <c r="C121" s="1299">
        <f t="shared" ref="C121:J121" si="69">+C85+C48</f>
        <v>487161815</v>
      </c>
      <c r="D121" s="1298">
        <f t="shared" si="69"/>
        <v>834672867</v>
      </c>
      <c r="E121" s="1298">
        <f t="shared" si="69"/>
        <v>430917943</v>
      </c>
      <c r="F121" s="1298">
        <f t="shared" si="69"/>
        <v>294049249</v>
      </c>
      <c r="G121" s="1298">
        <f>+G85+G48</f>
        <v>91530665</v>
      </c>
      <c r="H121" s="1298">
        <f>+H85+H48</f>
        <v>43816214</v>
      </c>
      <c r="I121" s="1298">
        <f>+I85+I48</f>
        <v>39249562</v>
      </c>
      <c r="J121" s="1298">
        <f t="shared" si="69"/>
        <v>2759578505.3000002</v>
      </c>
      <c r="K121" s="1300">
        <f>+K85+K48</f>
        <v>2255705762</v>
      </c>
      <c r="L121" s="1300">
        <f>+L85+L48</f>
        <v>1768543947</v>
      </c>
      <c r="M121" s="235"/>
    </row>
    <row r="122" spans="1:13" hidden="1">
      <c r="A122" s="1" t="s">
        <v>49</v>
      </c>
      <c r="B122" s="2">
        <f t="shared" ref="B122:J122" si="70">+B18+B65+B27</f>
        <v>402150842.30000001</v>
      </c>
      <c r="C122" s="255">
        <f t="shared" si="70"/>
        <v>185790905</v>
      </c>
      <c r="D122" s="2">
        <f t="shared" si="70"/>
        <v>282277436</v>
      </c>
      <c r="E122" s="2">
        <f t="shared" si="70"/>
        <v>210360246</v>
      </c>
      <c r="F122" s="2">
        <f t="shared" si="70"/>
        <v>189578780</v>
      </c>
      <c r="G122" s="2">
        <f t="shared" si="70"/>
        <v>15542774</v>
      </c>
      <c r="H122" s="2">
        <f t="shared" si="70"/>
        <v>9519854</v>
      </c>
      <c r="I122" s="2">
        <f t="shared" si="70"/>
        <v>8545658</v>
      </c>
      <c r="J122" s="3">
        <f t="shared" si="70"/>
        <v>1338073942.3</v>
      </c>
      <c r="K122" s="1301">
        <f>+K18+K65+K27</f>
        <v>935923100</v>
      </c>
      <c r="L122" s="1301">
        <f>+L18+L65+L27</f>
        <v>750132195</v>
      </c>
    </row>
    <row r="123" spans="1:13" hidden="1">
      <c r="A123" s="1" t="s">
        <v>50</v>
      </c>
      <c r="B123" s="3">
        <f>+B68</f>
        <v>8096641</v>
      </c>
      <c r="C123" s="638">
        <f t="shared" ref="C123:D123" si="71">+C68</f>
        <v>8629331</v>
      </c>
      <c r="D123" s="3">
        <f t="shared" si="71"/>
        <v>15181227</v>
      </c>
      <c r="E123" s="3">
        <f t="shared" ref="E123:L123" si="72">+E68</f>
        <v>13811745</v>
      </c>
      <c r="F123" s="3">
        <f t="shared" si="72"/>
        <v>5936412</v>
      </c>
      <c r="G123" s="3">
        <f t="shared" si="72"/>
        <v>3566880</v>
      </c>
      <c r="H123" s="3">
        <f t="shared" si="72"/>
        <v>1472245</v>
      </c>
      <c r="I123" s="3">
        <f t="shared" si="72"/>
        <v>0</v>
      </c>
      <c r="J123" s="3">
        <f t="shared" si="72"/>
        <v>56694481</v>
      </c>
      <c r="K123" s="1927">
        <f t="shared" ref="K123" si="73">+K68</f>
        <v>48597840</v>
      </c>
      <c r="L123" s="1927">
        <f t="shared" si="72"/>
        <v>39968509</v>
      </c>
    </row>
    <row r="124" spans="1:13" hidden="1">
      <c r="A124" s="420" t="s">
        <v>13</v>
      </c>
      <c r="B124" s="3">
        <f t="shared" ref="B124:L124" si="74">+B19+B70</f>
        <v>2611033</v>
      </c>
      <c r="C124" s="638">
        <f t="shared" si="74"/>
        <v>25380121</v>
      </c>
      <c r="D124" s="3">
        <f t="shared" si="74"/>
        <v>3012731</v>
      </c>
      <c r="E124" s="3">
        <f t="shared" si="74"/>
        <v>1233332</v>
      </c>
      <c r="F124" s="3">
        <f t="shared" si="74"/>
        <v>1243362</v>
      </c>
      <c r="G124" s="3">
        <f t="shared" si="74"/>
        <v>585076</v>
      </c>
      <c r="H124" s="3">
        <f t="shared" si="74"/>
        <v>585076</v>
      </c>
      <c r="I124" s="3">
        <f t="shared" si="74"/>
        <v>494707</v>
      </c>
      <c r="J124" s="3">
        <f>+J19+J70</f>
        <v>35145438</v>
      </c>
      <c r="K124" s="1927">
        <f t="shared" ref="K124" si="75">+K19+K70</f>
        <v>32534405</v>
      </c>
      <c r="L124" s="1927">
        <f t="shared" si="74"/>
        <v>7154284</v>
      </c>
    </row>
    <row r="125" spans="1:13" hidden="1">
      <c r="A125" s="1931" t="s">
        <v>51</v>
      </c>
      <c r="B125" s="3">
        <f t="shared" ref="B125:L125" si="76">+B20+B72</f>
        <v>0</v>
      </c>
      <c r="C125" s="638">
        <f t="shared" si="76"/>
        <v>4004443</v>
      </c>
      <c r="D125" s="3">
        <f t="shared" si="76"/>
        <v>18864240</v>
      </c>
      <c r="E125" s="3">
        <f t="shared" si="76"/>
        <v>60161157</v>
      </c>
      <c r="F125" s="3">
        <f t="shared" si="76"/>
        <v>20384000</v>
      </c>
      <c r="G125" s="3">
        <f t="shared" si="76"/>
        <v>40060800</v>
      </c>
      <c r="H125" s="3">
        <f t="shared" si="76"/>
        <v>586160</v>
      </c>
      <c r="I125" s="3">
        <f t="shared" si="76"/>
        <v>0</v>
      </c>
      <c r="J125" s="3">
        <f t="shared" si="76"/>
        <v>144060800</v>
      </c>
      <c r="K125" s="1928">
        <f t="shared" ref="K125" si="77">+K20+K72</f>
        <v>144060800</v>
      </c>
      <c r="L125" s="1928">
        <f t="shared" si="76"/>
        <v>140056357</v>
      </c>
      <c r="M125" s="233">
        <f>+J125+J130</f>
        <v>144060800</v>
      </c>
    </row>
    <row r="126" spans="1:13" hidden="1">
      <c r="A126" s="420" t="s">
        <v>15</v>
      </c>
      <c r="B126" s="3">
        <f t="shared" ref="B126:L126" si="78">+B21+B69</f>
        <v>14168459</v>
      </c>
      <c r="C126" s="638">
        <f t="shared" si="78"/>
        <v>6619850</v>
      </c>
      <c r="D126" s="3">
        <f t="shared" si="78"/>
        <v>6436767</v>
      </c>
      <c r="E126" s="3">
        <f t="shared" si="78"/>
        <v>0</v>
      </c>
      <c r="F126" s="3">
        <f t="shared" si="78"/>
        <v>0</v>
      </c>
      <c r="G126" s="3">
        <f t="shared" si="78"/>
        <v>0</v>
      </c>
      <c r="H126" s="3">
        <f t="shared" si="78"/>
        <v>0</v>
      </c>
      <c r="I126" s="3">
        <f t="shared" si="78"/>
        <v>0</v>
      </c>
      <c r="J126" s="3">
        <f t="shared" si="78"/>
        <v>27225076</v>
      </c>
      <c r="K126" s="1927">
        <f t="shared" ref="K126" si="79">+K21+K69</f>
        <v>13056617</v>
      </c>
      <c r="L126" s="1927">
        <f t="shared" si="78"/>
        <v>6436767</v>
      </c>
    </row>
    <row r="127" spans="1:13" hidden="1">
      <c r="A127" s="420" t="s">
        <v>52</v>
      </c>
      <c r="B127" s="3">
        <f t="shared" ref="B127:L127" si="80">+B22+B66</f>
        <v>2196030</v>
      </c>
      <c r="C127" s="638">
        <f t="shared" si="80"/>
        <v>13327703</v>
      </c>
      <c r="D127" s="3">
        <f t="shared" si="80"/>
        <v>27721464</v>
      </c>
      <c r="E127" s="3">
        <f t="shared" si="80"/>
        <v>15363715</v>
      </c>
      <c r="F127" s="3">
        <f t="shared" si="80"/>
        <v>14182860</v>
      </c>
      <c r="G127" s="3">
        <f t="shared" si="80"/>
        <v>0</v>
      </c>
      <c r="H127" s="3">
        <f t="shared" si="80"/>
        <v>0</v>
      </c>
      <c r="I127" s="3">
        <f t="shared" si="80"/>
        <v>0</v>
      </c>
      <c r="J127" s="2038">
        <f>+J22+J66</f>
        <v>72791772</v>
      </c>
      <c r="K127" s="1927">
        <f t="shared" ref="K127" si="81">+K22+K66</f>
        <v>70595742</v>
      </c>
      <c r="L127" s="1927">
        <f t="shared" si="80"/>
        <v>57268039</v>
      </c>
    </row>
    <row r="128" spans="1:13" hidden="1">
      <c r="A128" s="420" t="s">
        <v>20</v>
      </c>
      <c r="B128" s="3">
        <f t="shared" ref="B128:L128" si="82">+B29</f>
        <v>7849356</v>
      </c>
      <c r="C128" s="638">
        <f t="shared" si="82"/>
        <v>8007183</v>
      </c>
      <c r="D128" s="3">
        <f t="shared" si="82"/>
        <v>22532182</v>
      </c>
      <c r="E128" s="3">
        <f t="shared" si="82"/>
        <v>8069390</v>
      </c>
      <c r="F128" s="3">
        <f t="shared" si="82"/>
        <v>283032</v>
      </c>
      <c r="G128" s="3">
        <f t="shared" si="82"/>
        <v>0</v>
      </c>
      <c r="H128" s="3">
        <f t="shared" si="82"/>
        <v>0</v>
      </c>
      <c r="I128" s="3">
        <f t="shared" si="82"/>
        <v>0</v>
      </c>
      <c r="J128" s="2038">
        <f t="shared" si="82"/>
        <v>46741143</v>
      </c>
      <c r="K128" s="1927">
        <f t="shared" ref="K128" si="83">+K29</f>
        <v>38891787</v>
      </c>
      <c r="L128" s="1927">
        <f t="shared" si="82"/>
        <v>30884604</v>
      </c>
    </row>
    <row r="129" spans="1:13" hidden="1">
      <c r="A129" s="420" t="s">
        <v>17</v>
      </c>
      <c r="B129" s="3">
        <f t="shared" ref="B129:L129" si="84">+B24</f>
        <v>0</v>
      </c>
      <c r="C129" s="638">
        <f t="shared" si="84"/>
        <v>0</v>
      </c>
      <c r="D129" s="3">
        <f t="shared" si="84"/>
        <v>0</v>
      </c>
      <c r="E129" s="3">
        <f t="shared" si="84"/>
        <v>0</v>
      </c>
      <c r="F129" s="3">
        <f t="shared" si="84"/>
        <v>0</v>
      </c>
      <c r="G129" s="3">
        <f t="shared" si="84"/>
        <v>0</v>
      </c>
      <c r="H129" s="3">
        <f t="shared" si="84"/>
        <v>0</v>
      </c>
      <c r="I129" s="3">
        <f t="shared" si="84"/>
        <v>0</v>
      </c>
      <c r="J129" s="3">
        <f t="shared" si="84"/>
        <v>0</v>
      </c>
      <c r="K129" s="1927">
        <f t="shared" ref="K129" si="85">+K24</f>
        <v>0</v>
      </c>
      <c r="L129" s="1927">
        <f t="shared" si="84"/>
        <v>0</v>
      </c>
    </row>
    <row r="130" spans="1:13" ht="22.5" hidden="1" customHeight="1">
      <c r="A130" s="420" t="s">
        <v>53</v>
      </c>
      <c r="B130" s="3">
        <f t="shared" ref="B130:L130" si="86">+B30</f>
        <v>0</v>
      </c>
      <c r="C130" s="638">
        <f t="shared" si="86"/>
        <v>0</v>
      </c>
      <c r="D130" s="3">
        <f t="shared" si="86"/>
        <v>0</v>
      </c>
      <c r="E130" s="3">
        <f t="shared" si="86"/>
        <v>0</v>
      </c>
      <c r="F130" s="3">
        <f t="shared" si="86"/>
        <v>0</v>
      </c>
      <c r="G130" s="3">
        <f t="shared" si="86"/>
        <v>0</v>
      </c>
      <c r="H130" s="3">
        <f t="shared" si="86"/>
        <v>0</v>
      </c>
      <c r="I130" s="3">
        <f t="shared" si="86"/>
        <v>0</v>
      </c>
      <c r="J130" s="3">
        <f t="shared" si="86"/>
        <v>0</v>
      </c>
      <c r="K130" s="1927">
        <f t="shared" ref="K130" si="87">+K30</f>
        <v>0</v>
      </c>
      <c r="L130" s="1927">
        <f t="shared" si="86"/>
        <v>0</v>
      </c>
    </row>
    <row r="131" spans="1:13" ht="16.5" hidden="1" customHeight="1">
      <c r="A131" s="420" t="s">
        <v>19</v>
      </c>
      <c r="B131" s="3">
        <f t="shared" ref="B131:L131" si="88">+B28</f>
        <v>0</v>
      </c>
      <c r="C131" s="638">
        <f t="shared" si="88"/>
        <v>0</v>
      </c>
      <c r="D131" s="3">
        <f t="shared" si="88"/>
        <v>0</v>
      </c>
      <c r="E131" s="3">
        <f t="shared" si="88"/>
        <v>0</v>
      </c>
      <c r="F131" s="3">
        <f t="shared" si="88"/>
        <v>0</v>
      </c>
      <c r="G131" s="3">
        <f t="shared" si="88"/>
        <v>0</v>
      </c>
      <c r="H131" s="3">
        <f t="shared" si="88"/>
        <v>0</v>
      </c>
      <c r="I131" s="3">
        <f t="shared" si="88"/>
        <v>0</v>
      </c>
      <c r="J131" s="3">
        <f t="shared" si="88"/>
        <v>0</v>
      </c>
      <c r="K131" s="1929">
        <f t="shared" ref="K131" si="89">+K28</f>
        <v>0</v>
      </c>
      <c r="L131" s="1929">
        <f t="shared" si="88"/>
        <v>0</v>
      </c>
    </row>
    <row r="132" spans="1:13" ht="13.5" hidden="1" thickBot="1">
      <c r="A132" s="1302" t="s">
        <v>21</v>
      </c>
      <c r="B132" s="5">
        <f t="shared" ref="B132:L132" si="90">+B31</f>
        <v>66800382</v>
      </c>
      <c r="C132" s="1303">
        <f t="shared" si="90"/>
        <v>235402279</v>
      </c>
      <c r="D132" s="5">
        <f t="shared" si="90"/>
        <v>458646820</v>
      </c>
      <c r="E132" s="5">
        <f t="shared" si="90"/>
        <v>121918358</v>
      </c>
      <c r="F132" s="5">
        <f t="shared" si="90"/>
        <v>62440803</v>
      </c>
      <c r="G132" s="5">
        <f t="shared" si="90"/>
        <v>31775135</v>
      </c>
      <c r="H132" s="5">
        <f t="shared" si="90"/>
        <v>31652879</v>
      </c>
      <c r="I132" s="5">
        <f t="shared" si="90"/>
        <v>30209197</v>
      </c>
      <c r="J132" s="5">
        <f t="shared" si="90"/>
        <v>1038845853</v>
      </c>
      <c r="K132" s="1930">
        <f t="shared" ref="K132" si="91">+K31</f>
        <v>972045471</v>
      </c>
      <c r="L132" s="1930">
        <f t="shared" si="90"/>
        <v>736643192</v>
      </c>
    </row>
    <row r="133" spans="1:13" s="1184" customFormat="1" ht="18" hidden="1" customHeight="1">
      <c r="A133" s="1304"/>
      <c r="B133" s="1306">
        <f t="shared" ref="B133:L133" si="92">SUM(B122:B132)</f>
        <v>503872743.30000001</v>
      </c>
      <c r="C133" s="1305">
        <f t="shared" si="92"/>
        <v>487161815</v>
      </c>
      <c r="D133" s="1305">
        <f t="shared" si="92"/>
        <v>834672867</v>
      </c>
      <c r="E133" s="1305">
        <f t="shared" si="92"/>
        <v>430917943</v>
      </c>
      <c r="F133" s="1305">
        <f t="shared" si="92"/>
        <v>294049249</v>
      </c>
      <c r="G133" s="1305">
        <f t="shared" si="92"/>
        <v>91530665</v>
      </c>
      <c r="H133" s="1305">
        <f t="shared" si="92"/>
        <v>43816214</v>
      </c>
      <c r="I133" s="1305">
        <f t="shared" si="92"/>
        <v>39249562</v>
      </c>
      <c r="J133" s="1305">
        <f t="shared" si="92"/>
        <v>2759578505.3000002</v>
      </c>
      <c r="K133" s="1305">
        <f t="shared" ref="K133" si="93">SUM(K122:K132)</f>
        <v>2255705762</v>
      </c>
      <c r="L133" s="1305">
        <f t="shared" si="92"/>
        <v>1768543947</v>
      </c>
      <c r="M133" s="235"/>
    </row>
    <row r="134" spans="1:13" ht="18" hidden="1" customHeight="1" thickBot="1">
      <c r="A134" s="1307"/>
      <c r="B134" s="1308">
        <f t="shared" ref="B134:I134" si="94">+B133-B88</f>
        <v>0.30000001192092896</v>
      </c>
      <c r="C134" s="1308">
        <f t="shared" si="94"/>
        <v>0</v>
      </c>
      <c r="D134" s="1308">
        <f t="shared" si="94"/>
        <v>0</v>
      </c>
      <c r="E134" s="1308">
        <f t="shared" si="94"/>
        <v>0</v>
      </c>
      <c r="F134" s="1308">
        <f t="shared" si="94"/>
        <v>0</v>
      </c>
      <c r="G134" s="1308">
        <f t="shared" si="94"/>
        <v>0</v>
      </c>
      <c r="H134" s="1308">
        <f t="shared" si="94"/>
        <v>0</v>
      </c>
      <c r="I134" s="1308">
        <f t="shared" si="94"/>
        <v>0</v>
      </c>
      <c r="J134" s="1308">
        <f>+J133-J88</f>
        <v>0.30000019073486328</v>
      </c>
      <c r="K134" s="1308"/>
      <c r="L134" s="1308"/>
    </row>
    <row r="135" spans="1:13" ht="30" hidden="1" customHeight="1" thickBot="1">
      <c r="A135" s="1309" t="s">
        <v>538</v>
      </c>
      <c r="B135" s="1310">
        <f>+B86+B49</f>
        <v>135826063</v>
      </c>
      <c r="C135" s="1311">
        <f t="shared" ref="C135:I135" si="95">+C86+C49</f>
        <v>283587787</v>
      </c>
      <c r="D135" s="1310">
        <f t="shared" si="95"/>
        <v>545317220</v>
      </c>
      <c r="E135" s="1310">
        <f t="shared" si="95"/>
        <v>245172014</v>
      </c>
      <c r="F135" s="1310">
        <f t="shared" si="95"/>
        <v>124046051</v>
      </c>
      <c r="G135" s="1310">
        <f t="shared" si="95"/>
        <v>78024454</v>
      </c>
      <c r="H135" s="1310">
        <f t="shared" si="95"/>
        <v>34325779</v>
      </c>
      <c r="I135" s="1310">
        <f t="shared" si="95"/>
        <v>31064939</v>
      </c>
      <c r="J135" s="1310">
        <f>+J86+J49</f>
        <v>1482404051</v>
      </c>
      <c r="K135" s="1312" t="s">
        <v>23</v>
      </c>
      <c r="L135" s="1312" t="s">
        <v>23</v>
      </c>
    </row>
    <row r="136" spans="1:13" ht="14.25" hidden="1" customHeight="1">
      <c r="A136" s="1" t="s">
        <v>54</v>
      </c>
      <c r="B136" s="255">
        <f>+B35</f>
        <v>0</v>
      </c>
      <c r="C136" s="255">
        <f t="shared" ref="C136:L136" si="96">+C35</f>
        <v>0</v>
      </c>
      <c r="D136" s="2">
        <f t="shared" si="96"/>
        <v>0</v>
      </c>
      <c r="E136" s="2">
        <f>+E35</f>
        <v>0</v>
      </c>
      <c r="F136" s="2">
        <f t="shared" si="96"/>
        <v>0</v>
      </c>
      <c r="G136" s="2">
        <f t="shared" si="96"/>
        <v>0</v>
      </c>
      <c r="H136" s="2">
        <f t="shared" si="96"/>
        <v>0</v>
      </c>
      <c r="I136" s="2">
        <f t="shared" si="96"/>
        <v>0</v>
      </c>
      <c r="J136" s="1313">
        <f t="shared" si="96"/>
        <v>0</v>
      </c>
      <c r="K136" s="2">
        <f t="shared" ref="K136" si="97">+K35</f>
        <v>0</v>
      </c>
      <c r="L136" s="2">
        <f t="shared" si="96"/>
        <v>0</v>
      </c>
    </row>
    <row r="137" spans="1:13" ht="14.25" hidden="1" customHeight="1">
      <c r="A137" s="420" t="s">
        <v>13</v>
      </c>
      <c r="B137" s="4">
        <f t="shared" ref="B137:L137" si="98">+B77+B34</f>
        <v>2580761</v>
      </c>
      <c r="C137" s="638">
        <f t="shared" si="98"/>
        <v>25336847</v>
      </c>
      <c r="D137" s="3">
        <f t="shared" si="98"/>
        <v>3059974</v>
      </c>
      <c r="E137" s="3">
        <f t="shared" si="98"/>
        <v>1233331</v>
      </c>
      <c r="F137" s="3">
        <f t="shared" si="98"/>
        <v>1243362</v>
      </c>
      <c r="G137" s="3">
        <f t="shared" si="98"/>
        <v>611380</v>
      </c>
      <c r="H137" s="3">
        <f t="shared" si="98"/>
        <v>585076</v>
      </c>
      <c r="I137" s="3">
        <f t="shared" si="98"/>
        <v>494707</v>
      </c>
      <c r="J137" s="1314">
        <f t="shared" si="98"/>
        <v>35145438</v>
      </c>
      <c r="K137" s="3">
        <f t="shared" ref="K137" si="99">+K77+K34</f>
        <v>0</v>
      </c>
      <c r="L137" s="3">
        <f t="shared" si="98"/>
        <v>0</v>
      </c>
    </row>
    <row r="138" spans="1:13" ht="14.25" hidden="1" customHeight="1">
      <c r="A138" s="420" t="s">
        <v>15</v>
      </c>
      <c r="B138" s="4">
        <f t="shared" ref="B138:L138" si="100">+B37+B78</f>
        <v>14168459</v>
      </c>
      <c r="C138" s="638">
        <f t="shared" si="100"/>
        <v>6619850</v>
      </c>
      <c r="D138" s="3">
        <f t="shared" si="100"/>
        <v>6436767</v>
      </c>
      <c r="E138" s="3">
        <f t="shared" si="100"/>
        <v>0</v>
      </c>
      <c r="F138" s="3">
        <f t="shared" si="100"/>
        <v>0</v>
      </c>
      <c r="G138" s="3">
        <f t="shared" si="100"/>
        <v>0</v>
      </c>
      <c r="H138" s="3">
        <f t="shared" si="100"/>
        <v>0</v>
      </c>
      <c r="I138" s="3">
        <f t="shared" si="100"/>
        <v>0</v>
      </c>
      <c r="J138" s="1314">
        <f t="shared" si="100"/>
        <v>27225076</v>
      </c>
      <c r="K138" s="3">
        <f t="shared" ref="K138" si="101">+K37+K78</f>
        <v>0</v>
      </c>
      <c r="L138" s="3">
        <f t="shared" si="100"/>
        <v>0</v>
      </c>
    </row>
    <row r="139" spans="1:13" ht="14.25" hidden="1" customHeight="1">
      <c r="A139" s="420" t="s">
        <v>52</v>
      </c>
      <c r="B139" s="4">
        <f t="shared" ref="B139:L139" si="102">+B38+B79</f>
        <v>30968091</v>
      </c>
      <c r="C139" s="638">
        <f t="shared" si="102"/>
        <v>11743410</v>
      </c>
      <c r="D139" s="3">
        <f t="shared" si="102"/>
        <v>9537701</v>
      </c>
      <c r="E139" s="3">
        <f t="shared" si="102"/>
        <v>12123285</v>
      </c>
      <c r="F139" s="3">
        <f t="shared" si="102"/>
        <v>8419285</v>
      </c>
      <c r="G139" s="3">
        <f t="shared" si="102"/>
        <v>0</v>
      </c>
      <c r="H139" s="3">
        <f t="shared" si="102"/>
        <v>0</v>
      </c>
      <c r="I139" s="3">
        <f t="shared" si="102"/>
        <v>0</v>
      </c>
      <c r="J139" s="1314">
        <f t="shared" si="102"/>
        <v>72791772</v>
      </c>
      <c r="K139" s="3">
        <f t="shared" ref="K139" si="103">+K38+K79</f>
        <v>0</v>
      </c>
      <c r="L139" s="3">
        <f t="shared" si="102"/>
        <v>0</v>
      </c>
    </row>
    <row r="140" spans="1:13" ht="14.25" hidden="1" customHeight="1">
      <c r="A140" s="1" t="s">
        <v>12</v>
      </c>
      <c r="B140" s="4">
        <f t="shared" ref="B140:L140" si="104">+B80</f>
        <v>23178951</v>
      </c>
      <c r="C140" s="638">
        <f t="shared" si="104"/>
        <v>13998727</v>
      </c>
      <c r="D140" s="3">
        <f t="shared" si="104"/>
        <v>22337859</v>
      </c>
      <c r="E140" s="3">
        <f t="shared" si="104"/>
        <v>28644340</v>
      </c>
      <c r="F140" s="3">
        <f t="shared" si="104"/>
        <v>25783363</v>
      </c>
      <c r="G140" s="3">
        <f t="shared" si="104"/>
        <v>2000000</v>
      </c>
      <c r="H140" s="3">
        <f t="shared" si="104"/>
        <v>1650729</v>
      </c>
      <c r="I140" s="3">
        <f t="shared" si="104"/>
        <v>0</v>
      </c>
      <c r="J140" s="1314">
        <f t="shared" si="104"/>
        <v>117593969</v>
      </c>
      <c r="K140" s="3">
        <f t="shared" ref="K140" si="105">+K80</f>
        <v>0</v>
      </c>
      <c r="L140" s="3">
        <f t="shared" si="104"/>
        <v>0</v>
      </c>
    </row>
    <row r="141" spans="1:13" ht="13.5" hidden="1" customHeight="1">
      <c r="A141" s="420" t="s">
        <v>55</v>
      </c>
      <c r="B141" s="4">
        <f t="shared" ref="B141:L141" si="106">+B81+B36</f>
        <v>0</v>
      </c>
      <c r="C141" s="638">
        <f t="shared" si="106"/>
        <v>4004443</v>
      </c>
      <c r="D141" s="3">
        <f t="shared" si="106"/>
        <v>18864240</v>
      </c>
      <c r="E141" s="3">
        <f t="shared" si="106"/>
        <v>60161157</v>
      </c>
      <c r="F141" s="3">
        <f t="shared" si="106"/>
        <v>20384000</v>
      </c>
      <c r="G141" s="3">
        <f t="shared" si="106"/>
        <v>40060800</v>
      </c>
      <c r="H141" s="3">
        <f t="shared" si="106"/>
        <v>586160</v>
      </c>
      <c r="I141" s="3">
        <f t="shared" si="106"/>
        <v>0</v>
      </c>
      <c r="J141" s="1314">
        <f t="shared" si="106"/>
        <v>144060800</v>
      </c>
      <c r="K141" s="3">
        <f t="shared" ref="K141" si="107">+K81+K36</f>
        <v>0</v>
      </c>
      <c r="L141" s="3">
        <f t="shared" si="106"/>
        <v>0</v>
      </c>
    </row>
    <row r="142" spans="1:13" ht="12.75" hidden="1" customHeight="1">
      <c r="A142" s="420" t="s">
        <v>56</v>
      </c>
      <c r="B142" s="4">
        <f t="shared" ref="B142:L142" si="108">+B44</f>
        <v>0</v>
      </c>
      <c r="C142" s="638">
        <f t="shared" si="108"/>
        <v>0</v>
      </c>
      <c r="D142" s="3">
        <f t="shared" si="108"/>
        <v>0</v>
      </c>
      <c r="E142" s="3">
        <f t="shared" si="108"/>
        <v>0</v>
      </c>
      <c r="F142" s="3">
        <f t="shared" si="108"/>
        <v>0</v>
      </c>
      <c r="G142" s="3">
        <f t="shared" si="108"/>
        <v>0</v>
      </c>
      <c r="H142" s="3">
        <f t="shared" si="108"/>
        <v>0</v>
      </c>
      <c r="I142" s="3">
        <f t="shared" si="108"/>
        <v>0</v>
      </c>
      <c r="J142" s="1314">
        <f t="shared" si="108"/>
        <v>0</v>
      </c>
      <c r="K142" s="3">
        <f t="shared" ref="K142" si="109">+K44</f>
        <v>0</v>
      </c>
      <c r="L142" s="3">
        <f t="shared" si="108"/>
        <v>0</v>
      </c>
    </row>
    <row r="143" spans="1:13" ht="14.25" hidden="1" customHeight="1">
      <c r="A143" s="420" t="s">
        <v>17</v>
      </c>
      <c r="B143" s="4">
        <f t="shared" ref="B143:L143" si="110">+B42+B39</f>
        <v>0</v>
      </c>
      <c r="C143" s="638">
        <f t="shared" si="110"/>
        <v>0</v>
      </c>
      <c r="D143" s="3">
        <f t="shared" si="110"/>
        <v>0</v>
      </c>
      <c r="E143" s="3">
        <f t="shared" si="110"/>
        <v>0</v>
      </c>
      <c r="F143" s="3">
        <f t="shared" si="110"/>
        <v>0</v>
      </c>
      <c r="G143" s="3">
        <f t="shared" si="110"/>
        <v>0</v>
      </c>
      <c r="H143" s="3">
        <f t="shared" si="110"/>
        <v>0</v>
      </c>
      <c r="I143" s="3">
        <f t="shared" si="110"/>
        <v>0</v>
      </c>
      <c r="J143" s="1314">
        <f t="shared" si="110"/>
        <v>0</v>
      </c>
      <c r="K143" s="3">
        <f t="shared" ref="K143" si="111">+K42+K39</f>
        <v>0</v>
      </c>
      <c r="L143" s="3">
        <f t="shared" si="110"/>
        <v>0</v>
      </c>
    </row>
    <row r="144" spans="1:13" ht="21.75" hidden="1" customHeight="1">
      <c r="A144" s="420" t="s">
        <v>26</v>
      </c>
      <c r="B144" s="3">
        <f t="shared" ref="B144:L144" si="112">+B40</f>
        <v>0</v>
      </c>
      <c r="C144" s="638">
        <f t="shared" si="112"/>
        <v>0</v>
      </c>
      <c r="D144" s="3">
        <f t="shared" si="112"/>
        <v>0</v>
      </c>
      <c r="E144" s="3">
        <f t="shared" si="112"/>
        <v>0</v>
      </c>
      <c r="F144" s="3">
        <f t="shared" si="112"/>
        <v>0</v>
      </c>
      <c r="G144" s="3">
        <f t="shared" si="112"/>
        <v>0</v>
      </c>
      <c r="H144" s="3">
        <f t="shared" si="112"/>
        <v>0</v>
      </c>
      <c r="I144" s="3">
        <f t="shared" si="112"/>
        <v>0</v>
      </c>
      <c r="J144" s="1314">
        <f t="shared" si="112"/>
        <v>0</v>
      </c>
      <c r="K144" s="3">
        <f t="shared" ref="K144" si="113">+K40</f>
        <v>0</v>
      </c>
      <c r="L144" s="3">
        <f t="shared" si="112"/>
        <v>0</v>
      </c>
    </row>
    <row r="145" spans="1:15" ht="14.25" hidden="1" customHeight="1">
      <c r="A145" s="420" t="s">
        <v>20</v>
      </c>
      <c r="B145" s="4">
        <f t="shared" ref="B145:L145" si="114">+B45</f>
        <v>9393236</v>
      </c>
      <c r="C145" s="638">
        <f t="shared" si="114"/>
        <v>618052</v>
      </c>
      <c r="D145" s="3">
        <f t="shared" si="114"/>
        <v>18959111</v>
      </c>
      <c r="E145" s="3">
        <f t="shared" si="114"/>
        <v>14255634</v>
      </c>
      <c r="F145" s="3">
        <f t="shared" si="114"/>
        <v>3398928</v>
      </c>
      <c r="G145" s="3">
        <f t="shared" si="114"/>
        <v>116182</v>
      </c>
      <c r="H145" s="3">
        <f t="shared" si="114"/>
        <v>0</v>
      </c>
      <c r="I145" s="3">
        <f t="shared" si="114"/>
        <v>0</v>
      </c>
      <c r="J145" s="1314">
        <f t="shared" si="114"/>
        <v>46741143</v>
      </c>
      <c r="K145" s="3">
        <f t="shared" ref="K145" si="115">+K45</f>
        <v>0</v>
      </c>
      <c r="L145" s="3">
        <f t="shared" si="114"/>
        <v>0</v>
      </c>
    </row>
    <row r="146" spans="1:15" ht="14.25" hidden="1" customHeight="1">
      <c r="A146" s="1315" t="s">
        <v>19</v>
      </c>
      <c r="B146" s="263">
        <f t="shared" ref="B146:L146" si="116">+B43</f>
        <v>0</v>
      </c>
      <c r="C146" s="639">
        <f t="shared" si="116"/>
        <v>0</v>
      </c>
      <c r="D146" s="263">
        <f t="shared" si="116"/>
        <v>0</v>
      </c>
      <c r="E146" s="263">
        <f t="shared" si="116"/>
        <v>0</v>
      </c>
      <c r="F146" s="263">
        <f t="shared" si="116"/>
        <v>0</v>
      </c>
      <c r="G146" s="263">
        <f t="shared" si="116"/>
        <v>0</v>
      </c>
      <c r="H146" s="263">
        <f t="shared" si="116"/>
        <v>0</v>
      </c>
      <c r="I146" s="263">
        <f t="shared" si="116"/>
        <v>0</v>
      </c>
      <c r="J146" s="1314">
        <f t="shared" si="116"/>
        <v>0</v>
      </c>
      <c r="K146" s="263">
        <f t="shared" ref="K146" si="117">+K43</f>
        <v>0</v>
      </c>
      <c r="L146" s="263">
        <f t="shared" si="116"/>
        <v>0</v>
      </c>
    </row>
    <row r="147" spans="1:15" ht="14.25" hidden="1" customHeight="1" thickBot="1">
      <c r="A147" s="1302" t="s">
        <v>21</v>
      </c>
      <c r="B147" s="1317">
        <f t="shared" ref="B147:L147" si="118">+B46</f>
        <v>55536565</v>
      </c>
      <c r="C147" s="1318">
        <f t="shared" si="118"/>
        <v>221266458</v>
      </c>
      <c r="D147" s="1316">
        <f t="shared" si="118"/>
        <v>466121568</v>
      </c>
      <c r="E147" s="1316">
        <f t="shared" si="118"/>
        <v>128754267</v>
      </c>
      <c r="F147" s="1316">
        <f t="shared" si="118"/>
        <v>64817113</v>
      </c>
      <c r="G147" s="1316">
        <f t="shared" si="118"/>
        <v>35236092</v>
      </c>
      <c r="H147" s="1316">
        <f t="shared" si="118"/>
        <v>31503814</v>
      </c>
      <c r="I147" s="1316">
        <f t="shared" si="118"/>
        <v>30570232</v>
      </c>
      <c r="J147" s="1319">
        <f t="shared" si="118"/>
        <v>1038845853</v>
      </c>
      <c r="K147" s="1316">
        <f t="shared" ref="K147" si="119">+K46</f>
        <v>0</v>
      </c>
      <c r="L147" s="1316">
        <f t="shared" si="118"/>
        <v>0</v>
      </c>
    </row>
    <row r="148" spans="1:15" ht="14.25" hidden="1" customHeight="1">
      <c r="A148" s="1320"/>
      <c r="B148" s="1321">
        <f>SUM(B136:B147)</f>
        <v>135826063</v>
      </c>
      <c r="C148" s="1321">
        <f t="shared" ref="C148:J148" si="120">SUM(C136:C147)</f>
        <v>283587787</v>
      </c>
      <c r="D148" s="1321">
        <f t="shared" si="120"/>
        <v>545317220</v>
      </c>
      <c r="E148" s="1321">
        <f>SUM(E136:E147)</f>
        <v>245172014</v>
      </c>
      <c r="F148" s="1321">
        <f>SUM(F136:F147)</f>
        <v>124046051</v>
      </c>
      <c r="G148" s="1321">
        <f t="shared" ref="G148:I148" si="121">SUM(G136:G147)</f>
        <v>78024454</v>
      </c>
      <c r="H148" s="1321">
        <f t="shared" si="121"/>
        <v>34325779</v>
      </c>
      <c r="I148" s="1321">
        <f t="shared" si="121"/>
        <v>31064939</v>
      </c>
      <c r="J148" s="1321">
        <f t="shared" si="120"/>
        <v>1482404051</v>
      </c>
      <c r="K148" s="1321">
        <f>SUM(K136:K147)</f>
        <v>0</v>
      </c>
      <c r="L148" s="1321">
        <f>SUM(L136:L147)</f>
        <v>0</v>
      </c>
    </row>
    <row r="149" spans="1:15" ht="14.25" hidden="1" customHeight="1">
      <c r="A149" s="1322"/>
      <c r="B149" s="1323">
        <f t="shared" ref="B149:F149" si="122">+B148-B91</f>
        <v>0</v>
      </c>
      <c r="C149" s="1323">
        <f t="shared" si="122"/>
        <v>0</v>
      </c>
      <c r="D149" s="1323">
        <f t="shared" si="122"/>
        <v>0</v>
      </c>
      <c r="E149" s="1323">
        <f t="shared" si="122"/>
        <v>0</v>
      </c>
      <c r="F149" s="1323">
        <f t="shared" si="122"/>
        <v>0</v>
      </c>
      <c r="G149" s="1323">
        <f t="shared" ref="G149:I149" si="123">+G148-G91</f>
        <v>0</v>
      </c>
      <c r="H149" s="1323">
        <f t="shared" si="123"/>
        <v>0</v>
      </c>
      <c r="I149" s="1323">
        <f t="shared" si="123"/>
        <v>0</v>
      </c>
      <c r="J149" s="1323">
        <f>+J148-J91</f>
        <v>0</v>
      </c>
      <c r="K149" s="1321"/>
      <c r="L149" s="1321"/>
    </row>
    <row r="150" spans="1:15" ht="13.5" hidden="1" thickBot="1">
      <c r="A150" s="1160"/>
      <c r="B150" s="1324" t="s">
        <v>453</v>
      </c>
      <c r="C150" s="1277" t="s">
        <v>5</v>
      </c>
      <c r="D150" s="1278" t="s">
        <v>6</v>
      </c>
      <c r="E150" s="1278" t="s">
        <v>207</v>
      </c>
      <c r="F150" s="1278" t="s">
        <v>209</v>
      </c>
      <c r="G150" s="1278" t="s">
        <v>254</v>
      </c>
      <c r="H150" s="1278" t="s">
        <v>255</v>
      </c>
      <c r="I150" s="1278" t="s">
        <v>253</v>
      </c>
      <c r="J150" s="1279" t="s">
        <v>46</v>
      </c>
      <c r="K150" s="1325" t="s">
        <v>389</v>
      </c>
      <c r="L150" s="1325" t="s">
        <v>539</v>
      </c>
    </row>
    <row r="151" spans="1:15" ht="3" hidden="1" customHeight="1">
      <c r="A151" s="3003" t="s">
        <v>499</v>
      </c>
      <c r="B151" s="1327"/>
      <c r="C151" s="1328"/>
      <c r="D151" s="1326"/>
      <c r="E151" s="1326"/>
      <c r="F151" s="1326"/>
      <c r="G151" s="1326"/>
      <c r="H151" s="1326"/>
      <c r="I151" s="1326"/>
      <c r="J151" s="1326"/>
      <c r="K151" s="1329"/>
      <c r="L151" s="1329"/>
    </row>
    <row r="152" spans="1:15" ht="27" hidden="1" customHeight="1" thickBot="1">
      <c r="A152" s="3004"/>
      <c r="B152" s="1330">
        <f>SUM(B153:B163)</f>
        <v>715753489.29999995</v>
      </c>
      <c r="C152" s="1331">
        <f t="shared" ref="C152:D152" si="124">SUM(C153:C163)</f>
        <v>495681603</v>
      </c>
      <c r="D152" s="1330">
        <f t="shared" si="124"/>
        <v>829501327</v>
      </c>
      <c r="E152" s="1330">
        <f t="shared" ref="E152:L152" si="125">SUM(E153:E163)</f>
        <v>425138901</v>
      </c>
      <c r="F152" s="1330">
        <f t="shared" si="125"/>
        <v>291078526</v>
      </c>
      <c r="G152" s="1330">
        <f t="shared" si="125"/>
        <v>91530665</v>
      </c>
      <c r="H152" s="1330">
        <f t="shared" si="125"/>
        <v>43816214</v>
      </c>
      <c r="I152" s="1330">
        <f t="shared" si="125"/>
        <v>39249562</v>
      </c>
      <c r="J152" s="1330">
        <f t="shared" si="125"/>
        <v>2966057734.3000002</v>
      </c>
      <c r="K152" s="1332">
        <f t="shared" ref="K152" si="126">SUM(K153:K163)</f>
        <v>2162986580</v>
      </c>
      <c r="L152" s="1332">
        <f t="shared" si="125"/>
        <v>1754622642</v>
      </c>
    </row>
    <row r="153" spans="1:15" hidden="1">
      <c r="A153" s="1333" t="s">
        <v>49</v>
      </c>
      <c r="B153" s="1336">
        <v>411701729.30000001</v>
      </c>
      <c r="C153" s="1337">
        <v>188403651</v>
      </c>
      <c r="D153" s="1334">
        <v>280445212</v>
      </c>
      <c r="E153" s="1334">
        <v>209477571</v>
      </c>
      <c r="F153" s="1334">
        <v>189062218</v>
      </c>
      <c r="G153" s="1334">
        <v>15542774</v>
      </c>
      <c r="H153" s="1334">
        <v>9519854</v>
      </c>
      <c r="I153" s="1334">
        <v>8545658</v>
      </c>
      <c r="J153" s="1334">
        <v>1347006114.3</v>
      </c>
      <c r="K153" s="1335">
        <v>922939361</v>
      </c>
      <c r="L153" s="1335">
        <v>746900734</v>
      </c>
      <c r="N153" s="1172"/>
      <c r="O153" s="1172"/>
    </row>
    <row r="154" spans="1:15" hidden="1">
      <c r="A154" s="1333" t="s">
        <v>50</v>
      </c>
      <c r="B154" s="1336">
        <v>33000296</v>
      </c>
      <c r="C154" s="1337">
        <v>8629331</v>
      </c>
      <c r="D154" s="1334">
        <v>15181227</v>
      </c>
      <c r="E154" s="1334">
        <v>13811745</v>
      </c>
      <c r="F154" s="1334">
        <v>5936412</v>
      </c>
      <c r="G154" s="1334">
        <v>3566880</v>
      </c>
      <c r="H154" s="1334">
        <v>1472245</v>
      </c>
      <c r="I154" s="1334">
        <v>0</v>
      </c>
      <c r="J154" s="1334">
        <v>81598136</v>
      </c>
      <c r="K154" s="1335">
        <v>37586137</v>
      </c>
      <c r="L154" s="1335">
        <v>39968509</v>
      </c>
      <c r="N154" s="1172"/>
      <c r="O154" s="1172"/>
    </row>
    <row r="155" spans="1:15" hidden="1">
      <c r="A155" s="160" t="s">
        <v>13</v>
      </c>
      <c r="B155" s="1336">
        <v>29759317</v>
      </c>
      <c r="C155" s="1337">
        <v>27684118</v>
      </c>
      <c r="D155" s="1334">
        <v>2941487</v>
      </c>
      <c r="E155" s="1334">
        <v>1178198</v>
      </c>
      <c r="F155" s="1334">
        <v>1243362</v>
      </c>
      <c r="G155" s="1334">
        <v>585076</v>
      </c>
      <c r="H155" s="1334">
        <v>585076</v>
      </c>
      <c r="I155" s="1334">
        <v>494707</v>
      </c>
      <c r="J155" s="1334">
        <v>64471341</v>
      </c>
      <c r="K155" s="1335">
        <v>34712457</v>
      </c>
      <c r="L155" s="1335">
        <v>7027906</v>
      </c>
      <c r="N155" s="1172"/>
      <c r="O155" s="1172"/>
    </row>
    <row r="156" spans="1:15" ht="24" hidden="1">
      <c r="A156" s="160" t="s">
        <v>51</v>
      </c>
      <c r="B156" s="1336">
        <v>0</v>
      </c>
      <c r="C156" s="1337">
        <v>4004443</v>
      </c>
      <c r="D156" s="1334">
        <v>18864240</v>
      </c>
      <c r="E156" s="1334">
        <v>60161157</v>
      </c>
      <c r="F156" s="1334">
        <v>20384000</v>
      </c>
      <c r="G156" s="1334">
        <v>40060800</v>
      </c>
      <c r="H156" s="1334">
        <v>586160</v>
      </c>
      <c r="I156" s="1334">
        <v>0</v>
      </c>
      <c r="J156" s="1334">
        <v>144060800</v>
      </c>
      <c r="K156" s="1335">
        <v>144060800</v>
      </c>
      <c r="L156" s="1335">
        <v>140056357</v>
      </c>
      <c r="N156" s="1172"/>
      <c r="O156" s="1172"/>
    </row>
    <row r="157" spans="1:15" hidden="1">
      <c r="A157" s="160" t="s">
        <v>15</v>
      </c>
      <c r="B157" s="1336">
        <v>24092686</v>
      </c>
      <c r="C157" s="1337">
        <v>6619850</v>
      </c>
      <c r="D157" s="1334">
        <v>5076165</v>
      </c>
      <c r="E157" s="1334">
        <v>0</v>
      </c>
      <c r="F157" s="1334">
        <v>0</v>
      </c>
      <c r="G157" s="1334">
        <v>0</v>
      </c>
      <c r="H157" s="1334">
        <v>0</v>
      </c>
      <c r="I157" s="1334">
        <v>0</v>
      </c>
      <c r="J157" s="1334">
        <v>35788701</v>
      </c>
      <c r="K157" s="1335">
        <v>14413008</v>
      </c>
      <c r="L157" s="1335">
        <v>5076165</v>
      </c>
      <c r="N157" s="1172"/>
      <c r="O157" s="1172"/>
    </row>
    <row r="158" spans="1:15" hidden="1">
      <c r="A158" s="160" t="s">
        <v>52</v>
      </c>
      <c r="B158" s="1336">
        <v>2196030</v>
      </c>
      <c r="C158" s="1337">
        <v>13327703</v>
      </c>
      <c r="D158" s="1334">
        <v>27721464</v>
      </c>
      <c r="E158" s="1334">
        <v>15363715</v>
      </c>
      <c r="F158" s="1334">
        <v>14182860</v>
      </c>
      <c r="G158" s="1334">
        <v>0</v>
      </c>
      <c r="H158" s="1334">
        <v>0</v>
      </c>
      <c r="I158" s="1334">
        <v>0</v>
      </c>
      <c r="J158" s="1334">
        <v>72791772</v>
      </c>
      <c r="K158" s="1335">
        <v>70595742</v>
      </c>
      <c r="L158" s="1335">
        <v>57268039</v>
      </c>
      <c r="N158" s="1172"/>
      <c r="O158" s="1172"/>
    </row>
    <row r="159" spans="1:15" hidden="1">
      <c r="A159" s="160" t="s">
        <v>20</v>
      </c>
      <c r="B159" s="1336">
        <v>7873856</v>
      </c>
      <c r="C159" s="1337">
        <v>8011183</v>
      </c>
      <c r="D159" s="1334">
        <v>22432642</v>
      </c>
      <c r="E159" s="1334">
        <v>7969850</v>
      </c>
      <c r="F159" s="1334">
        <v>183492</v>
      </c>
      <c r="G159" s="1334">
        <v>0</v>
      </c>
      <c r="H159" s="1334">
        <v>0</v>
      </c>
      <c r="I159" s="1334">
        <v>0</v>
      </c>
      <c r="J159" s="1334">
        <v>46471023</v>
      </c>
      <c r="K159" s="1335">
        <v>38568067</v>
      </c>
      <c r="L159" s="1335">
        <v>30585984</v>
      </c>
      <c r="N159" s="1172"/>
      <c r="O159" s="1172"/>
    </row>
    <row r="160" spans="1:15" hidden="1">
      <c r="A160" s="160" t="s">
        <v>17</v>
      </c>
      <c r="B160" s="1336">
        <v>11379681</v>
      </c>
      <c r="C160" s="1337">
        <v>0</v>
      </c>
      <c r="D160" s="1334">
        <v>0</v>
      </c>
      <c r="E160" s="1334">
        <v>0</v>
      </c>
      <c r="F160" s="1334">
        <v>0</v>
      </c>
      <c r="G160" s="1334">
        <v>0</v>
      </c>
      <c r="H160" s="1334">
        <v>0</v>
      </c>
      <c r="I160" s="1334">
        <v>0</v>
      </c>
      <c r="J160" s="1334">
        <v>11379681</v>
      </c>
      <c r="K160" s="1335">
        <v>0</v>
      </c>
      <c r="L160" s="1335">
        <v>0</v>
      </c>
      <c r="N160" s="1172"/>
      <c r="O160" s="1172"/>
    </row>
    <row r="161" spans="1:15" hidden="1">
      <c r="A161" s="1338" t="s">
        <v>53</v>
      </c>
      <c r="B161" s="1336">
        <v>0</v>
      </c>
      <c r="C161" s="1337">
        <v>0</v>
      </c>
      <c r="D161" s="1334">
        <v>0</v>
      </c>
      <c r="E161" s="1334">
        <v>0</v>
      </c>
      <c r="F161" s="1334">
        <v>0</v>
      </c>
      <c r="G161" s="1334">
        <v>0</v>
      </c>
      <c r="H161" s="1334">
        <v>0</v>
      </c>
      <c r="I161" s="1334">
        <v>0</v>
      </c>
      <c r="J161" s="1334">
        <v>0</v>
      </c>
      <c r="K161" s="1335">
        <v>0</v>
      </c>
      <c r="L161" s="1335">
        <v>0</v>
      </c>
      <c r="M161" s="233"/>
      <c r="N161" s="1172"/>
      <c r="O161" s="1172"/>
    </row>
    <row r="162" spans="1:15" hidden="1">
      <c r="A162" s="1339" t="s">
        <v>19</v>
      </c>
      <c r="B162" s="1336">
        <v>0</v>
      </c>
      <c r="C162" s="1341">
        <v>0</v>
      </c>
      <c r="D162" s="1340">
        <v>0</v>
      </c>
      <c r="E162" s="1340">
        <v>0</v>
      </c>
      <c r="F162" s="1340">
        <v>0</v>
      </c>
      <c r="G162" s="1340">
        <v>0</v>
      </c>
      <c r="H162" s="1340">
        <v>0</v>
      </c>
      <c r="I162" s="1340">
        <v>0</v>
      </c>
      <c r="J162" s="1334">
        <v>0</v>
      </c>
      <c r="K162" s="1335">
        <v>0</v>
      </c>
      <c r="L162" s="1335">
        <v>0</v>
      </c>
      <c r="N162" s="1172"/>
      <c r="O162" s="1172"/>
    </row>
    <row r="163" spans="1:15" ht="13.5" hidden="1" thickBot="1">
      <c r="A163" s="736" t="s">
        <v>21</v>
      </c>
      <c r="B163" s="1342">
        <v>195749894</v>
      </c>
      <c r="C163" s="1345">
        <v>239001324</v>
      </c>
      <c r="D163" s="1342">
        <v>456838890</v>
      </c>
      <c r="E163" s="1342">
        <v>117176665</v>
      </c>
      <c r="F163" s="1342">
        <v>60086182</v>
      </c>
      <c r="G163" s="1342">
        <v>31775135</v>
      </c>
      <c r="H163" s="1342">
        <v>31652879</v>
      </c>
      <c r="I163" s="1342">
        <v>30209197</v>
      </c>
      <c r="J163" s="1342">
        <v>1162490166</v>
      </c>
      <c r="K163" s="1343">
        <v>900111008</v>
      </c>
      <c r="L163" s="1343">
        <v>727738948</v>
      </c>
      <c r="N163" s="1172"/>
      <c r="O163" s="1172"/>
    </row>
    <row r="164" spans="1:15" hidden="1">
      <c r="A164" s="1346"/>
      <c r="B164" s="1348">
        <f t="shared" ref="B164:J164" si="127">SUM(B153:B163)</f>
        <v>715753489.29999995</v>
      </c>
      <c r="C164" s="1347">
        <f t="shared" ref="C164:I164" si="128">SUM(C153:C163)</f>
        <v>495681603</v>
      </c>
      <c r="D164" s="1347">
        <f t="shared" si="128"/>
        <v>829501327</v>
      </c>
      <c r="E164" s="1347">
        <f t="shared" si="128"/>
        <v>425138901</v>
      </c>
      <c r="F164" s="1347">
        <f t="shared" si="128"/>
        <v>291078526</v>
      </c>
      <c r="G164" s="1347">
        <f t="shared" si="128"/>
        <v>91530665</v>
      </c>
      <c r="H164" s="1347">
        <f t="shared" si="128"/>
        <v>43816214</v>
      </c>
      <c r="I164" s="1347">
        <f t="shared" si="128"/>
        <v>39249562</v>
      </c>
      <c r="J164" s="1347">
        <f t="shared" si="127"/>
        <v>2966057734.3000002</v>
      </c>
      <c r="K164" s="1347">
        <f>SUM(K153:K163)</f>
        <v>2162986580</v>
      </c>
      <c r="L164" s="1347">
        <f>SUM(L153:L163)</f>
        <v>1754622642</v>
      </c>
    </row>
    <row r="165" spans="1:15" hidden="1">
      <c r="A165" s="1349" t="s">
        <v>42</v>
      </c>
      <c r="B165" s="1351">
        <f t="shared" ref="B165:L165" si="129">+B164-B152</f>
        <v>0</v>
      </c>
      <c r="C165" s="1350">
        <f>+C164-C152</f>
        <v>0</v>
      </c>
      <c r="D165" s="1350">
        <f>+D164-D152</f>
        <v>0</v>
      </c>
      <c r="E165" s="1350">
        <f>+E164-E152</f>
        <v>0</v>
      </c>
      <c r="F165" s="1350">
        <f>+F164-F152</f>
        <v>0</v>
      </c>
      <c r="G165" s="1350"/>
      <c r="H165" s="1350"/>
      <c r="I165" s="1350"/>
      <c r="J165" s="1350">
        <f t="shared" si="129"/>
        <v>0</v>
      </c>
      <c r="K165" s="1350">
        <f t="shared" ref="K165" si="130">+K164-K152</f>
        <v>0</v>
      </c>
      <c r="L165" s="1350">
        <f t="shared" si="129"/>
        <v>0</v>
      </c>
    </row>
    <row r="166" spans="1:15" ht="3.75" hidden="1" customHeight="1" thickBot="1">
      <c r="A166" s="1307"/>
      <c r="B166" s="1352"/>
      <c r="C166" s="1352"/>
      <c r="D166" s="1352"/>
      <c r="E166" s="1352"/>
      <c r="F166" s="1352"/>
      <c r="G166" s="1352"/>
      <c r="H166" s="1352"/>
      <c r="I166" s="1352"/>
      <c r="J166" s="1352"/>
    </row>
    <row r="167" spans="1:15" ht="32.25" hidden="1" customHeight="1" thickBot="1">
      <c r="A167" s="1353" t="s">
        <v>500</v>
      </c>
      <c r="B167" s="1354">
        <f>SUM(B168:B179)</f>
        <v>309501515</v>
      </c>
      <c r="C167" s="1355">
        <f t="shared" ref="C167:J167" si="131">SUM(C168:C179)</f>
        <v>292647913</v>
      </c>
      <c r="D167" s="1354">
        <f t="shared" si="131"/>
        <v>542647917</v>
      </c>
      <c r="E167" s="1354">
        <f>SUM(E168:E179)</f>
        <v>243790138</v>
      </c>
      <c r="F167" s="1354">
        <f>SUM(F168:F179)</f>
        <v>119433301</v>
      </c>
      <c r="G167" s="1354">
        <f>SUM(G168:G179)</f>
        <v>76596207</v>
      </c>
      <c r="H167" s="1354">
        <f>SUM(H168:H179)</f>
        <v>34325779</v>
      </c>
      <c r="I167" s="1354">
        <f>SUM(I168:I179)</f>
        <v>31064939</v>
      </c>
      <c r="J167" s="1354">
        <f t="shared" si="131"/>
        <v>1655047453</v>
      </c>
      <c r="K167" s="1356"/>
      <c r="L167" s="1356"/>
    </row>
    <row r="168" spans="1:15" hidden="1">
      <c r="A168" s="1333" t="s">
        <v>54</v>
      </c>
      <c r="B168" s="1357">
        <v>0</v>
      </c>
      <c r="C168" s="1358">
        <v>0</v>
      </c>
      <c r="D168" s="1357">
        <v>0</v>
      </c>
      <c r="E168" s="1357">
        <v>0</v>
      </c>
      <c r="F168" s="1357">
        <v>0</v>
      </c>
      <c r="G168" s="1359">
        <v>0</v>
      </c>
      <c r="H168" s="1359">
        <v>0</v>
      </c>
      <c r="I168" s="1359">
        <v>0</v>
      </c>
      <c r="J168" s="1334">
        <v>0</v>
      </c>
      <c r="K168" s="1360"/>
      <c r="L168" s="1360"/>
    </row>
    <row r="169" spans="1:15" hidden="1">
      <c r="A169" s="160" t="s">
        <v>13</v>
      </c>
      <c r="B169" s="1334">
        <v>29729045</v>
      </c>
      <c r="C169" s="1337">
        <v>27640844</v>
      </c>
      <c r="D169" s="1334">
        <v>2988730</v>
      </c>
      <c r="E169" s="1334">
        <v>1178197</v>
      </c>
      <c r="F169" s="1334">
        <v>1243362</v>
      </c>
      <c r="G169" s="1334">
        <v>611380</v>
      </c>
      <c r="H169" s="1334">
        <v>585076</v>
      </c>
      <c r="I169" s="1334">
        <v>494707</v>
      </c>
      <c r="J169" s="1334">
        <v>64471341</v>
      </c>
      <c r="K169" s="1360"/>
      <c r="L169" s="1360"/>
    </row>
    <row r="170" spans="1:15" ht="14.25" hidden="1" customHeight="1">
      <c r="A170" s="160" t="s">
        <v>15</v>
      </c>
      <c r="B170" s="1334">
        <v>24092686</v>
      </c>
      <c r="C170" s="1337">
        <v>6619850</v>
      </c>
      <c r="D170" s="1334">
        <v>5076165</v>
      </c>
      <c r="E170" s="1334">
        <v>0</v>
      </c>
      <c r="F170" s="1334">
        <v>0</v>
      </c>
      <c r="G170" s="1334">
        <v>0</v>
      </c>
      <c r="H170" s="1334">
        <v>0</v>
      </c>
      <c r="I170" s="1334">
        <v>0</v>
      </c>
      <c r="J170" s="1334">
        <v>35788701</v>
      </c>
      <c r="K170" s="1360"/>
      <c r="L170" s="1360"/>
    </row>
    <row r="171" spans="1:15" ht="14.25" hidden="1" customHeight="1">
      <c r="A171" s="160" t="s">
        <v>52</v>
      </c>
      <c r="B171" s="1334">
        <v>30968091</v>
      </c>
      <c r="C171" s="1337">
        <v>11743410</v>
      </c>
      <c r="D171" s="1334">
        <v>9537701</v>
      </c>
      <c r="E171" s="1334">
        <v>12123285</v>
      </c>
      <c r="F171" s="1334">
        <v>8419285</v>
      </c>
      <c r="G171" s="1334">
        <v>0</v>
      </c>
      <c r="H171" s="1334">
        <v>0</v>
      </c>
      <c r="I171" s="1334">
        <v>0</v>
      </c>
      <c r="J171" s="1334">
        <v>72791772</v>
      </c>
      <c r="K171" s="1360"/>
      <c r="L171" s="1360"/>
    </row>
    <row r="172" spans="1:15" hidden="1">
      <c r="A172" s="1333" t="s">
        <v>12</v>
      </c>
      <c r="B172" s="1334">
        <v>23178951</v>
      </c>
      <c r="C172" s="1337">
        <v>13998727</v>
      </c>
      <c r="D172" s="1334">
        <v>22337859</v>
      </c>
      <c r="E172" s="1334">
        <v>28644340</v>
      </c>
      <c r="F172" s="1334">
        <v>25783363</v>
      </c>
      <c r="G172" s="1334">
        <v>2000000</v>
      </c>
      <c r="H172" s="1334">
        <v>1650729</v>
      </c>
      <c r="I172" s="1334">
        <v>0</v>
      </c>
      <c r="J172" s="1334">
        <v>117593969</v>
      </c>
      <c r="K172" s="1360"/>
      <c r="L172" s="1360"/>
    </row>
    <row r="173" spans="1:15" hidden="1">
      <c r="A173" s="160" t="s">
        <v>57</v>
      </c>
      <c r="B173" s="1334">
        <v>0</v>
      </c>
      <c r="C173" s="1337">
        <v>4004443</v>
      </c>
      <c r="D173" s="1334">
        <v>18864240</v>
      </c>
      <c r="E173" s="1334">
        <v>60161157</v>
      </c>
      <c r="F173" s="1334">
        <v>20384000</v>
      </c>
      <c r="G173" s="1334">
        <v>40060800</v>
      </c>
      <c r="H173" s="1334">
        <v>586160</v>
      </c>
      <c r="I173" s="1334">
        <v>0</v>
      </c>
      <c r="J173" s="1334">
        <v>144060800</v>
      </c>
      <c r="K173" s="1360"/>
      <c r="L173" s="1360"/>
    </row>
    <row r="174" spans="1:15" hidden="1">
      <c r="A174" s="160" t="s">
        <v>58</v>
      </c>
      <c r="B174" s="1334">
        <v>0</v>
      </c>
      <c r="C174" s="1337">
        <v>0</v>
      </c>
      <c r="D174" s="1334">
        <v>0</v>
      </c>
      <c r="E174" s="1334">
        <v>0</v>
      </c>
      <c r="F174" s="1334">
        <v>0</v>
      </c>
      <c r="G174" s="1334">
        <v>0</v>
      </c>
      <c r="H174" s="1334">
        <v>0</v>
      </c>
      <c r="I174" s="1334">
        <v>0</v>
      </c>
      <c r="J174" s="1334">
        <v>0</v>
      </c>
      <c r="K174" s="1360"/>
      <c r="L174" s="1360"/>
    </row>
    <row r="175" spans="1:15" hidden="1">
      <c r="A175" s="160" t="s">
        <v>17</v>
      </c>
      <c r="B175" s="1334">
        <v>11379681</v>
      </c>
      <c r="C175" s="1337">
        <v>0</v>
      </c>
      <c r="D175" s="1334">
        <v>0</v>
      </c>
      <c r="E175" s="1334">
        <v>0</v>
      </c>
      <c r="F175" s="1334">
        <v>0</v>
      </c>
      <c r="G175" s="1334">
        <v>0</v>
      </c>
      <c r="H175" s="1334">
        <v>0</v>
      </c>
      <c r="I175" s="1334">
        <v>0</v>
      </c>
      <c r="J175" s="1334">
        <v>11379681</v>
      </c>
      <c r="K175" s="1360"/>
      <c r="L175" s="1360"/>
    </row>
    <row r="176" spans="1:15" ht="24" hidden="1">
      <c r="A176" s="160" t="s">
        <v>26</v>
      </c>
      <c r="B176" s="1361">
        <v>0</v>
      </c>
      <c r="C176" s="1362">
        <v>0</v>
      </c>
      <c r="D176" s="1361">
        <v>0</v>
      </c>
      <c r="E176" s="1361">
        <v>0</v>
      </c>
      <c r="F176" s="1361">
        <v>0</v>
      </c>
      <c r="G176" s="1361">
        <v>0</v>
      </c>
      <c r="H176" s="1361">
        <v>0</v>
      </c>
      <c r="I176" s="1361">
        <v>0</v>
      </c>
      <c r="J176" s="1334">
        <v>0</v>
      </c>
      <c r="K176" s="1363"/>
      <c r="L176" s="1363"/>
    </row>
    <row r="177" spans="1:12" ht="13.5" hidden="1" customHeight="1">
      <c r="A177" s="160" t="s">
        <v>20</v>
      </c>
      <c r="B177" s="1334">
        <v>9417736</v>
      </c>
      <c r="C177" s="1337">
        <v>622052</v>
      </c>
      <c r="D177" s="1334">
        <v>18889433</v>
      </c>
      <c r="E177" s="1334">
        <v>14156094</v>
      </c>
      <c r="F177" s="1334">
        <v>3299388</v>
      </c>
      <c r="G177" s="1334">
        <v>86320</v>
      </c>
      <c r="H177" s="1334">
        <v>0</v>
      </c>
      <c r="I177" s="1334">
        <v>0</v>
      </c>
      <c r="J177" s="1334">
        <v>46471023</v>
      </c>
      <c r="K177" s="1360"/>
      <c r="L177" s="1360"/>
    </row>
    <row r="178" spans="1:12" ht="14.25" hidden="1" customHeight="1">
      <c r="A178" s="1364" t="s">
        <v>19</v>
      </c>
      <c r="B178" s="1334">
        <v>0</v>
      </c>
      <c r="C178" s="1341">
        <v>0</v>
      </c>
      <c r="D178" s="1340">
        <v>0</v>
      </c>
      <c r="E178" s="1340">
        <v>0</v>
      </c>
      <c r="F178" s="1340">
        <v>0</v>
      </c>
      <c r="G178" s="1340">
        <v>0</v>
      </c>
      <c r="H178" s="1340">
        <v>0</v>
      </c>
      <c r="I178" s="1340">
        <v>0</v>
      </c>
      <c r="J178" s="1334">
        <v>0</v>
      </c>
      <c r="K178" s="1360"/>
      <c r="L178" s="1360"/>
    </row>
    <row r="179" spans="1:12" ht="13.5" hidden="1" thickBot="1">
      <c r="A179" s="736" t="s">
        <v>21</v>
      </c>
      <c r="B179" s="1344">
        <v>180735325</v>
      </c>
      <c r="C179" s="1345">
        <v>228018587</v>
      </c>
      <c r="D179" s="2096">
        <v>464953789</v>
      </c>
      <c r="E179" s="2096">
        <v>127527065</v>
      </c>
      <c r="F179" s="2096">
        <v>60303903</v>
      </c>
      <c r="G179" s="2096">
        <v>33837707</v>
      </c>
      <c r="H179" s="2096">
        <v>31503814</v>
      </c>
      <c r="I179" s="2096">
        <v>30570232</v>
      </c>
      <c r="J179" s="2096">
        <v>1162490166</v>
      </c>
      <c r="K179" s="1360"/>
      <c r="L179" s="1360"/>
    </row>
    <row r="180" spans="1:12" hidden="1">
      <c r="A180" s="1365"/>
      <c r="B180" s="2094">
        <f t="shared" ref="B180:J180" si="132">SUM(B168:B179)</f>
        <v>309501515</v>
      </c>
      <c r="C180" s="2095">
        <f t="shared" si="132"/>
        <v>292647913</v>
      </c>
      <c r="D180" s="2095">
        <f t="shared" si="132"/>
        <v>542647917</v>
      </c>
      <c r="E180" s="2095">
        <f t="shared" si="132"/>
        <v>243790138</v>
      </c>
      <c r="F180" s="2095">
        <f t="shared" si="132"/>
        <v>119433301</v>
      </c>
      <c r="G180" s="2095">
        <f t="shared" si="132"/>
        <v>76596207</v>
      </c>
      <c r="H180" s="2095">
        <f t="shared" si="132"/>
        <v>34325779</v>
      </c>
      <c r="I180" s="2095">
        <f t="shared" si="132"/>
        <v>31064939</v>
      </c>
      <c r="J180" s="1366">
        <f t="shared" si="132"/>
        <v>1655047453</v>
      </c>
      <c r="K180" s="1367"/>
      <c r="L180" s="1367"/>
    </row>
    <row r="181" spans="1:12" ht="17.25" hidden="1" customHeight="1" thickBot="1">
      <c r="A181" s="1368"/>
      <c r="B181" s="1324" t="s">
        <v>453</v>
      </c>
      <c r="C181" s="1277" t="s">
        <v>5</v>
      </c>
      <c r="D181" s="1278" t="s">
        <v>6</v>
      </c>
      <c r="E181" s="1278" t="s">
        <v>207</v>
      </c>
      <c r="F181" s="1278" t="s">
        <v>209</v>
      </c>
      <c r="G181" s="1278" t="s">
        <v>254</v>
      </c>
      <c r="H181" s="1278" t="s">
        <v>255</v>
      </c>
      <c r="I181" s="1278" t="s">
        <v>253</v>
      </c>
      <c r="J181" s="1279" t="s">
        <v>46</v>
      </c>
    </row>
    <row r="182" spans="1:12" ht="9" hidden="1" customHeight="1">
      <c r="A182" s="1369"/>
      <c r="B182" s="1371"/>
      <c r="C182" s="1372"/>
      <c r="D182" s="1370"/>
      <c r="E182" s="1370"/>
      <c r="F182" s="1370"/>
      <c r="G182" s="1370"/>
      <c r="H182" s="1370"/>
      <c r="I182" s="1370"/>
      <c r="J182" s="1370"/>
      <c r="K182" s="1373"/>
      <c r="L182" s="1373"/>
    </row>
    <row r="183" spans="1:12" ht="13.5" hidden="1" thickBot="1">
      <c r="A183" s="1374" t="s">
        <v>59</v>
      </c>
      <c r="B183" s="1375">
        <f>+B121-B152</f>
        <v>-211880745.99999994</v>
      </c>
      <c r="C183" s="1376">
        <f t="shared" ref="C183:J183" si="133">+C121-C152</f>
        <v>-8519788</v>
      </c>
      <c r="D183" s="1375">
        <f t="shared" si="133"/>
        <v>5171540</v>
      </c>
      <c r="E183" s="1375">
        <f t="shared" si="133"/>
        <v>5779042</v>
      </c>
      <c r="F183" s="1375">
        <f t="shared" si="133"/>
        <v>2970723</v>
      </c>
      <c r="G183" s="1375">
        <f t="shared" si="133"/>
        <v>0</v>
      </c>
      <c r="H183" s="1375">
        <f t="shared" si="133"/>
        <v>0</v>
      </c>
      <c r="I183" s="1375">
        <f t="shared" si="133"/>
        <v>0</v>
      </c>
      <c r="J183" s="1375">
        <f t="shared" si="133"/>
        <v>-206479229</v>
      </c>
      <c r="K183" s="1377"/>
      <c r="L183" s="1377"/>
    </row>
    <row r="184" spans="1:12" hidden="1">
      <c r="A184" s="1378" t="s">
        <v>12</v>
      </c>
      <c r="B184" s="1379">
        <f t="shared" ref="B184:J184" si="134">+B122-B153</f>
        <v>-9550887</v>
      </c>
      <c r="C184" s="1380">
        <f t="shared" si="134"/>
        <v>-2612746</v>
      </c>
      <c r="D184" s="1379">
        <f t="shared" si="134"/>
        <v>1832224</v>
      </c>
      <c r="E184" s="1379">
        <f t="shared" si="134"/>
        <v>882675</v>
      </c>
      <c r="F184" s="1379">
        <f t="shared" si="134"/>
        <v>516562</v>
      </c>
      <c r="G184" s="1379">
        <f t="shared" si="134"/>
        <v>0</v>
      </c>
      <c r="H184" s="1379">
        <f t="shared" si="134"/>
        <v>0</v>
      </c>
      <c r="I184" s="1379">
        <f t="shared" si="134"/>
        <v>0</v>
      </c>
      <c r="J184" s="1381">
        <f t="shared" si="134"/>
        <v>-8932172</v>
      </c>
      <c r="K184" s="1382"/>
      <c r="L184" s="1382"/>
    </row>
    <row r="185" spans="1:12" hidden="1">
      <c r="A185" s="1383" t="s">
        <v>50</v>
      </c>
      <c r="B185" s="1381">
        <f t="shared" ref="B185:J185" si="135">+B123-B154</f>
        <v>-24903655</v>
      </c>
      <c r="C185" s="1384">
        <f t="shared" si="135"/>
        <v>0</v>
      </c>
      <c r="D185" s="1381">
        <f t="shared" si="135"/>
        <v>0</v>
      </c>
      <c r="E185" s="1381">
        <f t="shared" si="135"/>
        <v>0</v>
      </c>
      <c r="F185" s="1381">
        <f t="shared" si="135"/>
        <v>0</v>
      </c>
      <c r="G185" s="1381">
        <f t="shared" si="135"/>
        <v>0</v>
      </c>
      <c r="H185" s="1381">
        <f t="shared" si="135"/>
        <v>0</v>
      </c>
      <c r="I185" s="1381">
        <f t="shared" si="135"/>
        <v>0</v>
      </c>
      <c r="J185" s="1381">
        <f t="shared" si="135"/>
        <v>-24903655</v>
      </c>
      <c r="K185" s="1382"/>
      <c r="L185" s="1382"/>
    </row>
    <row r="186" spans="1:12" hidden="1">
      <c r="A186" s="1383" t="s">
        <v>13</v>
      </c>
      <c r="B186" s="1381">
        <f t="shared" ref="B186:J186" si="136">+B124-B155</f>
        <v>-27148284</v>
      </c>
      <c r="C186" s="1384">
        <f t="shared" si="136"/>
        <v>-2303997</v>
      </c>
      <c r="D186" s="1381">
        <f t="shared" si="136"/>
        <v>71244</v>
      </c>
      <c r="E186" s="1381">
        <f t="shared" si="136"/>
        <v>55134</v>
      </c>
      <c r="F186" s="1381">
        <f t="shared" si="136"/>
        <v>0</v>
      </c>
      <c r="G186" s="1381">
        <f t="shared" si="136"/>
        <v>0</v>
      </c>
      <c r="H186" s="1381">
        <f t="shared" si="136"/>
        <v>0</v>
      </c>
      <c r="I186" s="1381">
        <f t="shared" si="136"/>
        <v>0</v>
      </c>
      <c r="J186" s="1381">
        <f t="shared" si="136"/>
        <v>-29325903</v>
      </c>
      <c r="K186" s="1382"/>
      <c r="L186" s="1382"/>
    </row>
    <row r="187" spans="1:12" hidden="1">
      <c r="A187" s="1383" t="s">
        <v>15</v>
      </c>
      <c r="B187" s="1381">
        <f t="shared" ref="B187:J187" si="137">+B126-B157</f>
        <v>-9924227</v>
      </c>
      <c r="C187" s="1384">
        <f t="shared" si="137"/>
        <v>0</v>
      </c>
      <c r="D187" s="1381">
        <f t="shared" si="137"/>
        <v>1360602</v>
      </c>
      <c r="E187" s="1381">
        <f t="shared" si="137"/>
        <v>0</v>
      </c>
      <c r="F187" s="1381">
        <f t="shared" si="137"/>
        <v>0</v>
      </c>
      <c r="G187" s="1381">
        <f t="shared" si="137"/>
        <v>0</v>
      </c>
      <c r="H187" s="1381">
        <f t="shared" si="137"/>
        <v>0</v>
      </c>
      <c r="I187" s="1381">
        <f t="shared" si="137"/>
        <v>0</v>
      </c>
      <c r="J187" s="1381">
        <f t="shared" si="137"/>
        <v>-8563625</v>
      </c>
      <c r="K187" s="1382"/>
      <c r="L187" s="1382"/>
    </row>
    <row r="188" spans="1:12" hidden="1">
      <c r="A188" s="1383" t="s">
        <v>52</v>
      </c>
      <c r="B188" s="1381">
        <f t="shared" ref="B188:J188" si="138">+B127-B158</f>
        <v>0</v>
      </c>
      <c r="C188" s="1384">
        <f t="shared" si="138"/>
        <v>0</v>
      </c>
      <c r="D188" s="1381">
        <f t="shared" si="138"/>
        <v>0</v>
      </c>
      <c r="E188" s="1381">
        <f t="shared" si="138"/>
        <v>0</v>
      </c>
      <c r="F188" s="1381">
        <f t="shared" si="138"/>
        <v>0</v>
      </c>
      <c r="G188" s="1381">
        <f t="shared" si="138"/>
        <v>0</v>
      </c>
      <c r="H188" s="1381">
        <f t="shared" si="138"/>
        <v>0</v>
      </c>
      <c r="I188" s="1381">
        <f t="shared" si="138"/>
        <v>0</v>
      </c>
      <c r="J188" s="1381">
        <f t="shared" si="138"/>
        <v>0</v>
      </c>
      <c r="K188" s="1382"/>
      <c r="L188" s="1382"/>
    </row>
    <row r="189" spans="1:12" hidden="1">
      <c r="A189" s="1383" t="s">
        <v>20</v>
      </c>
      <c r="B189" s="1381">
        <f>+B128-B159</f>
        <v>-24500</v>
      </c>
      <c r="C189" s="1384">
        <f t="shared" ref="C189:J190" si="139">+C128-C159</f>
        <v>-4000</v>
      </c>
      <c r="D189" s="1381">
        <f t="shared" si="139"/>
        <v>99540</v>
      </c>
      <c r="E189" s="1381">
        <f t="shared" ref="E189:I190" si="140">+E128-E159</f>
        <v>99540</v>
      </c>
      <c r="F189" s="1381">
        <f t="shared" si="140"/>
        <v>99540</v>
      </c>
      <c r="G189" s="1381">
        <f t="shared" si="140"/>
        <v>0</v>
      </c>
      <c r="H189" s="1381">
        <f t="shared" si="140"/>
        <v>0</v>
      </c>
      <c r="I189" s="1381">
        <f t="shared" si="140"/>
        <v>0</v>
      </c>
      <c r="J189" s="1381">
        <f t="shared" si="139"/>
        <v>270120</v>
      </c>
      <c r="K189" s="1382"/>
      <c r="L189" s="1382"/>
    </row>
    <row r="190" spans="1:12" hidden="1">
      <c r="A190" s="1383" t="s">
        <v>17</v>
      </c>
      <c r="B190" s="1381">
        <f>+B129-B160</f>
        <v>-11379681</v>
      </c>
      <c r="C190" s="1384">
        <f t="shared" si="139"/>
        <v>0</v>
      </c>
      <c r="D190" s="1381">
        <f t="shared" si="139"/>
        <v>0</v>
      </c>
      <c r="E190" s="1381">
        <f t="shared" si="140"/>
        <v>0</v>
      </c>
      <c r="F190" s="1381">
        <f t="shared" si="140"/>
        <v>0</v>
      </c>
      <c r="G190" s="1381">
        <f t="shared" si="140"/>
        <v>0</v>
      </c>
      <c r="H190" s="1381">
        <f t="shared" si="140"/>
        <v>0</v>
      </c>
      <c r="I190" s="1381">
        <f t="shared" si="140"/>
        <v>0</v>
      </c>
      <c r="J190" s="1381">
        <f t="shared" si="139"/>
        <v>-11379681</v>
      </c>
      <c r="K190" s="1382"/>
      <c r="L190" s="1382"/>
    </row>
    <row r="191" spans="1:12" hidden="1">
      <c r="A191" s="1383" t="s">
        <v>57</v>
      </c>
      <c r="B191" s="1381">
        <f t="shared" ref="B191:J191" si="141">+B125-B156</f>
        <v>0</v>
      </c>
      <c r="C191" s="1384">
        <f t="shared" si="141"/>
        <v>0</v>
      </c>
      <c r="D191" s="1381">
        <f t="shared" si="141"/>
        <v>0</v>
      </c>
      <c r="E191" s="1381">
        <f t="shared" si="141"/>
        <v>0</v>
      </c>
      <c r="F191" s="1381">
        <f t="shared" si="141"/>
        <v>0</v>
      </c>
      <c r="G191" s="1381">
        <f t="shared" si="141"/>
        <v>0</v>
      </c>
      <c r="H191" s="1381">
        <f t="shared" si="141"/>
        <v>0</v>
      </c>
      <c r="I191" s="1381">
        <f t="shared" si="141"/>
        <v>0</v>
      </c>
      <c r="J191" s="1381">
        <f t="shared" si="141"/>
        <v>0</v>
      </c>
      <c r="K191" s="1382"/>
      <c r="L191" s="1382"/>
    </row>
    <row r="192" spans="1:12" ht="13.5" hidden="1" customHeight="1">
      <c r="A192" s="1383" t="s">
        <v>56</v>
      </c>
      <c r="B192" s="1381">
        <f>+B130-B161</f>
        <v>0</v>
      </c>
      <c r="C192" s="1384">
        <f t="shared" ref="C192:J194" si="142">+C130-C161</f>
        <v>0</v>
      </c>
      <c r="D192" s="1381">
        <f t="shared" si="142"/>
        <v>0</v>
      </c>
      <c r="E192" s="1381">
        <f t="shared" ref="E192:I194" si="143">+E130-E161</f>
        <v>0</v>
      </c>
      <c r="F192" s="1381">
        <f t="shared" si="143"/>
        <v>0</v>
      </c>
      <c r="G192" s="1381">
        <f t="shared" si="143"/>
        <v>0</v>
      </c>
      <c r="H192" s="1381">
        <f t="shared" si="143"/>
        <v>0</v>
      </c>
      <c r="I192" s="1381">
        <f t="shared" si="143"/>
        <v>0</v>
      </c>
      <c r="J192" s="1381">
        <f t="shared" si="142"/>
        <v>0</v>
      </c>
      <c r="K192" s="1382"/>
      <c r="L192" s="1382"/>
    </row>
    <row r="193" spans="1:17" ht="13.5" hidden="1" customHeight="1">
      <c r="A193" s="1385" t="s">
        <v>19</v>
      </c>
      <c r="B193" s="1381">
        <f>+B131-B162</f>
        <v>0</v>
      </c>
      <c r="C193" s="1384">
        <f t="shared" si="142"/>
        <v>0</v>
      </c>
      <c r="D193" s="1381">
        <f t="shared" si="142"/>
        <v>0</v>
      </c>
      <c r="E193" s="1381">
        <f t="shared" si="143"/>
        <v>0</v>
      </c>
      <c r="F193" s="1381">
        <f t="shared" si="143"/>
        <v>0</v>
      </c>
      <c r="G193" s="1381">
        <f t="shared" si="143"/>
        <v>0</v>
      </c>
      <c r="H193" s="1381">
        <f t="shared" si="143"/>
        <v>0</v>
      </c>
      <c r="I193" s="1381">
        <f t="shared" si="143"/>
        <v>0</v>
      </c>
      <c r="J193" s="1381">
        <f t="shared" si="142"/>
        <v>0</v>
      </c>
      <c r="K193" s="1382"/>
      <c r="L193" s="1382"/>
    </row>
    <row r="194" spans="1:17" ht="13.5" hidden="1" thickBot="1">
      <c r="A194" s="1386" t="s">
        <v>21</v>
      </c>
      <c r="B194" s="1387">
        <f>+B132-B163</f>
        <v>-128949512</v>
      </c>
      <c r="C194" s="1388">
        <f t="shared" si="142"/>
        <v>-3599045</v>
      </c>
      <c r="D194" s="1387">
        <f t="shared" si="142"/>
        <v>1807930</v>
      </c>
      <c r="E194" s="1387">
        <f t="shared" si="143"/>
        <v>4741693</v>
      </c>
      <c r="F194" s="1387">
        <f t="shared" si="143"/>
        <v>2354621</v>
      </c>
      <c r="G194" s="1387">
        <f t="shared" si="143"/>
        <v>0</v>
      </c>
      <c r="H194" s="1387">
        <f t="shared" si="143"/>
        <v>0</v>
      </c>
      <c r="I194" s="1387">
        <f t="shared" si="143"/>
        <v>0</v>
      </c>
      <c r="J194" s="1381">
        <f>+J132-J163</f>
        <v>-123644313</v>
      </c>
      <c r="K194" s="1382">
        <f>+I194-I209</f>
        <v>0</v>
      </c>
      <c r="L194" s="1382">
        <f>+J194-J209</f>
        <v>0</v>
      </c>
      <c r="Q194" s="1172">
        <f>+J194-J209</f>
        <v>0</v>
      </c>
    </row>
    <row r="195" spans="1:17" ht="15" hidden="1" customHeight="1" thickBot="1">
      <c r="A195" s="1389"/>
      <c r="B195" s="1390">
        <f>SUM(B184:B194)</f>
        <v>-211880746</v>
      </c>
      <c r="C195" s="1391">
        <f t="shared" ref="C195:J195" si="144">SUM(C184:C194)</f>
        <v>-8519788</v>
      </c>
      <c r="D195" s="1390">
        <f t="shared" si="144"/>
        <v>5171540</v>
      </c>
      <c r="E195" s="1390">
        <f>SUM(E184:E194)</f>
        <v>5779042</v>
      </c>
      <c r="F195" s="1390">
        <f>SUM(F184:F194)</f>
        <v>2970723</v>
      </c>
      <c r="G195" s="1390">
        <f>SUM(G184:G194)</f>
        <v>0</v>
      </c>
      <c r="H195" s="1390">
        <f>SUM(H184:H194)</f>
        <v>0</v>
      </c>
      <c r="I195" s="1390">
        <f>SUM(I184:I194)</f>
        <v>0</v>
      </c>
      <c r="J195" s="1390">
        <f t="shared" si="144"/>
        <v>-206479229</v>
      </c>
      <c r="K195" s="1392"/>
      <c r="L195" s="1392"/>
    </row>
    <row r="196" spans="1:17" ht="14.25" hidden="1" customHeight="1" thickBot="1">
      <c r="A196" s="1393" t="s">
        <v>42</v>
      </c>
      <c r="B196" s="1395">
        <f t="shared" ref="B196:J196" si="145">+B121-B152</f>
        <v>-211880745.99999994</v>
      </c>
      <c r="C196" s="1394">
        <f t="shared" si="145"/>
        <v>-8519788</v>
      </c>
      <c r="D196" s="1394">
        <f t="shared" si="145"/>
        <v>5171540</v>
      </c>
      <c r="E196" s="1394">
        <f t="shared" si="145"/>
        <v>5779042</v>
      </c>
      <c r="F196" s="1394">
        <f t="shared" si="145"/>
        <v>2970723</v>
      </c>
      <c r="G196" s="1394">
        <f t="shared" si="145"/>
        <v>0</v>
      </c>
      <c r="H196" s="1394">
        <f t="shared" si="145"/>
        <v>0</v>
      </c>
      <c r="I196" s="1394">
        <f t="shared" si="145"/>
        <v>0</v>
      </c>
      <c r="J196" s="1394">
        <f t="shared" si="145"/>
        <v>-206479229</v>
      </c>
      <c r="K196" s="1394"/>
      <c r="L196" s="1394"/>
    </row>
    <row r="197" spans="1:17" ht="16.5" hidden="1" customHeight="1" thickBot="1">
      <c r="A197" s="1396" t="s">
        <v>60</v>
      </c>
      <c r="B197" s="1397">
        <f>+B135-B167</f>
        <v>-173675452</v>
      </c>
      <c r="C197" s="1398">
        <f t="shared" ref="C197:J209" si="146">+C135-C167</f>
        <v>-9060126</v>
      </c>
      <c r="D197" s="1397">
        <f t="shared" si="146"/>
        <v>2669303</v>
      </c>
      <c r="E197" s="1397">
        <f t="shared" ref="E197:I209" si="147">+E135-E167</f>
        <v>1381876</v>
      </c>
      <c r="F197" s="1397">
        <f t="shared" si="147"/>
        <v>4612750</v>
      </c>
      <c r="G197" s="1397">
        <f t="shared" si="147"/>
        <v>1428247</v>
      </c>
      <c r="H197" s="1397">
        <f t="shared" si="147"/>
        <v>0</v>
      </c>
      <c r="I197" s="1397">
        <f t="shared" si="147"/>
        <v>0</v>
      </c>
      <c r="J197" s="1397">
        <f>SUM(J198:J209)</f>
        <v>-172643402</v>
      </c>
      <c r="K197" s="1399"/>
      <c r="L197" s="1399"/>
    </row>
    <row r="198" spans="1:17" hidden="1">
      <c r="A198" s="1378" t="s">
        <v>54</v>
      </c>
      <c r="B198" s="1379">
        <f t="shared" ref="B198:B209" si="148">+B136-B168</f>
        <v>0</v>
      </c>
      <c r="C198" s="1380">
        <f t="shared" si="146"/>
        <v>0</v>
      </c>
      <c r="D198" s="1379">
        <f t="shared" si="146"/>
        <v>0</v>
      </c>
      <c r="E198" s="1379">
        <f t="shared" si="147"/>
        <v>0</v>
      </c>
      <c r="F198" s="1379">
        <f t="shared" si="147"/>
        <v>0</v>
      </c>
      <c r="G198" s="1379">
        <f t="shared" si="147"/>
        <v>0</v>
      </c>
      <c r="H198" s="1379">
        <f t="shared" si="147"/>
        <v>0</v>
      </c>
      <c r="I198" s="1379">
        <f t="shared" si="147"/>
        <v>0</v>
      </c>
      <c r="J198" s="1400">
        <f>+J136-J168</f>
        <v>0</v>
      </c>
      <c r="K198" s="1401"/>
      <c r="L198" s="1401"/>
    </row>
    <row r="199" spans="1:17" hidden="1">
      <c r="A199" s="1383" t="s">
        <v>13</v>
      </c>
      <c r="B199" s="1381">
        <f t="shared" si="148"/>
        <v>-27148284</v>
      </c>
      <c r="C199" s="1384">
        <f t="shared" si="146"/>
        <v>-2303997</v>
      </c>
      <c r="D199" s="1381">
        <f t="shared" si="146"/>
        <v>71244</v>
      </c>
      <c r="E199" s="1381">
        <f t="shared" si="147"/>
        <v>55134</v>
      </c>
      <c r="F199" s="1381">
        <f t="shared" si="147"/>
        <v>0</v>
      </c>
      <c r="G199" s="1381">
        <f t="shared" si="147"/>
        <v>0</v>
      </c>
      <c r="H199" s="1381">
        <f t="shared" si="147"/>
        <v>0</v>
      </c>
      <c r="I199" s="1381">
        <f t="shared" si="147"/>
        <v>0</v>
      </c>
      <c r="J199" s="1402">
        <f t="shared" si="146"/>
        <v>-29325903</v>
      </c>
      <c r="K199" s="1401"/>
      <c r="L199" s="1401"/>
    </row>
    <row r="200" spans="1:17" hidden="1">
      <c r="A200" s="1383" t="s">
        <v>15</v>
      </c>
      <c r="B200" s="1381">
        <f t="shared" si="148"/>
        <v>-9924227</v>
      </c>
      <c r="C200" s="1384">
        <f t="shared" si="146"/>
        <v>0</v>
      </c>
      <c r="D200" s="1381">
        <f t="shared" si="146"/>
        <v>1360602</v>
      </c>
      <c r="E200" s="1381">
        <f t="shared" si="147"/>
        <v>0</v>
      </c>
      <c r="F200" s="1381">
        <f t="shared" si="147"/>
        <v>0</v>
      </c>
      <c r="G200" s="1381">
        <f t="shared" si="147"/>
        <v>0</v>
      </c>
      <c r="H200" s="1381">
        <f t="shared" si="147"/>
        <v>0</v>
      </c>
      <c r="I200" s="1381">
        <f t="shared" si="147"/>
        <v>0</v>
      </c>
      <c r="J200" s="1402">
        <f t="shared" si="146"/>
        <v>-8563625</v>
      </c>
      <c r="K200" s="1401"/>
      <c r="L200" s="1401"/>
    </row>
    <row r="201" spans="1:17" hidden="1">
      <c r="A201" s="1383" t="s">
        <v>62</v>
      </c>
      <c r="B201" s="1381">
        <f t="shared" si="148"/>
        <v>0</v>
      </c>
      <c r="C201" s="1384">
        <f t="shared" si="146"/>
        <v>0</v>
      </c>
      <c r="D201" s="1381">
        <f t="shared" si="146"/>
        <v>0</v>
      </c>
      <c r="E201" s="1381">
        <f t="shared" si="147"/>
        <v>0</v>
      </c>
      <c r="F201" s="1381">
        <f t="shared" si="147"/>
        <v>0</v>
      </c>
      <c r="G201" s="1381">
        <f t="shared" si="147"/>
        <v>0</v>
      </c>
      <c r="H201" s="1381">
        <f t="shared" si="147"/>
        <v>0</v>
      </c>
      <c r="I201" s="1381">
        <f t="shared" si="147"/>
        <v>0</v>
      </c>
      <c r="J201" s="1402">
        <f t="shared" si="146"/>
        <v>0</v>
      </c>
      <c r="K201" s="1401"/>
      <c r="L201" s="1401"/>
    </row>
    <row r="202" spans="1:17" hidden="1">
      <c r="A202" s="1378" t="s">
        <v>12</v>
      </c>
      <c r="B202" s="1381">
        <f t="shared" si="148"/>
        <v>0</v>
      </c>
      <c r="C202" s="1384">
        <f t="shared" si="146"/>
        <v>0</v>
      </c>
      <c r="D202" s="1381">
        <f t="shared" si="146"/>
        <v>0</v>
      </c>
      <c r="E202" s="1381">
        <f t="shared" si="147"/>
        <v>0</v>
      </c>
      <c r="F202" s="1381">
        <f t="shared" si="147"/>
        <v>0</v>
      </c>
      <c r="G202" s="1381">
        <f t="shared" si="147"/>
        <v>0</v>
      </c>
      <c r="H202" s="1381">
        <f t="shared" si="147"/>
        <v>0</v>
      </c>
      <c r="I202" s="1381">
        <f t="shared" si="147"/>
        <v>0</v>
      </c>
      <c r="J202" s="1402">
        <f t="shared" si="146"/>
        <v>0</v>
      </c>
      <c r="K202" s="1401"/>
      <c r="L202" s="1401"/>
    </row>
    <row r="203" spans="1:17" hidden="1">
      <c r="A203" s="1383" t="s">
        <v>57</v>
      </c>
      <c r="B203" s="1381">
        <f t="shared" si="148"/>
        <v>0</v>
      </c>
      <c r="C203" s="1384">
        <f t="shared" si="146"/>
        <v>0</v>
      </c>
      <c r="D203" s="1381">
        <f t="shared" si="146"/>
        <v>0</v>
      </c>
      <c r="E203" s="1381">
        <f t="shared" si="147"/>
        <v>0</v>
      </c>
      <c r="F203" s="1381">
        <f t="shared" si="147"/>
        <v>0</v>
      </c>
      <c r="G203" s="1381">
        <f t="shared" si="147"/>
        <v>0</v>
      </c>
      <c r="H203" s="1381">
        <f t="shared" si="147"/>
        <v>0</v>
      </c>
      <c r="I203" s="1381">
        <f t="shared" si="147"/>
        <v>0</v>
      </c>
      <c r="J203" s="1402">
        <f t="shared" si="146"/>
        <v>0</v>
      </c>
      <c r="K203" s="1382"/>
      <c r="L203" s="1382"/>
    </row>
    <row r="204" spans="1:17" hidden="1">
      <c r="A204" s="1383" t="s">
        <v>58</v>
      </c>
      <c r="B204" s="1381">
        <f t="shared" si="148"/>
        <v>0</v>
      </c>
      <c r="C204" s="1384">
        <f t="shared" si="146"/>
        <v>0</v>
      </c>
      <c r="D204" s="1381">
        <f t="shared" si="146"/>
        <v>0</v>
      </c>
      <c r="E204" s="1381">
        <f t="shared" si="147"/>
        <v>0</v>
      </c>
      <c r="F204" s="1381">
        <f t="shared" si="147"/>
        <v>0</v>
      </c>
      <c r="G204" s="1381">
        <f t="shared" si="147"/>
        <v>0</v>
      </c>
      <c r="H204" s="1381">
        <f t="shared" si="147"/>
        <v>0</v>
      </c>
      <c r="I204" s="1381">
        <f t="shared" si="147"/>
        <v>0</v>
      </c>
      <c r="J204" s="1402">
        <f t="shared" si="146"/>
        <v>0</v>
      </c>
      <c r="K204" s="1401"/>
      <c r="L204" s="1401"/>
    </row>
    <row r="205" spans="1:17" hidden="1">
      <c r="A205" s="1383" t="s">
        <v>17</v>
      </c>
      <c r="B205" s="1381">
        <f t="shared" si="148"/>
        <v>-11379681</v>
      </c>
      <c r="C205" s="1384">
        <f t="shared" si="146"/>
        <v>0</v>
      </c>
      <c r="D205" s="1381">
        <f t="shared" si="146"/>
        <v>0</v>
      </c>
      <c r="E205" s="1381">
        <f t="shared" si="147"/>
        <v>0</v>
      </c>
      <c r="F205" s="1381">
        <f t="shared" si="147"/>
        <v>0</v>
      </c>
      <c r="G205" s="1381">
        <f t="shared" si="147"/>
        <v>0</v>
      </c>
      <c r="H205" s="1381">
        <f t="shared" si="147"/>
        <v>0</v>
      </c>
      <c r="I205" s="1381">
        <f t="shared" si="147"/>
        <v>0</v>
      </c>
      <c r="J205" s="1402">
        <f t="shared" si="146"/>
        <v>-11379681</v>
      </c>
      <c r="K205" s="1401"/>
      <c r="L205" s="1401"/>
    </row>
    <row r="206" spans="1:17" ht="24" hidden="1">
      <c r="A206" s="1383" t="s">
        <v>26</v>
      </c>
      <c r="B206" s="1403">
        <f t="shared" si="148"/>
        <v>0</v>
      </c>
      <c r="C206" s="1404">
        <f t="shared" si="146"/>
        <v>0</v>
      </c>
      <c r="D206" s="1403">
        <f t="shared" si="146"/>
        <v>0</v>
      </c>
      <c r="E206" s="1403">
        <f t="shared" si="147"/>
        <v>0</v>
      </c>
      <c r="F206" s="1403">
        <f t="shared" si="147"/>
        <v>0</v>
      </c>
      <c r="G206" s="1403">
        <f t="shared" si="147"/>
        <v>0</v>
      </c>
      <c r="H206" s="1403">
        <f t="shared" si="147"/>
        <v>0</v>
      </c>
      <c r="I206" s="1403">
        <f t="shared" si="147"/>
        <v>0</v>
      </c>
      <c r="J206" s="1402">
        <f>+J144-J176</f>
        <v>0</v>
      </c>
      <c r="K206" s="1405"/>
      <c r="L206" s="1405"/>
    </row>
    <row r="207" spans="1:17" ht="13.5" hidden="1" customHeight="1">
      <c r="A207" s="1383" t="s">
        <v>20</v>
      </c>
      <c r="B207" s="1381">
        <f t="shared" si="148"/>
        <v>-24500</v>
      </c>
      <c r="C207" s="1384">
        <f t="shared" si="146"/>
        <v>-4000</v>
      </c>
      <c r="D207" s="1381">
        <f t="shared" si="146"/>
        <v>69678</v>
      </c>
      <c r="E207" s="1381">
        <f t="shared" si="147"/>
        <v>99540</v>
      </c>
      <c r="F207" s="1381">
        <f t="shared" si="147"/>
        <v>99540</v>
      </c>
      <c r="G207" s="1381">
        <f t="shared" si="147"/>
        <v>29862</v>
      </c>
      <c r="H207" s="1381">
        <f t="shared" si="147"/>
        <v>0</v>
      </c>
      <c r="I207" s="1381">
        <f t="shared" si="147"/>
        <v>0</v>
      </c>
      <c r="J207" s="1402">
        <f>+J145-J177</f>
        <v>270120</v>
      </c>
      <c r="K207" s="1401"/>
      <c r="L207" s="1401"/>
    </row>
    <row r="208" spans="1:17" ht="13.5" hidden="1" customHeight="1">
      <c r="A208" s="1385" t="s">
        <v>19</v>
      </c>
      <c r="B208" s="1381">
        <f t="shared" si="148"/>
        <v>0</v>
      </c>
      <c r="C208" s="1384">
        <f t="shared" si="146"/>
        <v>0</v>
      </c>
      <c r="D208" s="1381">
        <f t="shared" si="146"/>
        <v>0</v>
      </c>
      <c r="E208" s="1381">
        <f t="shared" si="147"/>
        <v>0</v>
      </c>
      <c r="F208" s="1381">
        <f t="shared" si="147"/>
        <v>0</v>
      </c>
      <c r="G208" s="1381">
        <f t="shared" si="147"/>
        <v>0</v>
      </c>
      <c r="H208" s="1381">
        <f t="shared" si="147"/>
        <v>0</v>
      </c>
      <c r="I208" s="1381">
        <f t="shared" si="147"/>
        <v>0</v>
      </c>
      <c r="J208" s="1402">
        <f>+J146-J178</f>
        <v>0</v>
      </c>
      <c r="K208" s="1401"/>
      <c r="L208" s="1401"/>
    </row>
    <row r="209" spans="1:12" ht="13.5" hidden="1" thickBot="1">
      <c r="A209" s="1386" t="s">
        <v>21</v>
      </c>
      <c r="B209" s="1387">
        <f t="shared" si="148"/>
        <v>-125198760</v>
      </c>
      <c r="C209" s="1388">
        <f t="shared" si="146"/>
        <v>-6752129</v>
      </c>
      <c r="D209" s="1387">
        <f t="shared" si="146"/>
        <v>1167779</v>
      </c>
      <c r="E209" s="1387">
        <f t="shared" si="147"/>
        <v>1227202</v>
      </c>
      <c r="F209" s="1387">
        <f t="shared" si="147"/>
        <v>4513210</v>
      </c>
      <c r="G209" s="1387">
        <f t="shared" si="147"/>
        <v>1398385</v>
      </c>
      <c r="H209" s="1387">
        <f t="shared" si="147"/>
        <v>0</v>
      </c>
      <c r="I209" s="1387">
        <f t="shared" si="147"/>
        <v>0</v>
      </c>
      <c r="J209" s="1402">
        <f>+J147-J179</f>
        <v>-123644313</v>
      </c>
      <c r="K209" s="1401"/>
      <c r="L209" s="1401"/>
    </row>
    <row r="210" spans="1:12" ht="13.5" hidden="1" thickBot="1">
      <c r="A210" s="1406"/>
      <c r="B210" s="1408">
        <f>SUM(B198:B209)</f>
        <v>-173675452</v>
      </c>
      <c r="C210" s="1407">
        <f t="shared" ref="C210:J210" si="149">SUM(C198:C209)</f>
        <v>-9060126</v>
      </c>
      <c r="D210" s="1407">
        <f t="shared" si="149"/>
        <v>2669303</v>
      </c>
      <c r="E210" s="1407">
        <f t="shared" si="149"/>
        <v>1381876</v>
      </c>
      <c r="F210" s="1407">
        <f t="shared" si="149"/>
        <v>4612750</v>
      </c>
      <c r="G210" s="1407">
        <f t="shared" si="149"/>
        <v>1428247</v>
      </c>
      <c r="H210" s="1407">
        <f t="shared" si="149"/>
        <v>0</v>
      </c>
      <c r="I210" s="1407">
        <f t="shared" si="149"/>
        <v>0</v>
      </c>
      <c r="J210" s="1407">
        <f t="shared" si="149"/>
        <v>-172643402</v>
      </c>
      <c r="K210" s="1409"/>
      <c r="L210" s="1409"/>
    </row>
    <row r="211" spans="1:12" ht="2.25" hidden="1" customHeight="1">
      <c r="A211" s="1160"/>
      <c r="B211" s="1410"/>
      <c r="J211" s="1160"/>
    </row>
    <row r="212" spans="1:12" hidden="1">
      <c r="A212" s="1393" t="s">
        <v>42</v>
      </c>
      <c r="B212" s="1412">
        <f>+B135-B167</f>
        <v>-173675452</v>
      </c>
      <c r="C212" s="1411">
        <f t="shared" ref="C212:J212" si="150">+C135-C167</f>
        <v>-9060126</v>
      </c>
      <c r="D212" s="1411">
        <f t="shared" si="150"/>
        <v>2669303</v>
      </c>
      <c r="E212" s="1411">
        <f>+E135-E167</f>
        <v>1381876</v>
      </c>
      <c r="F212" s="1411">
        <f>+F135-F167</f>
        <v>4612750</v>
      </c>
      <c r="G212" s="1411">
        <f>+G135-G167</f>
        <v>1428247</v>
      </c>
      <c r="H212" s="1411">
        <f>+H135-H167</f>
        <v>0</v>
      </c>
      <c r="I212" s="1411">
        <f>+I135-I167</f>
        <v>0</v>
      </c>
      <c r="J212" s="1411">
        <f t="shared" si="150"/>
        <v>-172643402</v>
      </c>
    </row>
    <row r="213" spans="1:12" ht="14.25" hidden="1" customHeight="1">
      <c r="A213" s="1160"/>
      <c r="B213" s="1167">
        <f>+B212-B210</f>
        <v>0</v>
      </c>
      <c r="C213" s="1167">
        <f t="shared" ref="C213:J213" si="151">+C212-C210</f>
        <v>0</v>
      </c>
      <c r="D213" s="1167">
        <f t="shared" si="151"/>
        <v>0</v>
      </c>
      <c r="E213" s="1167">
        <f>+E212-E210</f>
        <v>0</v>
      </c>
      <c r="F213" s="1167">
        <f>+F212-F210</f>
        <v>0</v>
      </c>
      <c r="G213" s="1167">
        <f>+G212-G210</f>
        <v>0</v>
      </c>
      <c r="H213" s="1167">
        <f>+H212-H210</f>
        <v>0</v>
      </c>
      <c r="I213" s="1167">
        <f>+I212-I210</f>
        <v>0</v>
      </c>
      <c r="J213" s="1167">
        <f t="shared" si="151"/>
        <v>0</v>
      </c>
    </row>
    <row r="214" spans="1:12" ht="12" hidden="1" customHeight="1">
      <c r="A214" s="1160"/>
      <c r="J214" s="1167"/>
    </row>
    <row r="215" spans="1:12" hidden="1">
      <c r="A215" s="1160"/>
      <c r="J215" s="1160"/>
    </row>
    <row r="216" spans="1:12" hidden="1">
      <c r="A216" s="1160"/>
    </row>
    <row r="217" spans="1:12" hidden="1">
      <c r="A217" s="1160"/>
      <c r="J217" s="1160"/>
    </row>
    <row r="218" spans="1:12" hidden="1">
      <c r="A218" s="1160"/>
      <c r="J218" s="1160"/>
    </row>
    <row r="219" spans="1:12" ht="41.25" hidden="1" customHeight="1">
      <c r="A219" s="1160"/>
    </row>
    <row r="220" spans="1:12" hidden="1">
      <c r="A220" s="1160"/>
      <c r="J220" s="1160"/>
    </row>
    <row r="221" spans="1:12" hidden="1">
      <c r="A221" s="1160"/>
      <c r="J221" s="1160"/>
    </row>
    <row r="222" spans="1:12" hidden="1">
      <c r="A222" s="1160"/>
      <c r="J222" s="1160"/>
    </row>
    <row r="223" spans="1:12" hidden="1">
      <c r="A223" s="1160"/>
      <c r="J223" s="1160"/>
    </row>
    <row r="224" spans="1:12" hidden="1">
      <c r="A224" s="1160"/>
      <c r="J224" s="1160"/>
    </row>
    <row r="225" spans="1:10" hidden="1">
      <c r="A225" s="1160"/>
      <c r="J225" s="1160"/>
    </row>
    <row r="226" spans="1:10" hidden="1">
      <c r="A226" s="1160"/>
      <c r="J226" s="1160"/>
    </row>
    <row r="227" spans="1:10" hidden="1">
      <c r="A227" s="1160"/>
      <c r="J227" s="1160"/>
    </row>
    <row r="228" spans="1:10" hidden="1">
      <c r="A228" s="1160"/>
      <c r="J228" s="1160"/>
    </row>
    <row r="229" spans="1:10" hidden="1">
      <c r="A229" s="1160"/>
      <c r="J229" s="1160"/>
    </row>
    <row r="230" spans="1:10" hidden="1">
      <c r="A230" s="1160"/>
      <c r="J230" s="1160"/>
    </row>
    <row r="231" spans="1:10" hidden="1">
      <c r="A231" s="1160"/>
      <c r="J231" s="1160"/>
    </row>
    <row r="232" spans="1:10" hidden="1">
      <c r="A232" s="1160"/>
      <c r="J232" s="1160"/>
    </row>
    <row r="233" spans="1:10" hidden="1">
      <c r="A233" s="1160"/>
      <c r="J233" s="1160"/>
    </row>
    <row r="234" spans="1:10" hidden="1">
      <c r="A234" s="1160"/>
      <c r="J234" s="1160"/>
    </row>
    <row r="235" spans="1:10" hidden="1">
      <c r="A235" s="1160"/>
      <c r="J235" s="1160"/>
    </row>
    <row r="236" spans="1:10" hidden="1">
      <c r="A236" s="1160"/>
      <c r="J236" s="1160"/>
    </row>
    <row r="237" spans="1:10" hidden="1">
      <c r="A237" s="1160"/>
      <c r="J237" s="1160"/>
    </row>
    <row r="238" spans="1:10" hidden="1">
      <c r="A238" s="1160"/>
      <c r="J238" s="1160"/>
    </row>
    <row r="239" spans="1:10" hidden="1">
      <c r="A239" s="1160"/>
      <c r="J239" s="1160"/>
    </row>
    <row r="240" spans="1:10" hidden="1">
      <c r="A240" s="1160"/>
      <c r="J240" s="1160"/>
    </row>
    <row r="241" spans="1:10" hidden="1">
      <c r="A241" s="1160"/>
      <c r="J241" s="1160"/>
    </row>
    <row r="242" spans="1:10" hidden="1">
      <c r="A242" s="1160"/>
      <c r="J242" s="1160"/>
    </row>
    <row r="243" spans="1:10" hidden="1">
      <c r="A243" s="1160"/>
      <c r="J243" s="1160"/>
    </row>
    <row r="244" spans="1:10" hidden="1">
      <c r="A244" s="1160"/>
      <c r="J244" s="1160"/>
    </row>
    <row r="245" spans="1:10" hidden="1">
      <c r="A245" s="1160"/>
      <c r="J245" s="1160"/>
    </row>
    <row r="246" spans="1:10">
      <c r="A246" s="1160"/>
      <c r="J246" s="1160"/>
    </row>
    <row r="247" spans="1:10">
      <c r="A247" s="1160"/>
      <c r="J247" s="1160"/>
    </row>
    <row r="248" spans="1:10">
      <c r="A248" s="1160"/>
      <c r="J248" s="1160"/>
    </row>
    <row r="249" spans="1:10">
      <c r="A249" s="1160"/>
      <c r="J249" s="1160"/>
    </row>
    <row r="250" spans="1:10">
      <c r="A250" s="1160"/>
      <c r="J250" s="1160"/>
    </row>
    <row r="251" spans="1:10">
      <c r="A251" s="1160"/>
      <c r="J251" s="1160"/>
    </row>
    <row r="252" spans="1:10">
      <c r="A252" s="1160"/>
      <c r="J252" s="1160"/>
    </row>
    <row r="253" spans="1:10">
      <c r="A253" s="1160"/>
      <c r="J253" s="1160"/>
    </row>
    <row r="254" spans="1:10">
      <c r="A254" s="1160"/>
      <c r="J254" s="1160"/>
    </row>
    <row r="255" spans="1:10">
      <c r="A255" s="1160"/>
      <c r="J255" s="1160"/>
    </row>
    <row r="256" spans="1:10">
      <c r="A256" s="1160"/>
      <c r="J256" s="1160"/>
    </row>
    <row r="257" spans="1:10">
      <c r="A257" s="1160"/>
      <c r="J257" s="1160"/>
    </row>
    <row r="258" spans="1:10">
      <c r="A258" s="1160"/>
      <c r="J258" s="1160"/>
    </row>
    <row r="259" spans="1:10">
      <c r="A259" s="1160"/>
      <c r="J259" s="1160"/>
    </row>
    <row r="260" spans="1:10">
      <c r="A260" s="1160"/>
      <c r="J260" s="1160"/>
    </row>
    <row r="261" spans="1:10">
      <c r="A261" s="1160"/>
      <c r="J261" s="1160"/>
    </row>
    <row r="262" spans="1:10">
      <c r="A262" s="1160"/>
      <c r="J262" s="1160"/>
    </row>
    <row r="263" spans="1:10">
      <c r="A263" s="1160"/>
      <c r="J263" s="1160"/>
    </row>
    <row r="264" spans="1:10">
      <c r="A264" s="1160"/>
      <c r="J264" s="1160"/>
    </row>
    <row r="265" spans="1:10">
      <c r="A265" s="1160"/>
      <c r="J265" s="1160"/>
    </row>
    <row r="266" spans="1:10">
      <c r="A266" s="1160"/>
      <c r="J266" s="1160"/>
    </row>
    <row r="267" spans="1:10">
      <c r="A267" s="1160"/>
      <c r="J267" s="1160"/>
    </row>
    <row r="268" spans="1:10">
      <c r="A268" s="1160"/>
      <c r="J268" s="1160"/>
    </row>
    <row r="269" spans="1:10">
      <c r="A269" s="1160"/>
      <c r="J269" s="1160"/>
    </row>
    <row r="270" spans="1:10">
      <c r="A270" s="1160"/>
      <c r="J270" s="1160"/>
    </row>
    <row r="271" spans="1:10">
      <c r="A271" s="1160"/>
      <c r="J271" s="1160"/>
    </row>
    <row r="272" spans="1:10">
      <c r="A272" s="1160"/>
      <c r="J272" s="1160"/>
    </row>
    <row r="273" spans="1:10">
      <c r="A273" s="1160"/>
      <c r="J273" s="1160"/>
    </row>
    <row r="274" spans="1:10">
      <c r="A274" s="1160"/>
      <c r="J274" s="1160"/>
    </row>
    <row r="275" spans="1:10">
      <c r="A275" s="1160"/>
      <c r="J275" s="1160"/>
    </row>
    <row r="276" spans="1:10">
      <c r="A276" s="1160"/>
      <c r="J276" s="1160"/>
    </row>
    <row r="277" spans="1:10">
      <c r="A277" s="1160"/>
      <c r="J277" s="1160"/>
    </row>
    <row r="278" spans="1:10">
      <c r="A278" s="1160"/>
      <c r="J278" s="1160"/>
    </row>
    <row r="279" spans="1:10">
      <c r="A279" s="1160"/>
      <c r="J279" s="1160"/>
    </row>
    <row r="280" spans="1:10">
      <c r="A280" s="1160"/>
      <c r="J280" s="1160"/>
    </row>
    <row r="281" spans="1:10">
      <c r="A281" s="1160"/>
      <c r="J281" s="1160"/>
    </row>
    <row r="282" spans="1:10">
      <c r="A282" s="1160"/>
      <c r="J282" s="1160"/>
    </row>
    <row r="283" spans="1:10">
      <c r="A283" s="1160"/>
      <c r="J283" s="1160"/>
    </row>
    <row r="284" spans="1:10">
      <c r="A284" s="1160"/>
      <c r="J284" s="1160"/>
    </row>
    <row r="285" spans="1:10">
      <c r="A285" s="1160"/>
      <c r="J285" s="1160"/>
    </row>
    <row r="286" spans="1:10">
      <c r="A286" s="1160"/>
      <c r="J286" s="1160"/>
    </row>
    <row r="287" spans="1:10">
      <c r="A287" s="1160"/>
      <c r="J287" s="1160"/>
    </row>
    <row r="288" spans="1:10">
      <c r="A288" s="1160"/>
      <c r="J288" s="1160"/>
    </row>
    <row r="289" spans="1:10">
      <c r="A289" s="1160"/>
      <c r="J289" s="1160"/>
    </row>
    <row r="290" spans="1:10">
      <c r="A290" s="1160"/>
      <c r="J290" s="1160"/>
    </row>
    <row r="291" spans="1:10">
      <c r="A291" s="1160"/>
      <c r="J291" s="1160"/>
    </row>
    <row r="292" spans="1:10">
      <c r="A292" s="1160"/>
      <c r="J292" s="1160"/>
    </row>
    <row r="293" spans="1:10">
      <c r="A293" s="1160"/>
      <c r="J293" s="1160"/>
    </row>
    <row r="294" spans="1:10">
      <c r="A294" s="1160"/>
      <c r="J294" s="1160"/>
    </row>
    <row r="295" spans="1:10">
      <c r="A295" s="1160"/>
      <c r="J295" s="1160"/>
    </row>
    <row r="296" spans="1:10">
      <c r="A296" s="1160"/>
      <c r="J296" s="1160"/>
    </row>
    <row r="297" spans="1:10">
      <c r="A297" s="1160"/>
      <c r="J297" s="1160"/>
    </row>
    <row r="298" spans="1:10">
      <c r="A298" s="1160"/>
      <c r="J298" s="1160"/>
    </row>
    <row r="299" spans="1:10">
      <c r="A299" s="1160"/>
      <c r="J299" s="1160"/>
    </row>
    <row r="300" spans="1:10">
      <c r="A300" s="1160"/>
      <c r="J300" s="1160"/>
    </row>
    <row r="301" spans="1:10">
      <c r="A301" s="1160"/>
      <c r="J301" s="1160"/>
    </row>
    <row r="302" spans="1:10">
      <c r="A302" s="1160"/>
      <c r="J302" s="1160"/>
    </row>
    <row r="303" spans="1:10">
      <c r="A303" s="1160"/>
      <c r="J303" s="1160"/>
    </row>
    <row r="304" spans="1:10">
      <c r="A304" s="1160"/>
      <c r="J304" s="1160"/>
    </row>
    <row r="305" spans="1:10">
      <c r="A305" s="1160"/>
      <c r="J305" s="1160"/>
    </row>
    <row r="306" spans="1:10">
      <c r="A306" s="1160"/>
      <c r="J306" s="1160"/>
    </row>
    <row r="307" spans="1:10">
      <c r="A307" s="1160"/>
      <c r="J307" s="1160"/>
    </row>
    <row r="308" spans="1:10">
      <c r="A308" s="1160"/>
      <c r="J308" s="1160"/>
    </row>
    <row r="309" spans="1:10">
      <c r="A309" s="1160"/>
      <c r="J309" s="1160"/>
    </row>
    <row r="310" spans="1:10">
      <c r="A310" s="1160"/>
      <c r="J310" s="1160"/>
    </row>
    <row r="311" spans="1:10">
      <c r="A311" s="1160"/>
      <c r="J311" s="1160"/>
    </row>
    <row r="312" spans="1:10">
      <c r="A312" s="1160"/>
      <c r="J312" s="1160"/>
    </row>
    <row r="313" spans="1:10">
      <c r="A313" s="1160"/>
      <c r="J313" s="1160"/>
    </row>
    <row r="314" spans="1:10">
      <c r="A314" s="1160"/>
      <c r="J314" s="1160"/>
    </row>
    <row r="315" spans="1:10">
      <c r="A315" s="1160"/>
      <c r="J315" s="1160"/>
    </row>
    <row r="316" spans="1:10">
      <c r="A316" s="1160"/>
      <c r="J316" s="1160"/>
    </row>
    <row r="317" spans="1:10">
      <c r="A317" s="1160"/>
      <c r="J317" s="1160"/>
    </row>
    <row r="318" spans="1:10">
      <c r="A318" s="1160"/>
      <c r="J318" s="1160"/>
    </row>
    <row r="319" spans="1:10">
      <c r="A319" s="1160"/>
      <c r="J319" s="1160"/>
    </row>
    <row r="320" spans="1:10">
      <c r="A320" s="1160"/>
      <c r="J320" s="1160"/>
    </row>
    <row r="321" spans="1:10">
      <c r="A321" s="1160"/>
      <c r="J321" s="1160"/>
    </row>
    <row r="322" spans="1:10">
      <c r="A322" s="1160"/>
      <c r="J322" s="1160"/>
    </row>
    <row r="323" spans="1:10">
      <c r="A323" s="1160"/>
      <c r="J323" s="1160"/>
    </row>
    <row r="324" spans="1:10">
      <c r="A324" s="1160"/>
      <c r="J324" s="1160"/>
    </row>
    <row r="325" spans="1:10">
      <c r="A325" s="1160"/>
      <c r="J325" s="1160"/>
    </row>
    <row r="326" spans="1:10">
      <c r="A326" s="1160"/>
      <c r="J326" s="1160"/>
    </row>
    <row r="327" spans="1:10">
      <c r="A327" s="1160"/>
      <c r="J327" s="1160"/>
    </row>
    <row r="328" spans="1:10">
      <c r="A328" s="1160"/>
      <c r="J328" s="1160"/>
    </row>
    <row r="329" spans="1:10">
      <c r="A329" s="1160"/>
      <c r="J329" s="1160"/>
    </row>
    <row r="330" spans="1:10">
      <c r="A330" s="1160"/>
      <c r="J330" s="1160"/>
    </row>
    <row r="331" spans="1:10">
      <c r="A331" s="1160"/>
      <c r="J331" s="1160"/>
    </row>
    <row r="332" spans="1:10">
      <c r="A332" s="1160"/>
      <c r="J332" s="1160"/>
    </row>
    <row r="333" spans="1:10">
      <c r="A333" s="1160"/>
      <c r="J333" s="1160"/>
    </row>
    <row r="334" spans="1:10">
      <c r="A334" s="1160"/>
      <c r="J334" s="1160"/>
    </row>
    <row r="335" spans="1:10">
      <c r="A335" s="1160"/>
      <c r="J335" s="1160"/>
    </row>
    <row r="336" spans="1:10">
      <c r="A336" s="1160"/>
      <c r="J336" s="1160"/>
    </row>
    <row r="337" spans="1:10">
      <c r="A337" s="1160"/>
      <c r="J337" s="1160"/>
    </row>
    <row r="338" spans="1:10">
      <c r="A338" s="1160"/>
      <c r="J338" s="1160"/>
    </row>
    <row r="339" spans="1:10">
      <c r="A339" s="1160"/>
      <c r="J339" s="1160"/>
    </row>
    <row r="340" spans="1:10">
      <c r="A340" s="1160"/>
      <c r="J340" s="1160"/>
    </row>
    <row r="341" spans="1:10">
      <c r="A341" s="1160"/>
      <c r="J341" s="1160"/>
    </row>
    <row r="342" spans="1:10">
      <c r="A342" s="1160"/>
      <c r="J342" s="1160"/>
    </row>
    <row r="343" spans="1:10">
      <c r="A343" s="1160"/>
      <c r="J343" s="1160"/>
    </row>
    <row r="344" spans="1:10">
      <c r="A344" s="1160"/>
      <c r="J344" s="1160"/>
    </row>
    <row r="345" spans="1:10">
      <c r="A345" s="1160"/>
      <c r="J345" s="1160"/>
    </row>
    <row r="346" spans="1:10">
      <c r="A346" s="1160"/>
      <c r="J346" s="1160"/>
    </row>
    <row r="347" spans="1:10">
      <c r="A347" s="1160"/>
      <c r="J347" s="1160"/>
    </row>
    <row r="348" spans="1:10">
      <c r="A348" s="1160"/>
      <c r="J348" s="1160"/>
    </row>
    <row r="349" spans="1:10">
      <c r="A349" s="1160"/>
      <c r="J349" s="1160"/>
    </row>
    <row r="350" spans="1:10">
      <c r="A350" s="1160"/>
      <c r="J350" s="1160"/>
    </row>
    <row r="351" spans="1:10">
      <c r="A351" s="1160"/>
      <c r="J351" s="1160"/>
    </row>
    <row r="352" spans="1:10">
      <c r="A352" s="1160"/>
      <c r="J352" s="1160"/>
    </row>
    <row r="353" spans="1:10">
      <c r="A353" s="1160"/>
      <c r="J353" s="1160"/>
    </row>
    <row r="354" spans="1:10">
      <c r="A354" s="1160"/>
      <c r="J354" s="1160"/>
    </row>
    <row r="355" spans="1:10">
      <c r="A355" s="1160"/>
      <c r="J355" s="1160"/>
    </row>
    <row r="356" spans="1:10">
      <c r="A356" s="1160"/>
      <c r="J356" s="1160"/>
    </row>
    <row r="357" spans="1:10">
      <c r="A357" s="1160"/>
      <c r="J357" s="1160"/>
    </row>
    <row r="358" spans="1:10">
      <c r="A358" s="1160"/>
      <c r="J358" s="1160"/>
    </row>
    <row r="359" spans="1:10">
      <c r="A359" s="1160"/>
      <c r="J359" s="1160"/>
    </row>
    <row r="360" spans="1:10">
      <c r="A360" s="1160"/>
      <c r="J360" s="1160"/>
    </row>
    <row r="361" spans="1:10">
      <c r="A361" s="1160"/>
      <c r="J361" s="1160"/>
    </row>
    <row r="362" spans="1:10">
      <c r="A362" s="1160"/>
      <c r="J362" s="1160"/>
    </row>
    <row r="363" spans="1:10">
      <c r="A363" s="1160"/>
      <c r="J363" s="1160"/>
    </row>
    <row r="364" spans="1:10">
      <c r="A364" s="1160"/>
      <c r="J364" s="1160"/>
    </row>
    <row r="365" spans="1:10">
      <c r="A365" s="1160"/>
      <c r="J365" s="1160"/>
    </row>
    <row r="366" spans="1:10">
      <c r="A366" s="1160"/>
      <c r="J366" s="1160"/>
    </row>
    <row r="367" spans="1:10">
      <c r="A367" s="1160"/>
      <c r="J367" s="1160"/>
    </row>
    <row r="368" spans="1:10">
      <c r="A368" s="1160"/>
      <c r="J368" s="1160"/>
    </row>
    <row r="369" spans="1:10">
      <c r="A369" s="1160"/>
      <c r="J369" s="1160"/>
    </row>
    <row r="370" spans="1:10">
      <c r="A370" s="1160"/>
      <c r="J370" s="1160"/>
    </row>
    <row r="371" spans="1:10">
      <c r="A371" s="1160"/>
      <c r="J371" s="1160"/>
    </row>
    <row r="372" spans="1:10">
      <c r="A372" s="1160"/>
      <c r="J372" s="1160"/>
    </row>
    <row r="373" spans="1:10">
      <c r="A373" s="1160"/>
      <c r="J373" s="1160"/>
    </row>
    <row r="374" spans="1:10">
      <c r="A374" s="1160"/>
      <c r="J374" s="1160"/>
    </row>
    <row r="375" spans="1:10">
      <c r="A375" s="1160"/>
      <c r="J375" s="1160"/>
    </row>
    <row r="376" spans="1:10">
      <c r="A376" s="1160"/>
      <c r="J376" s="1160"/>
    </row>
    <row r="377" spans="1:10">
      <c r="A377" s="1160"/>
      <c r="J377" s="1160"/>
    </row>
    <row r="378" spans="1:10">
      <c r="A378" s="1160"/>
      <c r="J378" s="1160"/>
    </row>
    <row r="379" spans="1:10">
      <c r="A379" s="1160"/>
      <c r="J379" s="1160"/>
    </row>
    <row r="380" spans="1:10">
      <c r="A380" s="1160"/>
      <c r="J380" s="1160"/>
    </row>
    <row r="381" spans="1:10">
      <c r="A381" s="1160"/>
      <c r="J381" s="1160"/>
    </row>
    <row r="382" spans="1:10">
      <c r="A382" s="1160"/>
      <c r="J382" s="1160"/>
    </row>
    <row r="383" spans="1:10">
      <c r="A383" s="1160"/>
      <c r="J383" s="1160"/>
    </row>
    <row r="384" spans="1:10">
      <c r="A384" s="1160"/>
      <c r="J384" s="1160"/>
    </row>
    <row r="385" spans="1:13">
      <c r="A385" s="1160"/>
      <c r="J385" s="1160"/>
    </row>
    <row r="386" spans="1:13">
      <c r="A386" s="1160"/>
      <c r="J386" s="1160"/>
    </row>
    <row r="387" spans="1:13" ht="13.5" thickBot="1">
      <c r="A387" s="1160"/>
      <c r="J387" s="1160"/>
    </row>
    <row r="388" spans="1:13" ht="45">
      <c r="A388" s="1413" t="s">
        <v>69</v>
      </c>
      <c r="B388" s="1414"/>
      <c r="C388" s="1414"/>
      <c r="D388" s="1414"/>
      <c r="E388" s="1414"/>
      <c r="F388" s="1414"/>
      <c r="G388" s="1414"/>
      <c r="H388" s="1414"/>
      <c r="I388" s="1414"/>
      <c r="J388" s="1414"/>
      <c r="K388" s="1415"/>
      <c r="L388" s="1415"/>
      <c r="M388" s="1415"/>
    </row>
    <row r="389" spans="1:13">
      <c r="A389" s="1160"/>
      <c r="J389" s="1160"/>
      <c r="K389" s="2051"/>
      <c r="L389" s="2051"/>
      <c r="M389" s="2051"/>
    </row>
    <row r="390" spans="1:13">
      <c r="A390" s="1160"/>
      <c r="J390" s="1160"/>
      <c r="K390" s="2051"/>
      <c r="L390" s="2051"/>
      <c r="M390" s="2051"/>
    </row>
    <row r="391" spans="1:13">
      <c r="A391" s="1160"/>
      <c r="J391" s="1160"/>
      <c r="K391" s="2051"/>
      <c r="L391" s="2051"/>
      <c r="M391" s="2051"/>
    </row>
    <row r="392" spans="1:13">
      <c r="A392" s="1160"/>
      <c r="J392" s="1160"/>
      <c r="K392" s="2051"/>
      <c r="L392" s="2051"/>
      <c r="M392" s="2051"/>
    </row>
    <row r="393" spans="1:13">
      <c r="A393" s="1160"/>
      <c r="J393" s="1160"/>
      <c r="K393" s="2051"/>
      <c r="L393" s="2051"/>
      <c r="M393" s="2051"/>
    </row>
    <row r="394" spans="1:13">
      <c r="A394" s="1160"/>
      <c r="J394" s="1160"/>
      <c r="K394" s="2051"/>
      <c r="L394" s="2051"/>
      <c r="M394" s="2051"/>
    </row>
    <row r="395" spans="1:13">
      <c r="A395" s="1160"/>
      <c r="J395" s="1160"/>
      <c r="K395" s="2051"/>
      <c r="L395" s="2051"/>
      <c r="M395" s="2051"/>
    </row>
    <row r="396" spans="1:13">
      <c r="A396" s="1160"/>
      <c r="J396" s="1160"/>
      <c r="K396" s="2051"/>
      <c r="L396" s="2051"/>
      <c r="M396" s="2051"/>
    </row>
    <row r="397" spans="1:13">
      <c r="A397" s="1160"/>
      <c r="J397" s="1160"/>
      <c r="K397" s="2051"/>
      <c r="L397" s="2051"/>
      <c r="M397" s="2051"/>
    </row>
    <row r="398" spans="1:13">
      <c r="A398" s="1160"/>
      <c r="J398" s="1160"/>
      <c r="K398" s="2051"/>
      <c r="L398" s="2051"/>
      <c r="M398" s="2051"/>
    </row>
    <row r="399" spans="1:13" ht="13.5" thickBot="1">
      <c r="A399" s="1416"/>
      <c r="B399" s="1416"/>
      <c r="C399" s="1416"/>
      <c r="D399" s="1416"/>
      <c r="E399" s="1416"/>
      <c r="F399" s="1416"/>
      <c r="G399" s="1416"/>
      <c r="H399" s="1416"/>
      <c r="I399" s="1416"/>
      <c r="J399" s="1416"/>
      <c r="K399" s="687"/>
      <c r="L399" s="687"/>
      <c r="M399" s="687"/>
    </row>
    <row r="400" spans="1:13">
      <c r="A400" s="1160"/>
      <c r="J400" s="1160"/>
    </row>
    <row r="401" spans="1:10">
      <c r="A401" s="1160"/>
      <c r="J401" s="1160"/>
    </row>
    <row r="402" spans="1:10">
      <c r="A402" s="1160"/>
      <c r="J402" s="1160"/>
    </row>
    <row r="403" spans="1:10">
      <c r="A403" s="1160"/>
      <c r="J403" s="1160"/>
    </row>
    <row r="404" spans="1:10">
      <c r="A404" s="1160"/>
      <c r="J404" s="1160"/>
    </row>
    <row r="405" spans="1:10">
      <c r="A405" s="1160"/>
      <c r="J405" s="1160"/>
    </row>
    <row r="406" spans="1:10">
      <c r="A406" s="1160"/>
      <c r="J406" s="1160"/>
    </row>
    <row r="407" spans="1:10">
      <c r="A407" s="1160"/>
      <c r="J407" s="1160"/>
    </row>
    <row r="408" spans="1:10">
      <c r="A408" s="1160"/>
      <c r="J408" s="1160"/>
    </row>
    <row r="409" spans="1:10">
      <c r="A409" s="1160"/>
      <c r="J409" s="1160"/>
    </row>
    <row r="410" spans="1:10">
      <c r="A410" s="1160"/>
      <c r="J410" s="1160"/>
    </row>
    <row r="411" spans="1:10">
      <c r="A411" s="1160"/>
      <c r="J411" s="1160"/>
    </row>
    <row r="412" spans="1:10">
      <c r="A412" s="1160"/>
      <c r="J412" s="1160"/>
    </row>
    <row r="413" spans="1:10">
      <c r="A413" s="1160"/>
      <c r="J413" s="1160"/>
    </row>
    <row r="414" spans="1:10">
      <c r="A414" s="1160"/>
      <c r="J414" s="1160"/>
    </row>
    <row r="415" spans="1:10">
      <c r="A415" s="1160"/>
      <c r="J415" s="1160"/>
    </row>
    <row r="416" spans="1:10">
      <c r="A416" s="1160"/>
      <c r="J416" s="1160"/>
    </row>
    <row r="417" spans="1:10">
      <c r="A417" s="1160"/>
      <c r="J417" s="1160"/>
    </row>
    <row r="418" spans="1:10">
      <c r="A418" s="1160"/>
      <c r="J418" s="1160"/>
    </row>
    <row r="419" spans="1:10">
      <c r="A419" s="1160"/>
      <c r="J419" s="1160"/>
    </row>
    <row r="420" spans="1:10">
      <c r="A420" s="1160"/>
      <c r="J420" s="1160"/>
    </row>
    <row r="421" spans="1:10">
      <c r="A421" s="1160"/>
      <c r="J421" s="1160"/>
    </row>
    <row r="422" spans="1:10">
      <c r="A422" s="1160"/>
      <c r="J422" s="1160"/>
    </row>
    <row r="423" spans="1:10">
      <c r="A423" s="1160"/>
      <c r="J423" s="1160"/>
    </row>
    <row r="424" spans="1:10">
      <c r="A424" s="1160"/>
      <c r="J424" s="1160"/>
    </row>
    <row r="425" spans="1:10">
      <c r="A425" s="1160"/>
      <c r="J425" s="1160"/>
    </row>
    <row r="426" spans="1:10">
      <c r="A426" s="1160"/>
      <c r="J426" s="1160"/>
    </row>
    <row r="427" spans="1:10">
      <c r="A427" s="1160"/>
      <c r="J427" s="1160"/>
    </row>
    <row r="428" spans="1:10">
      <c r="A428" s="1160"/>
      <c r="J428" s="1160"/>
    </row>
    <row r="429" spans="1:10">
      <c r="A429" s="1160"/>
      <c r="J429" s="1160"/>
    </row>
    <row r="430" spans="1:10">
      <c r="A430" s="1160"/>
      <c r="J430" s="1160"/>
    </row>
    <row r="431" spans="1:10">
      <c r="A431" s="1160"/>
      <c r="J431" s="1160"/>
    </row>
    <row r="432" spans="1:10">
      <c r="A432" s="1160"/>
      <c r="J432" s="1160"/>
    </row>
    <row r="433" spans="1:10">
      <c r="A433" s="1160"/>
      <c r="J433" s="1160"/>
    </row>
    <row r="434" spans="1:10">
      <c r="A434" s="1160"/>
      <c r="J434" s="1160"/>
    </row>
    <row r="435" spans="1:10">
      <c r="A435" s="1160"/>
      <c r="J435" s="1160"/>
    </row>
    <row r="436" spans="1:10">
      <c r="A436" s="1160"/>
      <c r="J436" s="1160"/>
    </row>
    <row r="437" spans="1:10">
      <c r="A437" s="1160"/>
      <c r="J437" s="1160"/>
    </row>
    <row r="438" spans="1:10">
      <c r="A438" s="1160"/>
      <c r="J438" s="1160"/>
    </row>
    <row r="439" spans="1:10">
      <c r="A439" s="1160"/>
      <c r="J439" s="1160"/>
    </row>
    <row r="440" spans="1:10">
      <c r="A440" s="1160"/>
      <c r="J440" s="1160"/>
    </row>
    <row r="441" spans="1:10">
      <c r="A441" s="1160"/>
      <c r="J441" s="1160"/>
    </row>
    <row r="442" spans="1:10">
      <c r="A442" s="1160"/>
      <c r="J442" s="1160"/>
    </row>
    <row r="443" spans="1:10">
      <c r="A443" s="1160"/>
      <c r="J443" s="1160"/>
    </row>
    <row r="444" spans="1:10">
      <c r="A444" s="1160"/>
      <c r="J444" s="1160"/>
    </row>
    <row r="445" spans="1:10">
      <c r="A445" s="1160"/>
      <c r="J445" s="1160"/>
    </row>
    <row r="446" spans="1:10">
      <c r="A446" s="1160"/>
      <c r="J446" s="1160"/>
    </row>
    <row r="447" spans="1:10">
      <c r="A447" s="1160"/>
      <c r="J447" s="1160"/>
    </row>
    <row r="448" spans="1:10">
      <c r="A448" s="1160"/>
      <c r="J448" s="1160"/>
    </row>
    <row r="449" spans="1:10">
      <c r="A449" s="1160"/>
      <c r="J449" s="1160"/>
    </row>
    <row r="450" spans="1:10">
      <c r="A450" s="1160"/>
      <c r="J450" s="1160"/>
    </row>
    <row r="451" spans="1:10">
      <c r="A451" s="1160"/>
      <c r="J451" s="1160"/>
    </row>
    <row r="452" spans="1:10">
      <c r="A452" s="1160"/>
      <c r="J452" s="1160"/>
    </row>
    <row r="453" spans="1:10">
      <c r="A453" s="1160"/>
      <c r="J453" s="1160"/>
    </row>
    <row r="454" spans="1:10">
      <c r="A454" s="1160"/>
      <c r="J454" s="1160"/>
    </row>
    <row r="455" spans="1:10">
      <c r="A455" s="1160"/>
      <c r="J455" s="1160"/>
    </row>
    <row r="456" spans="1:10">
      <c r="A456" s="1160"/>
      <c r="J456" s="1160"/>
    </row>
    <row r="457" spans="1:10">
      <c r="A457" s="1160"/>
      <c r="J457" s="1160"/>
    </row>
    <row r="458" spans="1:10">
      <c r="A458" s="1160"/>
      <c r="J458" s="1160"/>
    </row>
    <row r="459" spans="1:10">
      <c r="A459" s="1160"/>
      <c r="J459" s="1160"/>
    </row>
    <row r="460" spans="1:10">
      <c r="A460" s="1160"/>
      <c r="J460" s="1160"/>
    </row>
    <row r="461" spans="1:10">
      <c r="A461" s="1160"/>
      <c r="J461" s="1160"/>
    </row>
    <row r="462" spans="1:10">
      <c r="A462" s="1160"/>
      <c r="J462" s="1160"/>
    </row>
    <row r="463" spans="1:10">
      <c r="A463" s="1160"/>
      <c r="J463" s="1160"/>
    </row>
    <row r="464" spans="1:10">
      <c r="A464" s="1160"/>
      <c r="J464" s="1160"/>
    </row>
    <row r="465" spans="1:10">
      <c r="A465" s="1160"/>
      <c r="J465" s="1160"/>
    </row>
    <row r="466" spans="1:10">
      <c r="A466" s="1160"/>
      <c r="J466" s="1160"/>
    </row>
    <row r="467" spans="1:10">
      <c r="A467" s="1160"/>
      <c r="J467" s="1160"/>
    </row>
    <row r="468" spans="1:10">
      <c r="A468" s="1160"/>
      <c r="J468" s="1160"/>
    </row>
    <row r="469" spans="1:10">
      <c r="A469" s="1160"/>
      <c r="J469" s="1160"/>
    </row>
    <row r="470" spans="1:10">
      <c r="A470" s="1160"/>
      <c r="J470" s="1160"/>
    </row>
    <row r="471" spans="1:10">
      <c r="A471" s="1160"/>
      <c r="J471" s="1160"/>
    </row>
    <row r="472" spans="1:10">
      <c r="A472" s="1160"/>
      <c r="J472" s="1160"/>
    </row>
    <row r="473" spans="1:10">
      <c r="A473" s="1160"/>
      <c r="J473" s="1160"/>
    </row>
    <row r="474" spans="1:10">
      <c r="A474" s="1160"/>
      <c r="J474" s="1160"/>
    </row>
    <row r="475" spans="1:10">
      <c r="A475" s="1160"/>
      <c r="J475" s="1160"/>
    </row>
    <row r="476" spans="1:10">
      <c r="A476" s="1160"/>
      <c r="J476" s="1160"/>
    </row>
    <row r="477" spans="1:10">
      <c r="A477" s="1160"/>
      <c r="J477" s="1160"/>
    </row>
    <row r="478" spans="1:10">
      <c r="A478" s="1160"/>
      <c r="J478" s="1160"/>
    </row>
    <row r="479" spans="1:10">
      <c r="A479" s="1160"/>
      <c r="J479" s="1160"/>
    </row>
    <row r="480" spans="1:10">
      <c r="A480" s="1160"/>
      <c r="J480" s="1160"/>
    </row>
    <row r="481" spans="1:10">
      <c r="A481" s="1160"/>
      <c r="J481" s="1160"/>
    </row>
    <row r="482" spans="1:10">
      <c r="A482" s="1160"/>
      <c r="J482" s="1160"/>
    </row>
    <row r="483" spans="1:10">
      <c r="A483" s="1160"/>
      <c r="J483" s="1160"/>
    </row>
    <row r="484" spans="1:10">
      <c r="A484" s="1160"/>
      <c r="J484" s="1160"/>
    </row>
    <row r="485" spans="1:10">
      <c r="A485" s="1160"/>
      <c r="J485" s="1160"/>
    </row>
    <row r="486" spans="1:10">
      <c r="A486" s="1160"/>
      <c r="J486" s="1160"/>
    </row>
    <row r="487" spans="1:10">
      <c r="A487" s="1160"/>
      <c r="J487" s="1160"/>
    </row>
    <row r="488" spans="1:10">
      <c r="A488" s="1160"/>
      <c r="J488" s="1160"/>
    </row>
    <row r="489" spans="1:10">
      <c r="A489" s="1160"/>
      <c r="J489" s="1160"/>
    </row>
    <row r="490" spans="1:10">
      <c r="A490" s="1160"/>
      <c r="J490" s="1160"/>
    </row>
    <row r="491" spans="1:10">
      <c r="A491" s="1160"/>
      <c r="J491" s="1160"/>
    </row>
    <row r="492" spans="1:10">
      <c r="A492" s="1160"/>
      <c r="J492" s="1160"/>
    </row>
    <row r="493" spans="1:10">
      <c r="A493" s="1160"/>
      <c r="J493" s="1160"/>
    </row>
    <row r="494" spans="1:10">
      <c r="A494" s="1160"/>
      <c r="J494" s="1160"/>
    </row>
    <row r="495" spans="1:10">
      <c r="A495" s="1160"/>
      <c r="J495" s="1160"/>
    </row>
    <row r="496" spans="1:10">
      <c r="A496" s="1160"/>
      <c r="J496" s="1160"/>
    </row>
    <row r="497" spans="1:10">
      <c r="A497" s="1160"/>
      <c r="J497" s="1160"/>
    </row>
    <row r="498" spans="1:10">
      <c r="A498" s="1160"/>
      <c r="J498" s="1160"/>
    </row>
    <row r="499" spans="1:10">
      <c r="A499" s="1160"/>
      <c r="J499" s="1160"/>
    </row>
    <row r="500" spans="1:10">
      <c r="A500" s="1160"/>
      <c r="J500" s="1160"/>
    </row>
    <row r="501" spans="1:10">
      <c r="A501" s="1160"/>
      <c r="J501" s="1160"/>
    </row>
    <row r="502" spans="1:10">
      <c r="A502" s="1160"/>
      <c r="J502" s="1160"/>
    </row>
    <row r="503" spans="1:10">
      <c r="A503" s="1160"/>
      <c r="J503" s="1160"/>
    </row>
    <row r="504" spans="1:10">
      <c r="A504" s="1160"/>
      <c r="J504" s="1160"/>
    </row>
    <row r="505" spans="1:10">
      <c r="A505" s="1160"/>
      <c r="J505" s="1160"/>
    </row>
    <row r="506" spans="1:10">
      <c r="A506" s="1160"/>
      <c r="J506" s="1160"/>
    </row>
    <row r="507" spans="1:10">
      <c r="A507" s="1160"/>
      <c r="J507" s="1160"/>
    </row>
    <row r="508" spans="1:10">
      <c r="A508" s="1160"/>
      <c r="J508" s="1160"/>
    </row>
    <row r="509" spans="1:10">
      <c r="A509" s="1160"/>
      <c r="J509" s="1160"/>
    </row>
    <row r="510" spans="1:10">
      <c r="A510" s="1160"/>
      <c r="J510" s="1160"/>
    </row>
    <row r="511" spans="1:10">
      <c r="A511" s="1160"/>
      <c r="J511" s="1160"/>
    </row>
    <row r="512" spans="1:10">
      <c r="A512" s="1160"/>
      <c r="J512" s="1160"/>
    </row>
    <row r="513" spans="1:10">
      <c r="A513" s="1160"/>
      <c r="J513" s="1160"/>
    </row>
    <row r="514" spans="1:10">
      <c r="A514" s="1160"/>
      <c r="J514" s="1160"/>
    </row>
    <row r="515" spans="1:10">
      <c r="A515" s="1160"/>
      <c r="J515" s="1160"/>
    </row>
    <row r="516" spans="1:10">
      <c r="A516" s="1160"/>
      <c r="J516" s="1160"/>
    </row>
    <row r="517" spans="1:10">
      <c r="A517" s="1160"/>
      <c r="J517" s="1160"/>
    </row>
    <row r="518" spans="1:10">
      <c r="A518" s="1160"/>
      <c r="J518" s="1160"/>
    </row>
    <row r="519" spans="1:10">
      <c r="A519" s="1160"/>
      <c r="J519" s="1160"/>
    </row>
    <row r="520" spans="1:10">
      <c r="A520" s="1160"/>
      <c r="J520" s="1160"/>
    </row>
    <row r="521" spans="1:10">
      <c r="A521" s="1160"/>
      <c r="J521" s="1160"/>
    </row>
    <row r="522" spans="1:10">
      <c r="A522" s="1160"/>
      <c r="J522" s="1160"/>
    </row>
    <row r="523" spans="1:10">
      <c r="A523" s="1160"/>
      <c r="J523" s="1160"/>
    </row>
    <row r="524" spans="1:10">
      <c r="A524" s="1160"/>
      <c r="J524" s="1160"/>
    </row>
    <row r="525" spans="1:10">
      <c r="A525" s="1160"/>
      <c r="J525" s="1160"/>
    </row>
    <row r="526" spans="1:10">
      <c r="A526" s="1160"/>
      <c r="J526" s="1160"/>
    </row>
    <row r="527" spans="1:10">
      <c r="A527" s="1160"/>
      <c r="J527" s="1160"/>
    </row>
    <row r="528" spans="1:10">
      <c r="A528" s="1160"/>
      <c r="J528" s="1160"/>
    </row>
    <row r="529" spans="1:10">
      <c r="A529" s="1160"/>
      <c r="J529" s="1160"/>
    </row>
    <row r="530" spans="1:10">
      <c r="A530" s="1160"/>
      <c r="J530" s="1160"/>
    </row>
    <row r="531" spans="1:10">
      <c r="A531" s="1160"/>
      <c r="J531" s="1160"/>
    </row>
    <row r="532" spans="1:10">
      <c r="A532" s="1160"/>
      <c r="J532" s="1160"/>
    </row>
    <row r="533" spans="1:10">
      <c r="A533" s="1160"/>
      <c r="J533" s="1160"/>
    </row>
    <row r="534" spans="1:10">
      <c r="A534" s="1160"/>
      <c r="J534" s="1160"/>
    </row>
    <row r="535" spans="1:10">
      <c r="A535" s="1160"/>
      <c r="J535" s="1160"/>
    </row>
    <row r="536" spans="1:10">
      <c r="A536" s="1160"/>
      <c r="J536" s="1160"/>
    </row>
    <row r="537" spans="1:10">
      <c r="A537" s="1160"/>
      <c r="J537" s="1160"/>
    </row>
    <row r="538" spans="1:10">
      <c r="A538" s="1160"/>
      <c r="J538" s="1160"/>
    </row>
    <row r="539" spans="1:10">
      <c r="A539" s="1160"/>
      <c r="J539" s="1160"/>
    </row>
    <row r="540" spans="1:10">
      <c r="A540" s="1160"/>
      <c r="J540" s="1160"/>
    </row>
    <row r="541" spans="1:10">
      <c r="A541" s="1160"/>
      <c r="J541" s="1160"/>
    </row>
    <row r="542" spans="1:10">
      <c r="A542" s="1160"/>
      <c r="J542" s="1160"/>
    </row>
    <row r="543" spans="1:10">
      <c r="A543" s="1160"/>
      <c r="J543" s="1160"/>
    </row>
    <row r="544" spans="1:10">
      <c r="A544" s="1160"/>
      <c r="J544" s="1160"/>
    </row>
    <row r="545" spans="1:10">
      <c r="A545" s="1160"/>
      <c r="J545" s="1160"/>
    </row>
    <row r="546" spans="1:10">
      <c r="A546" s="1160"/>
      <c r="J546" s="1160"/>
    </row>
    <row r="547" spans="1:10">
      <c r="A547" s="1160"/>
      <c r="J547" s="1160"/>
    </row>
    <row r="548" spans="1:10">
      <c r="A548" s="1160"/>
      <c r="J548" s="1160"/>
    </row>
    <row r="549" spans="1:10">
      <c r="A549" s="1160"/>
      <c r="J549" s="1160"/>
    </row>
    <row r="550" spans="1:10">
      <c r="A550" s="1160"/>
      <c r="J550" s="1160"/>
    </row>
    <row r="551" spans="1:10">
      <c r="A551" s="1160"/>
      <c r="J551" s="1160"/>
    </row>
    <row r="552" spans="1:10">
      <c r="A552" s="1160"/>
      <c r="J552" s="1160"/>
    </row>
    <row r="553" spans="1:10">
      <c r="A553" s="1160"/>
      <c r="J553" s="1160"/>
    </row>
    <row r="554" spans="1:10">
      <c r="A554" s="1160"/>
      <c r="J554" s="1160"/>
    </row>
    <row r="555" spans="1:10">
      <c r="A555" s="1160"/>
      <c r="J555" s="1160"/>
    </row>
    <row r="556" spans="1:10">
      <c r="A556" s="1160"/>
      <c r="J556" s="1160"/>
    </row>
    <row r="557" spans="1:10">
      <c r="A557" s="1160"/>
      <c r="J557" s="1160"/>
    </row>
    <row r="558" spans="1:10">
      <c r="A558" s="1160"/>
      <c r="J558" s="1160"/>
    </row>
    <row r="559" spans="1:10">
      <c r="A559" s="1160"/>
      <c r="J559" s="1160"/>
    </row>
    <row r="560" spans="1:10">
      <c r="A560" s="1160"/>
      <c r="J560" s="1160"/>
    </row>
    <row r="561" spans="1:10">
      <c r="A561" s="1160"/>
      <c r="J561" s="1160"/>
    </row>
    <row r="562" spans="1:10">
      <c r="A562" s="1160"/>
      <c r="J562" s="1160"/>
    </row>
    <row r="563" spans="1:10">
      <c r="A563" s="1160"/>
      <c r="J563" s="1160"/>
    </row>
    <row r="564" spans="1:10">
      <c r="A564" s="1160"/>
      <c r="J564" s="1160"/>
    </row>
    <row r="565" spans="1:10">
      <c r="A565" s="1160"/>
      <c r="J565" s="1160"/>
    </row>
    <row r="566" spans="1:10">
      <c r="A566" s="1160"/>
      <c r="J566" s="1160"/>
    </row>
    <row r="567" spans="1:10">
      <c r="A567" s="1160"/>
      <c r="J567" s="1160"/>
    </row>
    <row r="568" spans="1:10">
      <c r="A568" s="1160"/>
      <c r="J568" s="1160"/>
    </row>
    <row r="569" spans="1:10">
      <c r="A569" s="1160"/>
      <c r="J569" s="1160"/>
    </row>
    <row r="570" spans="1:10">
      <c r="A570" s="1160"/>
      <c r="J570" s="1160"/>
    </row>
    <row r="571" spans="1:10">
      <c r="A571" s="1160"/>
      <c r="J571" s="1160"/>
    </row>
    <row r="572" spans="1:10">
      <c r="A572" s="1160"/>
      <c r="J572" s="1160"/>
    </row>
    <row r="573" spans="1:10">
      <c r="A573" s="1160"/>
      <c r="J573" s="1160"/>
    </row>
    <row r="574" spans="1:10">
      <c r="A574" s="1160"/>
      <c r="J574" s="1160"/>
    </row>
    <row r="575" spans="1:10">
      <c r="A575" s="1160"/>
      <c r="J575" s="1160"/>
    </row>
    <row r="576" spans="1:10">
      <c r="A576" s="1160"/>
      <c r="J576" s="1160"/>
    </row>
    <row r="577" spans="1:10">
      <c r="A577" s="1160"/>
      <c r="J577" s="1160"/>
    </row>
    <row r="578" spans="1:10">
      <c r="A578" s="1160"/>
      <c r="J578" s="1160"/>
    </row>
    <row r="579" spans="1:10">
      <c r="A579" s="1160"/>
      <c r="J579" s="1160"/>
    </row>
    <row r="580" spans="1:10">
      <c r="A580" s="1160"/>
      <c r="J580" s="1160"/>
    </row>
    <row r="581" spans="1:10">
      <c r="A581" s="1160"/>
      <c r="J581" s="1160"/>
    </row>
    <row r="582" spans="1:10">
      <c r="A582" s="1160"/>
      <c r="J582" s="1160"/>
    </row>
    <row r="583" spans="1:10">
      <c r="A583" s="1160"/>
      <c r="J583" s="1160"/>
    </row>
    <row r="584" spans="1:10">
      <c r="A584" s="1160"/>
      <c r="J584" s="1160"/>
    </row>
    <row r="585" spans="1:10">
      <c r="A585" s="1160"/>
      <c r="J585" s="1160"/>
    </row>
    <row r="586" spans="1:10">
      <c r="A586" s="1160"/>
      <c r="J586" s="1160"/>
    </row>
    <row r="587" spans="1:10">
      <c r="A587" s="1160"/>
      <c r="J587" s="1160"/>
    </row>
    <row r="588" spans="1:10">
      <c r="A588" s="1160"/>
      <c r="J588" s="1160"/>
    </row>
    <row r="589" spans="1:10">
      <c r="A589" s="1160"/>
      <c r="J589" s="1160"/>
    </row>
    <row r="590" spans="1:10">
      <c r="A590" s="1160"/>
      <c r="J590" s="1160"/>
    </row>
    <row r="591" spans="1:10">
      <c r="A591" s="1160"/>
      <c r="J591" s="1160"/>
    </row>
    <row r="592" spans="1:10">
      <c r="A592" s="1160"/>
      <c r="J592" s="1160"/>
    </row>
    <row r="593" spans="1:10">
      <c r="A593" s="1160"/>
      <c r="J593" s="1160"/>
    </row>
    <row r="594" spans="1:10">
      <c r="A594" s="1160"/>
      <c r="J594" s="1160"/>
    </row>
    <row r="595" spans="1:10">
      <c r="A595" s="1160"/>
      <c r="J595" s="1160"/>
    </row>
    <row r="596" spans="1:10">
      <c r="A596" s="1160"/>
      <c r="J596" s="1160"/>
    </row>
    <row r="597" spans="1:10">
      <c r="A597" s="1160"/>
      <c r="J597" s="1160"/>
    </row>
    <row r="598" spans="1:10">
      <c r="A598" s="1160"/>
      <c r="J598" s="1160"/>
    </row>
    <row r="599" spans="1:10">
      <c r="A599" s="1160"/>
      <c r="J599" s="1160"/>
    </row>
    <row r="600" spans="1:10">
      <c r="A600" s="1160"/>
      <c r="J600" s="1160"/>
    </row>
    <row r="601" spans="1:10">
      <c r="A601" s="1160"/>
      <c r="J601" s="1160"/>
    </row>
    <row r="602" spans="1:10">
      <c r="A602" s="1160"/>
      <c r="J602" s="1160"/>
    </row>
    <row r="603" spans="1:10">
      <c r="A603" s="1160"/>
      <c r="J603" s="1160"/>
    </row>
    <row r="604" spans="1:10">
      <c r="A604" s="1160"/>
      <c r="J604" s="1160"/>
    </row>
    <row r="605" spans="1:10">
      <c r="A605" s="1160"/>
      <c r="J605" s="1160"/>
    </row>
    <row r="606" spans="1:10">
      <c r="A606" s="1160"/>
      <c r="J606" s="1160"/>
    </row>
    <row r="607" spans="1:10">
      <c r="A607" s="1160"/>
      <c r="J607" s="1160"/>
    </row>
    <row r="608" spans="1:10">
      <c r="A608" s="1160"/>
      <c r="J608" s="1160"/>
    </row>
    <row r="609" spans="1:10">
      <c r="A609" s="1160"/>
      <c r="J609" s="1160"/>
    </row>
    <row r="610" spans="1:10">
      <c r="A610" s="1160"/>
      <c r="J610" s="1160"/>
    </row>
    <row r="611" spans="1:10">
      <c r="A611" s="1160"/>
      <c r="J611" s="1160"/>
    </row>
    <row r="612" spans="1:10">
      <c r="A612" s="1160"/>
      <c r="J612" s="1160"/>
    </row>
    <row r="613" spans="1:10">
      <c r="A613" s="1160"/>
      <c r="J613" s="1160"/>
    </row>
    <row r="614" spans="1:10">
      <c r="A614" s="1160"/>
      <c r="J614" s="1160"/>
    </row>
    <row r="615" spans="1:10">
      <c r="A615" s="1160"/>
      <c r="J615" s="1160"/>
    </row>
    <row r="616" spans="1:10">
      <c r="A616" s="1160"/>
      <c r="J616" s="1160"/>
    </row>
    <row r="617" spans="1:10">
      <c r="A617" s="1160"/>
      <c r="J617" s="1160"/>
    </row>
    <row r="618" spans="1:10">
      <c r="A618" s="1160"/>
      <c r="J618" s="1160"/>
    </row>
    <row r="619" spans="1:10">
      <c r="A619" s="1160"/>
      <c r="J619" s="1160"/>
    </row>
    <row r="620" spans="1:10">
      <c r="A620" s="1160"/>
      <c r="J620" s="1160"/>
    </row>
    <row r="621" spans="1:10">
      <c r="A621" s="1160"/>
      <c r="J621" s="1160"/>
    </row>
    <row r="622" spans="1:10">
      <c r="A622" s="1160"/>
      <c r="J622" s="1160"/>
    </row>
    <row r="623" spans="1:10">
      <c r="A623" s="1160"/>
      <c r="J623" s="1160"/>
    </row>
    <row r="624" spans="1:10">
      <c r="A624" s="1160"/>
      <c r="J624" s="1160"/>
    </row>
    <row r="625" spans="1:10">
      <c r="A625" s="1160"/>
      <c r="J625" s="1160"/>
    </row>
    <row r="626" spans="1:10">
      <c r="A626" s="1160"/>
      <c r="J626" s="1160"/>
    </row>
    <row r="627" spans="1:10">
      <c r="A627" s="1160"/>
      <c r="J627" s="1160"/>
    </row>
    <row r="628" spans="1:10">
      <c r="A628" s="1160"/>
      <c r="J628" s="1160"/>
    </row>
    <row r="629" spans="1:10">
      <c r="A629" s="1160"/>
      <c r="J629" s="1160"/>
    </row>
    <row r="630" spans="1:10">
      <c r="A630" s="1160"/>
      <c r="J630" s="1160"/>
    </row>
    <row r="631" spans="1:10">
      <c r="A631" s="1160"/>
      <c r="J631" s="1160"/>
    </row>
    <row r="632" spans="1:10">
      <c r="A632" s="1160"/>
      <c r="J632" s="1160"/>
    </row>
    <row r="633" spans="1:10">
      <c r="A633" s="1160"/>
      <c r="J633" s="1160"/>
    </row>
    <row r="634" spans="1:10">
      <c r="A634" s="1160"/>
      <c r="J634" s="1160"/>
    </row>
    <row r="635" spans="1:10">
      <c r="A635" s="1160"/>
      <c r="J635" s="1160"/>
    </row>
    <row r="636" spans="1:10">
      <c r="A636" s="1160"/>
      <c r="J636" s="1160"/>
    </row>
    <row r="637" spans="1:10">
      <c r="A637" s="1160"/>
      <c r="J637" s="1160"/>
    </row>
    <row r="638" spans="1:10">
      <c r="A638" s="1160"/>
      <c r="J638" s="1160"/>
    </row>
    <row r="639" spans="1:10">
      <c r="A639" s="1160"/>
      <c r="J639" s="1160"/>
    </row>
    <row r="640" spans="1:10">
      <c r="A640" s="1160"/>
      <c r="J640" s="1160"/>
    </row>
    <row r="641" spans="1:10">
      <c r="A641" s="1160"/>
      <c r="J641" s="1160"/>
    </row>
    <row r="642" spans="1:10">
      <c r="A642" s="1160"/>
      <c r="J642" s="1160"/>
    </row>
    <row r="643" spans="1:10">
      <c r="A643" s="1160"/>
      <c r="J643" s="1160"/>
    </row>
    <row r="644" spans="1:10">
      <c r="A644" s="1160"/>
      <c r="J644" s="1160"/>
    </row>
    <row r="645" spans="1:10">
      <c r="A645" s="1160"/>
      <c r="J645" s="1160"/>
    </row>
    <row r="646" spans="1:10">
      <c r="A646" s="1160"/>
      <c r="J646" s="1160"/>
    </row>
    <row r="647" spans="1:10">
      <c r="A647" s="1160"/>
      <c r="J647" s="1160"/>
    </row>
    <row r="648" spans="1:10">
      <c r="A648" s="1160"/>
      <c r="J648" s="1160"/>
    </row>
    <row r="649" spans="1:10">
      <c r="A649" s="1160"/>
      <c r="J649" s="1160"/>
    </row>
    <row r="650" spans="1:10">
      <c r="A650" s="1160"/>
      <c r="J650" s="1160"/>
    </row>
    <row r="651" spans="1:10">
      <c r="A651" s="1160"/>
      <c r="J651" s="1160"/>
    </row>
    <row r="652" spans="1:10">
      <c r="A652" s="1160"/>
      <c r="J652" s="1160"/>
    </row>
    <row r="653" spans="1:10">
      <c r="A653" s="1160"/>
      <c r="J653" s="1160"/>
    </row>
    <row r="654" spans="1:10">
      <c r="A654" s="1160"/>
      <c r="J654" s="1160"/>
    </row>
    <row r="655" spans="1:10">
      <c r="A655" s="1160"/>
      <c r="J655" s="1160"/>
    </row>
    <row r="656" spans="1:10">
      <c r="A656" s="1160"/>
      <c r="J656" s="1160"/>
    </row>
    <row r="657" spans="1:10">
      <c r="A657" s="1160"/>
      <c r="J657" s="1160"/>
    </row>
    <row r="658" spans="1:10">
      <c r="A658" s="1160"/>
      <c r="J658" s="1160"/>
    </row>
    <row r="659" spans="1:10">
      <c r="A659" s="1160"/>
      <c r="J659" s="1160"/>
    </row>
    <row r="660" spans="1:10">
      <c r="A660" s="1160"/>
      <c r="J660" s="1160"/>
    </row>
    <row r="661" spans="1:10">
      <c r="A661" s="1160"/>
      <c r="J661" s="1160"/>
    </row>
    <row r="662" spans="1:10">
      <c r="A662" s="1160"/>
      <c r="J662" s="1160"/>
    </row>
    <row r="663" spans="1:10">
      <c r="A663" s="1160"/>
      <c r="J663" s="1160"/>
    </row>
    <row r="664" spans="1:10">
      <c r="A664" s="1160"/>
      <c r="J664" s="1160"/>
    </row>
    <row r="665" spans="1:10">
      <c r="A665" s="1160"/>
      <c r="J665" s="1160"/>
    </row>
    <row r="666" spans="1:10">
      <c r="A666" s="1160"/>
      <c r="J666" s="1160"/>
    </row>
    <row r="667" spans="1:10">
      <c r="A667" s="1160"/>
      <c r="J667" s="1160"/>
    </row>
    <row r="668" spans="1:10">
      <c r="A668" s="1160"/>
      <c r="J668" s="1160"/>
    </row>
    <row r="669" spans="1:10">
      <c r="A669" s="1160"/>
      <c r="J669" s="1160"/>
    </row>
    <row r="670" spans="1:10">
      <c r="A670" s="1160"/>
      <c r="J670" s="1160"/>
    </row>
    <row r="671" spans="1:10">
      <c r="A671" s="1160"/>
      <c r="J671" s="1160"/>
    </row>
    <row r="672" spans="1:10">
      <c r="A672" s="1160"/>
      <c r="J672" s="1160"/>
    </row>
    <row r="673" spans="1:10">
      <c r="A673" s="1160"/>
      <c r="J673" s="1160"/>
    </row>
    <row r="674" spans="1:10">
      <c r="A674" s="1160"/>
      <c r="J674" s="1160"/>
    </row>
    <row r="675" spans="1:10">
      <c r="A675" s="1160"/>
      <c r="J675" s="1160"/>
    </row>
    <row r="676" spans="1:10">
      <c r="A676" s="1160"/>
      <c r="J676" s="1160"/>
    </row>
    <row r="677" spans="1:10">
      <c r="A677" s="1160"/>
      <c r="J677" s="1160"/>
    </row>
    <row r="678" spans="1:10">
      <c r="A678" s="1160"/>
      <c r="J678" s="1160"/>
    </row>
    <row r="679" spans="1:10">
      <c r="A679" s="1160"/>
      <c r="J679" s="1160"/>
    </row>
    <row r="680" spans="1:10">
      <c r="A680" s="1160"/>
      <c r="J680" s="1160"/>
    </row>
    <row r="681" spans="1:10">
      <c r="A681" s="1160"/>
      <c r="J681" s="1160"/>
    </row>
    <row r="682" spans="1:10">
      <c r="A682" s="1160"/>
      <c r="J682" s="1160"/>
    </row>
    <row r="683" spans="1:10">
      <c r="A683" s="1160"/>
      <c r="J683" s="1160"/>
    </row>
    <row r="684" spans="1:10">
      <c r="A684" s="1160"/>
      <c r="J684" s="1160"/>
    </row>
    <row r="685" spans="1:10">
      <c r="A685" s="1160"/>
      <c r="J685" s="1160"/>
    </row>
    <row r="686" spans="1:10">
      <c r="A686" s="1160"/>
      <c r="J686" s="1160"/>
    </row>
    <row r="687" spans="1:10">
      <c r="A687" s="1160"/>
      <c r="J687" s="1160"/>
    </row>
    <row r="688" spans="1:10">
      <c r="A688" s="1160"/>
      <c r="J688" s="1160"/>
    </row>
    <row r="689" spans="1:10">
      <c r="A689" s="1160"/>
      <c r="J689" s="1160"/>
    </row>
    <row r="690" spans="1:10">
      <c r="A690" s="1160"/>
      <c r="J690" s="1160"/>
    </row>
    <row r="691" spans="1:10">
      <c r="A691" s="1160"/>
      <c r="J691" s="1160"/>
    </row>
    <row r="692" spans="1:10">
      <c r="A692" s="1160"/>
      <c r="J692" s="1160"/>
    </row>
    <row r="693" spans="1:10">
      <c r="A693" s="1160"/>
      <c r="J693" s="1160"/>
    </row>
    <row r="694" spans="1:10">
      <c r="A694" s="1160"/>
      <c r="J694" s="1160"/>
    </row>
    <row r="695" spans="1:10">
      <c r="A695" s="1160"/>
      <c r="J695" s="1160"/>
    </row>
    <row r="696" spans="1:10">
      <c r="A696" s="1160"/>
      <c r="J696" s="1160"/>
    </row>
    <row r="697" spans="1:10">
      <c r="A697" s="1160"/>
      <c r="J697" s="1160"/>
    </row>
    <row r="698" spans="1:10">
      <c r="A698" s="1160"/>
      <c r="J698" s="1160"/>
    </row>
    <row r="699" spans="1:10">
      <c r="A699" s="1160"/>
      <c r="J699" s="1160"/>
    </row>
    <row r="700" spans="1:10">
      <c r="A700" s="1160"/>
      <c r="J700" s="1160"/>
    </row>
    <row r="701" spans="1:10">
      <c r="A701" s="1160"/>
      <c r="J701" s="1160"/>
    </row>
    <row r="702" spans="1:10">
      <c r="A702" s="1160"/>
      <c r="J702" s="1160"/>
    </row>
    <row r="703" spans="1:10">
      <c r="A703" s="1160"/>
      <c r="J703" s="1160"/>
    </row>
    <row r="704" spans="1:10">
      <c r="A704" s="1160"/>
      <c r="J704" s="1160"/>
    </row>
    <row r="705" spans="1:10">
      <c r="A705" s="1160"/>
      <c r="J705" s="1160"/>
    </row>
    <row r="706" spans="1:10">
      <c r="A706" s="1160"/>
      <c r="J706" s="1160"/>
    </row>
    <row r="707" spans="1:10">
      <c r="A707" s="1160"/>
      <c r="J707" s="1160"/>
    </row>
    <row r="708" spans="1:10">
      <c r="A708" s="1160"/>
      <c r="J708" s="1160"/>
    </row>
    <row r="709" spans="1:10">
      <c r="A709" s="1160"/>
      <c r="J709" s="1160"/>
    </row>
    <row r="710" spans="1:10">
      <c r="A710" s="1160"/>
      <c r="J710" s="1160"/>
    </row>
    <row r="711" spans="1:10">
      <c r="A711" s="1160"/>
      <c r="J711" s="1160"/>
    </row>
    <row r="712" spans="1:10">
      <c r="A712" s="1160"/>
      <c r="J712" s="1160"/>
    </row>
    <row r="713" spans="1:10">
      <c r="A713" s="1160"/>
      <c r="J713" s="1160"/>
    </row>
    <row r="714" spans="1:10">
      <c r="A714" s="1160"/>
      <c r="J714" s="1160"/>
    </row>
    <row r="715" spans="1:10">
      <c r="A715" s="1160"/>
      <c r="J715" s="1160"/>
    </row>
    <row r="716" spans="1:10">
      <c r="A716" s="1160"/>
      <c r="J716" s="1160"/>
    </row>
    <row r="717" spans="1:10">
      <c r="A717" s="1160"/>
      <c r="J717" s="1160"/>
    </row>
    <row r="718" spans="1:10">
      <c r="A718" s="1160"/>
      <c r="J718" s="1160"/>
    </row>
    <row r="719" spans="1:10">
      <c r="A719" s="1160"/>
      <c r="J719" s="1160"/>
    </row>
    <row r="720" spans="1:10">
      <c r="A720" s="1160"/>
      <c r="J720" s="1160"/>
    </row>
    <row r="721" spans="1:10">
      <c r="A721" s="1160"/>
      <c r="J721" s="1160"/>
    </row>
    <row r="722" spans="1:10">
      <c r="A722" s="1160"/>
      <c r="J722" s="1160"/>
    </row>
    <row r="723" spans="1:10">
      <c r="A723" s="1160"/>
      <c r="J723" s="1160"/>
    </row>
    <row r="724" spans="1:10">
      <c r="A724" s="1160"/>
      <c r="J724" s="1160"/>
    </row>
    <row r="725" spans="1:10">
      <c r="A725" s="1160"/>
      <c r="J725" s="1160"/>
    </row>
    <row r="726" spans="1:10">
      <c r="A726" s="1160"/>
      <c r="J726" s="1160"/>
    </row>
    <row r="727" spans="1:10">
      <c r="A727" s="1160"/>
      <c r="J727" s="1160"/>
    </row>
    <row r="728" spans="1:10">
      <c r="A728" s="1160"/>
      <c r="J728" s="1160"/>
    </row>
    <row r="729" spans="1:10">
      <c r="A729" s="1160"/>
      <c r="J729" s="1160"/>
    </row>
    <row r="730" spans="1:10">
      <c r="A730" s="1160"/>
      <c r="J730" s="1160"/>
    </row>
    <row r="731" spans="1:10">
      <c r="A731" s="1160"/>
      <c r="J731" s="1160"/>
    </row>
    <row r="732" spans="1:10">
      <c r="A732" s="1160"/>
      <c r="J732" s="1160"/>
    </row>
    <row r="733" spans="1:10">
      <c r="A733" s="1160"/>
      <c r="J733" s="1160"/>
    </row>
    <row r="734" spans="1:10">
      <c r="A734" s="1160"/>
      <c r="J734" s="1160"/>
    </row>
    <row r="735" spans="1:10">
      <c r="A735" s="1160"/>
      <c r="J735" s="1160"/>
    </row>
    <row r="736" spans="1:10">
      <c r="A736" s="1160"/>
      <c r="J736" s="1160"/>
    </row>
    <row r="737" spans="1:10">
      <c r="A737" s="1160"/>
      <c r="J737" s="1160"/>
    </row>
    <row r="738" spans="1:10">
      <c r="A738" s="1160"/>
      <c r="J738" s="1160"/>
    </row>
    <row r="739" spans="1:10">
      <c r="A739" s="1160"/>
      <c r="J739" s="1160"/>
    </row>
    <row r="740" spans="1:10">
      <c r="A740" s="1160"/>
      <c r="J740" s="1160"/>
    </row>
    <row r="741" spans="1:10">
      <c r="A741" s="1160"/>
      <c r="J741" s="1160"/>
    </row>
    <row r="742" spans="1:10">
      <c r="A742" s="1160"/>
      <c r="J742" s="1160"/>
    </row>
    <row r="743" spans="1:10">
      <c r="A743" s="1160"/>
      <c r="J743" s="1160"/>
    </row>
    <row r="744" spans="1:10">
      <c r="A744" s="1160"/>
      <c r="J744" s="1160"/>
    </row>
    <row r="745" spans="1:10">
      <c r="A745" s="1160"/>
      <c r="J745" s="1160"/>
    </row>
    <row r="746" spans="1:10">
      <c r="A746" s="1160"/>
      <c r="J746" s="1160"/>
    </row>
    <row r="747" spans="1:10">
      <c r="A747" s="1160"/>
      <c r="J747" s="1160"/>
    </row>
    <row r="748" spans="1:10">
      <c r="A748" s="1160"/>
      <c r="J748" s="1160"/>
    </row>
    <row r="749" spans="1:10">
      <c r="A749" s="1160"/>
      <c r="J749" s="1160"/>
    </row>
    <row r="750" spans="1:10">
      <c r="A750" s="1160"/>
      <c r="J750" s="1160"/>
    </row>
    <row r="751" spans="1:10">
      <c r="A751" s="1160"/>
      <c r="J751" s="1160"/>
    </row>
    <row r="752" spans="1:10">
      <c r="A752" s="1160"/>
      <c r="J752" s="1160"/>
    </row>
    <row r="753" spans="1:10">
      <c r="A753" s="1160"/>
      <c r="J753" s="1160"/>
    </row>
    <row r="754" spans="1:10">
      <c r="A754" s="1160"/>
      <c r="J754" s="1160"/>
    </row>
    <row r="755" spans="1:10">
      <c r="A755" s="1160"/>
      <c r="J755" s="1160"/>
    </row>
    <row r="756" spans="1:10">
      <c r="A756" s="1160"/>
      <c r="J756" s="1160"/>
    </row>
    <row r="757" spans="1:10">
      <c r="A757" s="1160"/>
      <c r="J757" s="1160"/>
    </row>
    <row r="758" spans="1:10">
      <c r="A758" s="1160"/>
      <c r="J758" s="1160"/>
    </row>
    <row r="759" spans="1:10">
      <c r="A759" s="1160"/>
      <c r="J759" s="1160"/>
    </row>
    <row r="760" spans="1:10">
      <c r="A760" s="1160"/>
      <c r="J760" s="1160"/>
    </row>
    <row r="761" spans="1:10">
      <c r="A761" s="1160"/>
      <c r="J761" s="1160"/>
    </row>
    <row r="762" spans="1:10">
      <c r="A762" s="1160"/>
      <c r="J762" s="1160"/>
    </row>
    <row r="763" spans="1:10">
      <c r="A763" s="1160"/>
      <c r="J763" s="1160"/>
    </row>
    <row r="764" spans="1:10">
      <c r="A764" s="1160"/>
      <c r="J764" s="1160"/>
    </row>
    <row r="765" spans="1:10">
      <c r="A765" s="1160"/>
      <c r="J765" s="1160"/>
    </row>
    <row r="766" spans="1:10">
      <c r="A766" s="1160"/>
      <c r="J766" s="1160"/>
    </row>
    <row r="767" spans="1:10">
      <c r="A767" s="1160"/>
      <c r="J767" s="1160"/>
    </row>
    <row r="768" spans="1:10">
      <c r="A768" s="1160"/>
      <c r="J768" s="1160"/>
    </row>
    <row r="769" spans="1:10">
      <c r="A769" s="1160"/>
      <c r="J769" s="1160"/>
    </row>
    <row r="770" spans="1:10">
      <c r="A770" s="1160"/>
      <c r="J770" s="1160"/>
    </row>
    <row r="771" spans="1:10">
      <c r="A771" s="1160"/>
      <c r="J771" s="1160"/>
    </row>
    <row r="772" spans="1:10">
      <c r="A772" s="1160"/>
      <c r="J772" s="1160"/>
    </row>
    <row r="773" spans="1:10">
      <c r="A773" s="1160"/>
      <c r="J773" s="1160"/>
    </row>
    <row r="774" spans="1:10">
      <c r="A774" s="1160"/>
      <c r="J774" s="1160"/>
    </row>
    <row r="775" spans="1:10">
      <c r="A775" s="1160"/>
      <c r="J775" s="1160"/>
    </row>
    <row r="776" spans="1:10">
      <c r="A776" s="1160"/>
      <c r="J776" s="1160"/>
    </row>
    <row r="777" spans="1:10">
      <c r="A777" s="1160"/>
      <c r="J777" s="1160"/>
    </row>
    <row r="778" spans="1:10">
      <c r="A778" s="1160"/>
      <c r="J778" s="1160"/>
    </row>
    <row r="779" spans="1:10">
      <c r="A779" s="1160"/>
      <c r="J779" s="1160"/>
    </row>
    <row r="780" spans="1:10">
      <c r="A780" s="1160"/>
      <c r="J780" s="1160"/>
    </row>
    <row r="781" spans="1:10">
      <c r="A781" s="1160"/>
      <c r="J781" s="1160"/>
    </row>
    <row r="782" spans="1:10">
      <c r="A782" s="1160"/>
      <c r="J782" s="1160"/>
    </row>
    <row r="783" spans="1:10">
      <c r="A783" s="1160"/>
      <c r="J783" s="1160"/>
    </row>
    <row r="784" spans="1:10">
      <c r="A784" s="1160"/>
      <c r="J784" s="1160"/>
    </row>
    <row r="785" spans="1:10">
      <c r="A785" s="1160"/>
      <c r="J785" s="1160"/>
    </row>
    <row r="786" spans="1:10">
      <c r="A786" s="1160"/>
      <c r="J786" s="1160"/>
    </row>
    <row r="787" spans="1:10">
      <c r="A787" s="1160"/>
      <c r="J787" s="1160"/>
    </row>
    <row r="788" spans="1:10">
      <c r="A788" s="1160"/>
      <c r="J788" s="1160"/>
    </row>
    <row r="789" spans="1:10">
      <c r="A789" s="1160"/>
      <c r="J789" s="1160"/>
    </row>
    <row r="790" spans="1:10">
      <c r="A790" s="1160"/>
      <c r="J790" s="1160"/>
    </row>
    <row r="791" spans="1:10">
      <c r="A791" s="1160"/>
      <c r="J791" s="1160"/>
    </row>
    <row r="792" spans="1:10">
      <c r="A792" s="1160"/>
      <c r="J792" s="1160"/>
    </row>
    <row r="793" spans="1:10">
      <c r="A793" s="1160"/>
      <c r="J793" s="1160"/>
    </row>
    <row r="794" spans="1:10">
      <c r="A794" s="1160"/>
      <c r="J794" s="1160"/>
    </row>
    <row r="795" spans="1:10">
      <c r="A795" s="1160"/>
      <c r="J795" s="1160"/>
    </row>
    <row r="796" spans="1:10">
      <c r="A796" s="1160"/>
      <c r="J796" s="1160"/>
    </row>
    <row r="797" spans="1:10">
      <c r="A797" s="1160"/>
      <c r="J797" s="1160"/>
    </row>
    <row r="798" spans="1:10">
      <c r="A798" s="1160"/>
      <c r="J798" s="1160"/>
    </row>
    <row r="799" spans="1:10">
      <c r="A799" s="1160"/>
      <c r="J799" s="1160"/>
    </row>
    <row r="800" spans="1:10">
      <c r="A800" s="1160"/>
      <c r="J800" s="1160"/>
    </row>
    <row r="801" spans="1:10">
      <c r="A801" s="1160"/>
      <c r="J801" s="1160"/>
    </row>
    <row r="802" spans="1:10">
      <c r="A802" s="1160"/>
      <c r="J802" s="1160"/>
    </row>
    <row r="803" spans="1:10">
      <c r="A803" s="1160"/>
      <c r="J803" s="1160"/>
    </row>
    <row r="804" spans="1:10">
      <c r="A804" s="1160"/>
      <c r="J804" s="1160"/>
    </row>
    <row r="805" spans="1:10">
      <c r="A805" s="1160"/>
      <c r="J805" s="1160"/>
    </row>
    <row r="806" spans="1:10">
      <c r="A806" s="1160"/>
      <c r="J806" s="1160"/>
    </row>
    <row r="807" spans="1:10">
      <c r="A807" s="1160"/>
      <c r="J807" s="1160"/>
    </row>
    <row r="808" spans="1:10">
      <c r="A808" s="1160"/>
      <c r="J808" s="1160"/>
    </row>
    <row r="809" spans="1:10">
      <c r="A809" s="1160"/>
      <c r="J809" s="1160"/>
    </row>
    <row r="810" spans="1:10">
      <c r="A810" s="1160"/>
      <c r="J810" s="1160"/>
    </row>
    <row r="811" spans="1:10">
      <c r="A811" s="1160"/>
      <c r="J811" s="1160"/>
    </row>
    <row r="812" spans="1:10">
      <c r="A812" s="1160"/>
      <c r="J812" s="1160"/>
    </row>
    <row r="813" spans="1:10">
      <c r="A813" s="1160"/>
      <c r="J813" s="1160"/>
    </row>
    <row r="814" spans="1:10">
      <c r="A814" s="1160"/>
      <c r="J814" s="1160"/>
    </row>
    <row r="815" spans="1:10">
      <c r="A815" s="1160"/>
      <c r="J815" s="1160"/>
    </row>
    <row r="816" spans="1:10">
      <c r="A816" s="1160"/>
      <c r="J816" s="1160"/>
    </row>
    <row r="817" spans="1:10">
      <c r="A817" s="1160"/>
      <c r="J817" s="1160"/>
    </row>
    <row r="818" spans="1:10">
      <c r="A818" s="1160"/>
      <c r="J818" s="1160"/>
    </row>
    <row r="819" spans="1:10">
      <c r="A819" s="1160"/>
      <c r="J819" s="1160"/>
    </row>
    <row r="820" spans="1:10">
      <c r="A820" s="1160"/>
      <c r="J820" s="1160"/>
    </row>
    <row r="821" spans="1:10">
      <c r="A821" s="1160"/>
      <c r="J821" s="1160"/>
    </row>
    <row r="822" spans="1:10">
      <c r="A822" s="1160"/>
      <c r="J822" s="1160"/>
    </row>
    <row r="823" spans="1:10">
      <c r="A823" s="1160"/>
      <c r="J823" s="1160"/>
    </row>
    <row r="824" spans="1:10">
      <c r="A824" s="1160"/>
      <c r="J824" s="1160"/>
    </row>
    <row r="825" spans="1:10">
      <c r="A825" s="1160"/>
      <c r="J825" s="1160"/>
    </row>
    <row r="826" spans="1:10">
      <c r="A826" s="1160"/>
      <c r="J826" s="1160"/>
    </row>
    <row r="827" spans="1:10">
      <c r="A827" s="1160"/>
      <c r="J827" s="1160"/>
    </row>
    <row r="828" spans="1:10">
      <c r="A828" s="1160"/>
      <c r="J828" s="1160"/>
    </row>
    <row r="829" spans="1:10">
      <c r="A829" s="1160"/>
      <c r="J829" s="1160"/>
    </row>
    <row r="830" spans="1:10">
      <c r="A830" s="1160"/>
      <c r="J830" s="1160"/>
    </row>
    <row r="831" spans="1:10">
      <c r="A831" s="1160"/>
      <c r="J831" s="1160"/>
    </row>
    <row r="832" spans="1:10">
      <c r="A832" s="1160"/>
      <c r="J832" s="1160"/>
    </row>
    <row r="833" spans="1:10">
      <c r="A833" s="1160"/>
      <c r="J833" s="1160"/>
    </row>
    <row r="834" spans="1:10">
      <c r="A834" s="1160"/>
      <c r="J834" s="1160"/>
    </row>
    <row r="835" spans="1:10">
      <c r="A835" s="1160"/>
      <c r="J835" s="1160"/>
    </row>
    <row r="836" spans="1:10">
      <c r="A836" s="1160"/>
      <c r="J836" s="1160"/>
    </row>
    <row r="837" spans="1:10">
      <c r="A837" s="1160"/>
      <c r="J837" s="1160"/>
    </row>
    <row r="838" spans="1:10">
      <c r="A838" s="1160"/>
      <c r="J838" s="1160"/>
    </row>
    <row r="839" spans="1:10">
      <c r="A839" s="1160"/>
      <c r="J839" s="1160"/>
    </row>
    <row r="840" spans="1:10">
      <c r="A840" s="1160"/>
      <c r="J840" s="1160"/>
    </row>
    <row r="841" spans="1:10">
      <c r="A841" s="1160"/>
      <c r="J841" s="1160"/>
    </row>
    <row r="842" spans="1:10">
      <c r="A842" s="1160"/>
      <c r="J842" s="1160"/>
    </row>
    <row r="843" spans="1:10">
      <c r="A843" s="1160"/>
      <c r="J843" s="1160"/>
    </row>
    <row r="844" spans="1:10">
      <c r="A844" s="1160"/>
      <c r="J844" s="1160"/>
    </row>
    <row r="845" spans="1:10">
      <c r="A845" s="1160"/>
      <c r="J845" s="1160"/>
    </row>
    <row r="846" spans="1:10">
      <c r="A846" s="1160"/>
      <c r="J846" s="1160"/>
    </row>
    <row r="847" spans="1:10">
      <c r="A847" s="1160"/>
      <c r="J847" s="1160"/>
    </row>
    <row r="848" spans="1:10">
      <c r="A848" s="1160"/>
      <c r="J848" s="1160"/>
    </row>
    <row r="849" spans="1:10">
      <c r="A849" s="1160"/>
      <c r="J849" s="1160"/>
    </row>
    <row r="850" spans="1:10">
      <c r="A850" s="1160"/>
      <c r="J850" s="1160"/>
    </row>
    <row r="851" spans="1:10">
      <c r="A851" s="1160"/>
      <c r="J851" s="1160"/>
    </row>
    <row r="852" spans="1:10">
      <c r="A852" s="1160"/>
      <c r="J852" s="1160"/>
    </row>
    <row r="853" spans="1:10">
      <c r="A853" s="1160"/>
      <c r="J853" s="1160"/>
    </row>
    <row r="854" spans="1:10">
      <c r="A854" s="1160"/>
      <c r="J854" s="1160"/>
    </row>
    <row r="855" spans="1:10">
      <c r="A855" s="1160"/>
      <c r="J855" s="1160"/>
    </row>
    <row r="856" spans="1:10">
      <c r="A856" s="1160"/>
      <c r="J856" s="1160"/>
    </row>
    <row r="857" spans="1:10">
      <c r="A857" s="1160"/>
      <c r="J857" s="1160"/>
    </row>
    <row r="858" spans="1:10">
      <c r="A858" s="1160"/>
      <c r="J858" s="1160"/>
    </row>
    <row r="859" spans="1:10">
      <c r="A859" s="1160"/>
      <c r="J859" s="1160"/>
    </row>
    <row r="860" spans="1:10">
      <c r="A860" s="1160"/>
      <c r="J860" s="1160"/>
    </row>
    <row r="861" spans="1:10">
      <c r="A861" s="1160"/>
      <c r="J861" s="1160"/>
    </row>
    <row r="862" spans="1:10">
      <c r="A862" s="1160"/>
      <c r="J862" s="1160"/>
    </row>
    <row r="863" spans="1:10">
      <c r="A863" s="1160"/>
      <c r="J863" s="1160"/>
    </row>
    <row r="864" spans="1:10">
      <c r="A864" s="1160"/>
      <c r="J864" s="1160"/>
    </row>
    <row r="865" spans="1:10">
      <c r="A865" s="1160"/>
      <c r="J865" s="1160"/>
    </row>
    <row r="866" spans="1:10">
      <c r="A866" s="1160"/>
      <c r="J866" s="1160"/>
    </row>
    <row r="867" spans="1:10">
      <c r="A867" s="1160"/>
      <c r="J867" s="1160"/>
    </row>
    <row r="868" spans="1:10">
      <c r="A868" s="1160"/>
      <c r="J868" s="1160"/>
    </row>
    <row r="869" spans="1:10">
      <c r="A869" s="1160"/>
      <c r="J869" s="1160"/>
    </row>
    <row r="870" spans="1:10">
      <c r="A870" s="1160"/>
      <c r="J870" s="1160"/>
    </row>
    <row r="871" spans="1:10">
      <c r="A871" s="1160"/>
      <c r="J871" s="1160"/>
    </row>
    <row r="872" spans="1:10">
      <c r="A872" s="1160"/>
      <c r="J872" s="1160"/>
    </row>
    <row r="873" spans="1:10">
      <c r="A873" s="1160"/>
      <c r="J873" s="1160"/>
    </row>
    <row r="874" spans="1:10">
      <c r="A874" s="1160"/>
      <c r="J874" s="1160"/>
    </row>
    <row r="875" spans="1:10">
      <c r="A875" s="1160"/>
      <c r="J875" s="1160"/>
    </row>
    <row r="876" spans="1:10">
      <c r="A876" s="1160"/>
      <c r="J876" s="1160"/>
    </row>
    <row r="877" spans="1:10">
      <c r="A877" s="1160"/>
      <c r="J877" s="1160"/>
    </row>
    <row r="878" spans="1:10">
      <c r="A878" s="1160"/>
      <c r="J878" s="1160"/>
    </row>
    <row r="879" spans="1:10">
      <c r="A879" s="1160"/>
      <c r="J879" s="1160"/>
    </row>
    <row r="880" spans="1:10">
      <c r="A880" s="1160"/>
      <c r="J880" s="1160"/>
    </row>
    <row r="881" spans="1:10">
      <c r="A881" s="1160"/>
      <c r="J881" s="1160"/>
    </row>
    <row r="882" spans="1:10">
      <c r="A882" s="1160"/>
      <c r="J882" s="1160"/>
    </row>
    <row r="883" spans="1:10">
      <c r="A883" s="1160"/>
      <c r="J883" s="1160"/>
    </row>
    <row r="884" spans="1:10">
      <c r="A884" s="1160"/>
      <c r="J884" s="1160"/>
    </row>
    <row r="885" spans="1:10">
      <c r="A885" s="1160"/>
      <c r="J885" s="1160"/>
    </row>
    <row r="886" spans="1:10">
      <c r="A886" s="1160"/>
      <c r="J886" s="1160"/>
    </row>
    <row r="887" spans="1:10">
      <c r="A887" s="1160"/>
      <c r="J887" s="1160"/>
    </row>
    <row r="888" spans="1:10">
      <c r="A888" s="1160"/>
      <c r="J888" s="1160"/>
    </row>
    <row r="889" spans="1:10">
      <c r="A889" s="1160"/>
      <c r="J889" s="1160"/>
    </row>
    <row r="890" spans="1:10">
      <c r="A890" s="1160"/>
      <c r="J890" s="1160"/>
    </row>
    <row r="891" spans="1:10">
      <c r="A891" s="1160"/>
      <c r="J891" s="1160"/>
    </row>
    <row r="892" spans="1:10">
      <c r="A892" s="1160"/>
      <c r="J892" s="1160"/>
    </row>
    <row r="893" spans="1:10">
      <c r="A893" s="1160"/>
      <c r="J893" s="1160"/>
    </row>
    <row r="894" spans="1:10">
      <c r="A894" s="1160"/>
      <c r="J894" s="1160"/>
    </row>
    <row r="895" spans="1:10">
      <c r="A895" s="1160"/>
      <c r="J895" s="1160"/>
    </row>
    <row r="896" spans="1:10">
      <c r="A896" s="1160"/>
      <c r="J896" s="1160"/>
    </row>
    <row r="897" spans="1:10">
      <c r="A897" s="1160"/>
      <c r="J897" s="1160"/>
    </row>
    <row r="898" spans="1:10">
      <c r="A898" s="1160"/>
      <c r="J898" s="1160"/>
    </row>
    <row r="899" spans="1:10">
      <c r="A899" s="1160"/>
      <c r="J899" s="1160"/>
    </row>
    <row r="900" spans="1:10">
      <c r="A900" s="1160"/>
      <c r="J900" s="1160"/>
    </row>
    <row r="901" spans="1:10">
      <c r="A901" s="1160"/>
      <c r="J901" s="1160"/>
    </row>
    <row r="902" spans="1:10">
      <c r="A902" s="1160"/>
      <c r="J902" s="1160"/>
    </row>
    <row r="903" spans="1:10">
      <c r="A903" s="1160"/>
      <c r="J903" s="1160"/>
    </row>
    <row r="904" spans="1:10">
      <c r="A904" s="1160"/>
      <c r="J904" s="1160"/>
    </row>
    <row r="905" spans="1:10">
      <c r="A905" s="1160"/>
      <c r="J905" s="1160"/>
    </row>
    <row r="906" spans="1:10">
      <c r="A906" s="1160"/>
      <c r="J906" s="1160"/>
    </row>
    <row r="907" spans="1:10">
      <c r="A907" s="1160"/>
      <c r="J907" s="1160"/>
    </row>
    <row r="908" spans="1:10">
      <c r="A908" s="1160"/>
      <c r="J908" s="1160"/>
    </row>
    <row r="909" spans="1:10">
      <c r="A909" s="1160"/>
      <c r="J909" s="1160"/>
    </row>
    <row r="910" spans="1:10">
      <c r="A910" s="1160"/>
      <c r="J910" s="1160"/>
    </row>
    <row r="911" spans="1:10">
      <c r="A911" s="1160"/>
      <c r="J911" s="1160"/>
    </row>
    <row r="912" spans="1:10">
      <c r="A912" s="1160"/>
      <c r="J912" s="1160"/>
    </row>
    <row r="913" spans="1:10">
      <c r="A913" s="1160"/>
      <c r="J913" s="1160"/>
    </row>
    <row r="914" spans="1:10">
      <c r="A914" s="1160"/>
      <c r="J914" s="1160"/>
    </row>
    <row r="915" spans="1:10">
      <c r="A915" s="1160"/>
      <c r="J915" s="1160"/>
    </row>
    <row r="916" spans="1:10">
      <c r="A916" s="1160"/>
      <c r="J916" s="1160"/>
    </row>
    <row r="917" spans="1:10">
      <c r="A917" s="1160"/>
      <c r="J917" s="1160"/>
    </row>
    <row r="918" spans="1:10">
      <c r="A918" s="1160"/>
      <c r="J918" s="1160"/>
    </row>
    <row r="919" spans="1:10">
      <c r="A919" s="1160"/>
      <c r="J919" s="1160"/>
    </row>
    <row r="920" spans="1:10">
      <c r="A920" s="1160"/>
      <c r="J920" s="1160"/>
    </row>
    <row r="921" spans="1:10">
      <c r="A921" s="1160"/>
      <c r="J921" s="1160"/>
    </row>
    <row r="922" spans="1:10">
      <c r="A922" s="1160"/>
      <c r="J922" s="1160"/>
    </row>
    <row r="923" spans="1:10">
      <c r="A923" s="1160"/>
      <c r="J923" s="1160"/>
    </row>
    <row r="924" spans="1:10">
      <c r="A924" s="1160"/>
      <c r="J924" s="1160"/>
    </row>
    <row r="925" spans="1:10">
      <c r="A925" s="1160"/>
      <c r="J925" s="1160"/>
    </row>
    <row r="926" spans="1:10">
      <c r="A926" s="1160"/>
      <c r="J926" s="1160"/>
    </row>
    <row r="927" spans="1:10">
      <c r="A927" s="1160"/>
      <c r="J927" s="1160"/>
    </row>
    <row r="928" spans="1:10">
      <c r="A928" s="1160"/>
      <c r="J928" s="1160"/>
    </row>
    <row r="929" spans="1:10">
      <c r="A929" s="1160"/>
      <c r="J929" s="1160"/>
    </row>
    <row r="930" spans="1:10">
      <c r="A930" s="1160"/>
      <c r="J930" s="1160"/>
    </row>
    <row r="931" spans="1:10">
      <c r="A931" s="1160"/>
      <c r="J931" s="1160"/>
    </row>
    <row r="932" spans="1:10">
      <c r="A932" s="1160"/>
      <c r="J932" s="1160"/>
    </row>
    <row r="933" spans="1:10">
      <c r="A933" s="1160"/>
      <c r="J933" s="1160"/>
    </row>
    <row r="934" spans="1:10">
      <c r="A934" s="1160"/>
      <c r="J934" s="1160"/>
    </row>
    <row r="935" spans="1:10">
      <c r="A935" s="1160"/>
      <c r="J935" s="1160"/>
    </row>
    <row r="936" spans="1:10">
      <c r="A936" s="1160"/>
      <c r="J936" s="1160"/>
    </row>
    <row r="937" spans="1:10">
      <c r="A937" s="1160"/>
      <c r="J937" s="1160"/>
    </row>
    <row r="938" spans="1:10">
      <c r="A938" s="1160"/>
      <c r="J938" s="1160"/>
    </row>
    <row r="939" spans="1:10">
      <c r="A939" s="1160"/>
      <c r="J939" s="1160"/>
    </row>
    <row r="940" spans="1:10">
      <c r="A940" s="1160"/>
      <c r="J940" s="1160"/>
    </row>
    <row r="941" spans="1:10">
      <c r="A941" s="1160"/>
      <c r="J941" s="1160"/>
    </row>
    <row r="942" spans="1:10">
      <c r="A942" s="1160"/>
      <c r="J942" s="1160"/>
    </row>
    <row r="943" spans="1:10">
      <c r="A943" s="1160"/>
      <c r="J943" s="1160"/>
    </row>
    <row r="944" spans="1:10">
      <c r="A944" s="1160"/>
      <c r="J944" s="1160"/>
    </row>
    <row r="945" spans="1:10">
      <c r="A945" s="1160"/>
      <c r="J945" s="1160"/>
    </row>
    <row r="946" spans="1:10">
      <c r="A946" s="1160"/>
      <c r="J946" s="1160"/>
    </row>
    <row r="947" spans="1:10">
      <c r="A947" s="1160"/>
      <c r="J947" s="1160"/>
    </row>
    <row r="948" spans="1:10">
      <c r="A948" s="1160"/>
      <c r="J948" s="1160"/>
    </row>
    <row r="949" spans="1:10">
      <c r="A949" s="1160"/>
      <c r="J949" s="1160"/>
    </row>
    <row r="950" spans="1:10">
      <c r="A950" s="1160"/>
      <c r="J950" s="1160"/>
    </row>
    <row r="951" spans="1:10">
      <c r="A951" s="1160"/>
      <c r="J951" s="1160"/>
    </row>
    <row r="952" spans="1:10">
      <c r="A952" s="1160"/>
      <c r="J952" s="1160"/>
    </row>
    <row r="953" spans="1:10">
      <c r="A953" s="1160"/>
      <c r="J953" s="1160"/>
    </row>
    <row r="954" spans="1:10">
      <c r="A954" s="1160"/>
      <c r="J954" s="1160"/>
    </row>
    <row r="955" spans="1:10">
      <c r="A955" s="1160"/>
      <c r="J955" s="1160"/>
    </row>
    <row r="956" spans="1:10">
      <c r="A956" s="1160"/>
      <c r="J956" s="1160"/>
    </row>
    <row r="957" spans="1:10">
      <c r="A957" s="1160"/>
      <c r="J957" s="1160"/>
    </row>
    <row r="958" spans="1:10">
      <c r="A958" s="1160"/>
      <c r="J958" s="1160"/>
    </row>
    <row r="959" spans="1:10">
      <c r="A959" s="1160"/>
      <c r="J959" s="1160"/>
    </row>
    <row r="960" spans="1:10">
      <c r="A960" s="1160"/>
      <c r="J960" s="1160"/>
    </row>
    <row r="961" spans="1:10">
      <c r="A961" s="1160"/>
      <c r="J961" s="1160"/>
    </row>
    <row r="962" spans="1:10">
      <c r="A962" s="1160"/>
      <c r="J962" s="1160"/>
    </row>
    <row r="963" spans="1:10">
      <c r="A963" s="1160"/>
      <c r="J963" s="1160"/>
    </row>
    <row r="964" spans="1:10">
      <c r="A964" s="1160"/>
      <c r="J964" s="1160"/>
    </row>
    <row r="965" spans="1:10">
      <c r="A965" s="1160"/>
      <c r="J965" s="1160"/>
    </row>
    <row r="966" spans="1:10">
      <c r="A966" s="1160"/>
      <c r="J966" s="1160"/>
    </row>
    <row r="967" spans="1:10">
      <c r="A967" s="1160"/>
      <c r="J967" s="1160"/>
    </row>
    <row r="968" spans="1:10">
      <c r="A968" s="1160"/>
      <c r="J968" s="1160"/>
    </row>
    <row r="969" spans="1:10">
      <c r="A969" s="1160"/>
      <c r="J969" s="1160"/>
    </row>
    <row r="970" spans="1:10">
      <c r="A970" s="1160"/>
      <c r="J970" s="1160"/>
    </row>
    <row r="971" spans="1:10">
      <c r="A971" s="1160"/>
      <c r="J971" s="1160"/>
    </row>
    <row r="972" spans="1:10">
      <c r="A972" s="1160"/>
      <c r="J972" s="1160"/>
    </row>
    <row r="973" spans="1:10">
      <c r="A973" s="1160"/>
      <c r="J973" s="1160"/>
    </row>
    <row r="974" spans="1:10">
      <c r="A974" s="1160"/>
      <c r="J974" s="1160"/>
    </row>
    <row r="975" spans="1:10">
      <c r="A975" s="1160"/>
      <c r="J975" s="1160"/>
    </row>
    <row r="976" spans="1:10">
      <c r="A976" s="1160"/>
      <c r="J976" s="1160"/>
    </row>
    <row r="977" spans="1:10">
      <c r="A977" s="1160"/>
      <c r="J977" s="1160"/>
    </row>
    <row r="978" spans="1:10">
      <c r="A978" s="1160"/>
      <c r="J978" s="1160"/>
    </row>
    <row r="979" spans="1:10">
      <c r="A979" s="1160"/>
      <c r="J979" s="1160"/>
    </row>
    <row r="980" spans="1:10">
      <c r="A980" s="1160"/>
      <c r="J980" s="1160"/>
    </row>
    <row r="981" spans="1:10">
      <c r="A981" s="1160"/>
      <c r="J981" s="1160"/>
    </row>
    <row r="982" spans="1:10">
      <c r="A982" s="1160"/>
      <c r="J982" s="1160"/>
    </row>
    <row r="983" spans="1:10">
      <c r="A983" s="1160"/>
      <c r="J983" s="1160"/>
    </row>
    <row r="984" spans="1:10">
      <c r="A984" s="1160"/>
      <c r="J984" s="1160"/>
    </row>
    <row r="985" spans="1:10">
      <c r="A985" s="1160"/>
      <c r="J985" s="1160"/>
    </row>
    <row r="986" spans="1:10">
      <c r="A986" s="1160"/>
      <c r="J986" s="1160"/>
    </row>
    <row r="987" spans="1:10">
      <c r="A987" s="1160"/>
      <c r="J987" s="1160"/>
    </row>
    <row r="988" spans="1:10">
      <c r="A988" s="1160"/>
      <c r="J988" s="1160"/>
    </row>
    <row r="989" spans="1:10">
      <c r="A989" s="1160"/>
      <c r="J989" s="1160"/>
    </row>
    <row r="990" spans="1:10">
      <c r="A990" s="1160"/>
      <c r="J990" s="1160"/>
    </row>
    <row r="991" spans="1:10">
      <c r="A991" s="1160"/>
      <c r="J991" s="1160"/>
    </row>
    <row r="992" spans="1:10">
      <c r="A992" s="1160"/>
      <c r="J992" s="1160"/>
    </row>
    <row r="993" spans="1:10">
      <c r="A993" s="1160"/>
      <c r="J993" s="1160"/>
    </row>
    <row r="994" spans="1:10">
      <c r="A994" s="1160"/>
      <c r="J994" s="1160"/>
    </row>
    <row r="995" spans="1:10">
      <c r="A995" s="1160"/>
      <c r="J995" s="1160"/>
    </row>
    <row r="996" spans="1:10">
      <c r="A996" s="1160"/>
      <c r="J996" s="1160"/>
    </row>
    <row r="997" spans="1:10">
      <c r="A997" s="1160"/>
      <c r="J997" s="1160"/>
    </row>
    <row r="998" spans="1:10">
      <c r="A998" s="1160"/>
      <c r="J998" s="1160"/>
    </row>
    <row r="999" spans="1:10">
      <c r="A999" s="1160"/>
      <c r="J999" s="1160"/>
    </row>
    <row r="1000" spans="1:10">
      <c r="A1000" s="1160"/>
      <c r="J1000" s="1160"/>
    </row>
    <row r="1001" spans="1:10">
      <c r="A1001" s="1160"/>
      <c r="J1001" s="1160"/>
    </row>
    <row r="1002" spans="1:10">
      <c r="A1002" s="1160"/>
      <c r="J1002" s="1160"/>
    </row>
    <row r="1003" spans="1:10">
      <c r="A1003" s="1160"/>
      <c r="J1003" s="1160"/>
    </row>
    <row r="1004" spans="1:10">
      <c r="A1004" s="1160"/>
      <c r="J1004" s="1160"/>
    </row>
    <row r="1005" spans="1:10">
      <c r="A1005" s="1160"/>
      <c r="J1005" s="1160"/>
    </row>
    <row r="1006" spans="1:10">
      <c r="A1006" s="1160"/>
      <c r="J1006" s="1160"/>
    </row>
    <row r="1007" spans="1:10">
      <c r="A1007" s="1160"/>
      <c r="J1007" s="1160"/>
    </row>
    <row r="1008" spans="1:10">
      <c r="A1008" s="1160"/>
      <c r="J1008" s="1160"/>
    </row>
    <row r="1009" spans="1:10">
      <c r="A1009" s="1160"/>
      <c r="J1009" s="1160"/>
    </row>
    <row r="1010" spans="1:10">
      <c r="A1010" s="1160"/>
      <c r="J1010" s="1160"/>
    </row>
    <row r="1011" spans="1:10">
      <c r="A1011" s="1160"/>
      <c r="J1011" s="1160"/>
    </row>
    <row r="1012" spans="1:10">
      <c r="A1012" s="1160"/>
      <c r="J1012" s="1160"/>
    </row>
    <row r="1013" spans="1:10">
      <c r="A1013" s="1160"/>
      <c r="J1013" s="1160"/>
    </row>
    <row r="1014" spans="1:10">
      <c r="A1014" s="1160"/>
      <c r="J1014" s="1160"/>
    </row>
    <row r="1015" spans="1:10">
      <c r="A1015" s="1160"/>
      <c r="J1015" s="1160"/>
    </row>
    <row r="1016" spans="1:10">
      <c r="A1016" s="1160"/>
      <c r="J1016" s="1160"/>
    </row>
    <row r="1017" spans="1:10">
      <c r="A1017" s="1160"/>
      <c r="J1017" s="1160"/>
    </row>
    <row r="1018" spans="1:10">
      <c r="A1018" s="1160"/>
      <c r="J1018" s="1160"/>
    </row>
    <row r="1019" spans="1:10">
      <c r="A1019" s="1160"/>
      <c r="J1019" s="1160"/>
    </row>
    <row r="1020" spans="1:10">
      <c r="A1020" s="1160"/>
      <c r="J1020" s="1160"/>
    </row>
    <row r="1021" spans="1:10">
      <c r="A1021" s="1160"/>
      <c r="J1021" s="1160"/>
    </row>
    <row r="1022" spans="1:10">
      <c r="A1022" s="1160"/>
      <c r="J1022" s="1160"/>
    </row>
    <row r="1023" spans="1:10">
      <c r="A1023" s="1160"/>
      <c r="J1023" s="1160"/>
    </row>
    <row r="1024" spans="1:10">
      <c r="A1024" s="1160"/>
      <c r="J1024" s="1160"/>
    </row>
    <row r="1025" spans="1:10">
      <c r="A1025" s="1160"/>
      <c r="J1025" s="1160"/>
    </row>
    <row r="1026" spans="1:10">
      <c r="A1026" s="1160"/>
      <c r="J1026" s="1160"/>
    </row>
    <row r="1027" spans="1:10">
      <c r="A1027" s="1160"/>
      <c r="J1027" s="1160"/>
    </row>
    <row r="1028" spans="1:10">
      <c r="A1028" s="1160"/>
      <c r="J1028" s="1160"/>
    </row>
    <row r="1029" spans="1:10">
      <c r="A1029" s="1160"/>
      <c r="J1029" s="1160"/>
    </row>
    <row r="1030" spans="1:10">
      <c r="A1030" s="1160"/>
      <c r="J1030" s="1160"/>
    </row>
    <row r="1031" spans="1:10">
      <c r="A1031" s="1160"/>
      <c r="J1031" s="1160"/>
    </row>
    <row r="1032" spans="1:10">
      <c r="A1032" s="1160"/>
      <c r="J1032" s="1160"/>
    </row>
    <row r="1033" spans="1:10">
      <c r="A1033" s="1160"/>
      <c r="J1033" s="1160"/>
    </row>
    <row r="1034" spans="1:10">
      <c r="A1034" s="1160"/>
      <c r="J1034" s="1160"/>
    </row>
    <row r="1035" spans="1:10">
      <c r="A1035" s="1160"/>
      <c r="J1035" s="1160"/>
    </row>
    <row r="1036" spans="1:10">
      <c r="A1036" s="1160"/>
      <c r="J1036" s="1160"/>
    </row>
    <row r="1037" spans="1:10">
      <c r="A1037" s="1160"/>
      <c r="J1037" s="1160"/>
    </row>
    <row r="1038" spans="1:10">
      <c r="A1038" s="1160"/>
      <c r="J1038" s="1160"/>
    </row>
    <row r="1039" spans="1:10">
      <c r="A1039" s="1160"/>
      <c r="J1039" s="1160"/>
    </row>
    <row r="1040" spans="1:10">
      <c r="A1040" s="1160"/>
      <c r="J1040" s="1160"/>
    </row>
    <row r="1041" spans="1:10">
      <c r="A1041" s="1160"/>
      <c r="J1041" s="1160"/>
    </row>
    <row r="1042" spans="1:10">
      <c r="A1042" s="1160"/>
      <c r="J1042" s="1160"/>
    </row>
    <row r="1043" spans="1:10">
      <c r="A1043" s="1160"/>
      <c r="J1043" s="1160"/>
    </row>
  </sheetData>
  <mergeCells count="22">
    <mergeCell ref="A120:A121"/>
    <mergeCell ref="A151:A152"/>
    <mergeCell ref="A5:J5"/>
    <mergeCell ref="A7:J7"/>
    <mergeCell ref="J8:J10"/>
    <mergeCell ref="B8:B9"/>
    <mergeCell ref="A54:J54"/>
    <mergeCell ref="J55:J57"/>
    <mergeCell ref="B55:B56"/>
    <mergeCell ref="D8:I9"/>
    <mergeCell ref="C8:C10"/>
    <mergeCell ref="C55:C57"/>
    <mergeCell ref="D55:I56"/>
    <mergeCell ref="K8:K10"/>
    <mergeCell ref="K32:K46"/>
    <mergeCell ref="K55:K57"/>
    <mergeCell ref="K75:K83"/>
    <mergeCell ref="N11:O11"/>
    <mergeCell ref="L8:L10"/>
    <mergeCell ref="L32:L46"/>
    <mergeCell ref="L55:L57"/>
    <mergeCell ref="L75:L83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0" firstPageNumber="14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5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S107"/>
  <sheetViews>
    <sheetView showGridLines="0" view="pageBreakPreview" topLeftCell="A4" zoomScaleSheetLayoutView="100" workbookViewId="0">
      <pane xSplit="2" ySplit="4" topLeftCell="C8" activePane="bottomRight" state="frozen"/>
      <selection activeCell="L250" sqref="L250"/>
      <selection pane="topRight" activeCell="L250" sqref="L250"/>
      <selection pane="bottomLeft" activeCell="L250" sqref="L250"/>
      <selection pane="bottomRight" activeCell="A4" sqref="A4:O4"/>
    </sheetView>
  </sheetViews>
  <sheetFormatPr defaultRowHeight="11.25"/>
  <cols>
    <col min="1" max="1" width="2.85546875" style="849" customWidth="1"/>
    <col min="2" max="2" width="60.42578125" style="654" customWidth="1"/>
    <col min="3" max="3" width="10.5703125" style="654" customWidth="1"/>
    <col min="4" max="5" width="13.28515625" style="654" customWidth="1"/>
    <col min="6" max="6" width="10.28515625" style="654" customWidth="1"/>
    <col min="7" max="10" width="9.7109375" style="654" customWidth="1"/>
    <col min="11" max="12" width="9.28515625" style="654" customWidth="1"/>
    <col min="13" max="13" width="11.85546875" style="654" hidden="1" customWidth="1"/>
    <col min="14" max="14" width="11.42578125" style="654" customWidth="1"/>
    <col min="15" max="15" width="15.28515625" style="896" customWidth="1"/>
    <col min="16" max="16" width="11.85546875" style="654" hidden="1" customWidth="1"/>
    <col min="17" max="17" width="0" style="654" hidden="1" customWidth="1"/>
    <col min="18" max="251" width="9.140625" style="654"/>
    <col min="252" max="252" width="2.85546875" style="654" customWidth="1"/>
    <col min="253" max="253" width="50.7109375" style="654" customWidth="1"/>
    <col min="254" max="254" width="9.42578125" style="654" customWidth="1"/>
    <col min="255" max="255" width="11.85546875" style="654" customWidth="1"/>
    <col min="256" max="256" width="8.42578125" style="654" bestFit="1" customWidth="1"/>
    <col min="257" max="259" width="0" style="654" hidden="1" customWidth="1"/>
    <col min="260" max="260" width="6" style="654" bestFit="1" customWidth="1"/>
    <col min="261" max="261" width="9.5703125" style="654" customWidth="1"/>
    <col min="262" max="262" width="9.85546875" style="654" customWidth="1"/>
    <col min="263" max="263" width="9.7109375" style="654" customWidth="1"/>
    <col min="264" max="264" width="9.5703125" style="654" customWidth="1"/>
    <col min="265" max="265" width="9.85546875" style="654" customWidth="1"/>
    <col min="266" max="266" width="6.5703125" style="654" customWidth="1"/>
    <col min="267" max="267" width="6" style="654" bestFit="1" customWidth="1"/>
    <col min="268" max="268" width="6.28515625" style="654" customWidth="1"/>
    <col min="269" max="269" width="11.7109375" style="654" customWidth="1"/>
    <col min="270" max="270" width="0" style="654" hidden="1" customWidth="1"/>
    <col min="271" max="271" width="14.5703125" style="654" customWidth="1"/>
    <col min="272" max="272" width="11.85546875" style="654" customWidth="1"/>
    <col min="273" max="507" width="9.140625" style="654"/>
    <col min="508" max="508" width="2.85546875" style="654" customWidth="1"/>
    <col min="509" max="509" width="50.7109375" style="654" customWidth="1"/>
    <col min="510" max="510" width="9.42578125" style="654" customWidth="1"/>
    <col min="511" max="511" width="11.85546875" style="654" customWidth="1"/>
    <col min="512" max="512" width="8.42578125" style="654" bestFit="1" customWidth="1"/>
    <col min="513" max="515" width="0" style="654" hidden="1" customWidth="1"/>
    <col min="516" max="516" width="6" style="654" bestFit="1" customWidth="1"/>
    <col min="517" max="517" width="9.5703125" style="654" customWidth="1"/>
    <col min="518" max="518" width="9.85546875" style="654" customWidth="1"/>
    <col min="519" max="519" width="9.7109375" style="654" customWidth="1"/>
    <col min="520" max="520" width="9.5703125" style="654" customWidth="1"/>
    <col min="521" max="521" width="9.85546875" style="654" customWidth="1"/>
    <col min="522" max="522" width="6.5703125" style="654" customWidth="1"/>
    <col min="523" max="523" width="6" style="654" bestFit="1" customWidth="1"/>
    <col min="524" max="524" width="6.28515625" style="654" customWidth="1"/>
    <col min="525" max="525" width="11.7109375" style="654" customWidth="1"/>
    <col min="526" max="526" width="0" style="654" hidden="1" customWidth="1"/>
    <col min="527" max="527" width="14.5703125" style="654" customWidth="1"/>
    <col min="528" max="528" width="11.85546875" style="654" customWidth="1"/>
    <col min="529" max="763" width="9.140625" style="654"/>
    <col min="764" max="764" width="2.85546875" style="654" customWidth="1"/>
    <col min="765" max="765" width="50.7109375" style="654" customWidth="1"/>
    <col min="766" max="766" width="9.42578125" style="654" customWidth="1"/>
    <col min="767" max="767" width="11.85546875" style="654" customWidth="1"/>
    <col min="768" max="768" width="8.42578125" style="654" bestFit="1" customWidth="1"/>
    <col min="769" max="771" width="0" style="654" hidden="1" customWidth="1"/>
    <col min="772" max="772" width="6" style="654" bestFit="1" customWidth="1"/>
    <col min="773" max="773" width="9.5703125" style="654" customWidth="1"/>
    <col min="774" max="774" width="9.85546875" style="654" customWidth="1"/>
    <col min="775" max="775" width="9.7109375" style="654" customWidth="1"/>
    <col min="776" max="776" width="9.5703125" style="654" customWidth="1"/>
    <col min="777" max="777" width="9.85546875" style="654" customWidth="1"/>
    <col min="778" max="778" width="6.5703125" style="654" customWidth="1"/>
    <col min="779" max="779" width="6" style="654" bestFit="1" customWidth="1"/>
    <col min="780" max="780" width="6.28515625" style="654" customWidth="1"/>
    <col min="781" max="781" width="11.7109375" style="654" customWidth="1"/>
    <col min="782" max="782" width="0" style="654" hidden="1" customWidth="1"/>
    <col min="783" max="783" width="14.5703125" style="654" customWidth="1"/>
    <col min="784" max="784" width="11.85546875" style="654" customWidth="1"/>
    <col min="785" max="1019" width="9.140625" style="654"/>
    <col min="1020" max="1020" width="2.85546875" style="654" customWidth="1"/>
    <col min="1021" max="1021" width="50.7109375" style="654" customWidth="1"/>
    <col min="1022" max="1022" width="9.42578125" style="654" customWidth="1"/>
    <col min="1023" max="1023" width="11.85546875" style="654" customWidth="1"/>
    <col min="1024" max="1024" width="8.42578125" style="654" bestFit="1" customWidth="1"/>
    <col min="1025" max="1027" width="0" style="654" hidden="1" customWidth="1"/>
    <col min="1028" max="1028" width="6" style="654" bestFit="1" customWidth="1"/>
    <col min="1029" max="1029" width="9.5703125" style="654" customWidth="1"/>
    <col min="1030" max="1030" width="9.85546875" style="654" customWidth="1"/>
    <col min="1031" max="1031" width="9.7109375" style="654" customWidth="1"/>
    <col min="1032" max="1032" width="9.5703125" style="654" customWidth="1"/>
    <col min="1033" max="1033" width="9.85546875" style="654" customWidth="1"/>
    <col min="1034" max="1034" width="6.5703125" style="654" customWidth="1"/>
    <col min="1035" max="1035" width="6" style="654" bestFit="1" customWidth="1"/>
    <col min="1036" max="1036" width="6.28515625" style="654" customWidth="1"/>
    <col min="1037" max="1037" width="11.7109375" style="654" customWidth="1"/>
    <col min="1038" max="1038" width="0" style="654" hidden="1" customWidth="1"/>
    <col min="1039" max="1039" width="14.5703125" style="654" customWidth="1"/>
    <col min="1040" max="1040" width="11.85546875" style="654" customWidth="1"/>
    <col min="1041" max="1275" width="9.140625" style="654"/>
    <col min="1276" max="1276" width="2.85546875" style="654" customWidth="1"/>
    <col min="1277" max="1277" width="50.7109375" style="654" customWidth="1"/>
    <col min="1278" max="1278" width="9.42578125" style="654" customWidth="1"/>
    <col min="1279" max="1279" width="11.85546875" style="654" customWidth="1"/>
    <col min="1280" max="1280" width="8.42578125" style="654" bestFit="1" customWidth="1"/>
    <col min="1281" max="1283" width="0" style="654" hidden="1" customWidth="1"/>
    <col min="1284" max="1284" width="6" style="654" bestFit="1" customWidth="1"/>
    <col min="1285" max="1285" width="9.5703125" style="654" customWidth="1"/>
    <col min="1286" max="1286" width="9.85546875" style="654" customWidth="1"/>
    <col min="1287" max="1287" width="9.7109375" style="654" customWidth="1"/>
    <col min="1288" max="1288" width="9.5703125" style="654" customWidth="1"/>
    <col min="1289" max="1289" width="9.85546875" style="654" customWidth="1"/>
    <col min="1290" max="1290" width="6.5703125" style="654" customWidth="1"/>
    <col min="1291" max="1291" width="6" style="654" bestFit="1" customWidth="1"/>
    <col min="1292" max="1292" width="6.28515625" style="654" customWidth="1"/>
    <col min="1293" max="1293" width="11.7109375" style="654" customWidth="1"/>
    <col min="1294" max="1294" width="0" style="654" hidden="1" customWidth="1"/>
    <col min="1295" max="1295" width="14.5703125" style="654" customWidth="1"/>
    <col min="1296" max="1296" width="11.85546875" style="654" customWidth="1"/>
    <col min="1297" max="1531" width="9.140625" style="654"/>
    <col min="1532" max="1532" width="2.85546875" style="654" customWidth="1"/>
    <col min="1533" max="1533" width="50.7109375" style="654" customWidth="1"/>
    <col min="1534" max="1534" width="9.42578125" style="654" customWidth="1"/>
    <col min="1535" max="1535" width="11.85546875" style="654" customWidth="1"/>
    <col min="1536" max="1536" width="8.42578125" style="654" bestFit="1" customWidth="1"/>
    <col min="1537" max="1539" width="0" style="654" hidden="1" customWidth="1"/>
    <col min="1540" max="1540" width="6" style="654" bestFit="1" customWidth="1"/>
    <col min="1541" max="1541" width="9.5703125" style="654" customWidth="1"/>
    <col min="1542" max="1542" width="9.85546875" style="654" customWidth="1"/>
    <col min="1543" max="1543" width="9.7109375" style="654" customWidth="1"/>
    <col min="1544" max="1544" width="9.5703125" style="654" customWidth="1"/>
    <col min="1545" max="1545" width="9.85546875" style="654" customWidth="1"/>
    <col min="1546" max="1546" width="6.5703125" style="654" customWidth="1"/>
    <col min="1547" max="1547" width="6" style="654" bestFit="1" customWidth="1"/>
    <col min="1548" max="1548" width="6.28515625" style="654" customWidth="1"/>
    <col min="1549" max="1549" width="11.7109375" style="654" customWidth="1"/>
    <col min="1550" max="1550" width="0" style="654" hidden="1" customWidth="1"/>
    <col min="1551" max="1551" width="14.5703125" style="654" customWidth="1"/>
    <col min="1552" max="1552" width="11.85546875" style="654" customWidth="1"/>
    <col min="1553" max="1787" width="9.140625" style="654"/>
    <col min="1788" max="1788" width="2.85546875" style="654" customWidth="1"/>
    <col min="1789" max="1789" width="50.7109375" style="654" customWidth="1"/>
    <col min="1790" max="1790" width="9.42578125" style="654" customWidth="1"/>
    <col min="1791" max="1791" width="11.85546875" style="654" customWidth="1"/>
    <col min="1792" max="1792" width="8.42578125" style="654" bestFit="1" customWidth="1"/>
    <col min="1793" max="1795" width="0" style="654" hidden="1" customWidth="1"/>
    <col min="1796" max="1796" width="6" style="654" bestFit="1" customWidth="1"/>
    <col min="1797" max="1797" width="9.5703125" style="654" customWidth="1"/>
    <col min="1798" max="1798" width="9.85546875" style="654" customWidth="1"/>
    <col min="1799" max="1799" width="9.7109375" style="654" customWidth="1"/>
    <col min="1800" max="1800" width="9.5703125" style="654" customWidth="1"/>
    <col min="1801" max="1801" width="9.85546875" style="654" customWidth="1"/>
    <col min="1802" max="1802" width="6.5703125" style="654" customWidth="1"/>
    <col min="1803" max="1803" width="6" style="654" bestFit="1" customWidth="1"/>
    <col min="1804" max="1804" width="6.28515625" style="654" customWidth="1"/>
    <col min="1805" max="1805" width="11.7109375" style="654" customWidth="1"/>
    <col min="1806" max="1806" width="0" style="654" hidden="1" customWidth="1"/>
    <col min="1807" max="1807" width="14.5703125" style="654" customWidth="1"/>
    <col min="1808" max="1808" width="11.85546875" style="654" customWidth="1"/>
    <col min="1809" max="2043" width="9.140625" style="654"/>
    <col min="2044" max="2044" width="2.85546875" style="654" customWidth="1"/>
    <col min="2045" max="2045" width="50.7109375" style="654" customWidth="1"/>
    <col min="2046" max="2046" width="9.42578125" style="654" customWidth="1"/>
    <col min="2047" max="2047" width="11.85546875" style="654" customWidth="1"/>
    <col min="2048" max="2048" width="8.42578125" style="654" bestFit="1" customWidth="1"/>
    <col min="2049" max="2051" width="0" style="654" hidden="1" customWidth="1"/>
    <col min="2052" max="2052" width="6" style="654" bestFit="1" customWidth="1"/>
    <col min="2053" max="2053" width="9.5703125" style="654" customWidth="1"/>
    <col min="2054" max="2054" width="9.85546875" style="654" customWidth="1"/>
    <col min="2055" max="2055" width="9.7109375" style="654" customWidth="1"/>
    <col min="2056" max="2056" width="9.5703125" style="654" customWidth="1"/>
    <col min="2057" max="2057" width="9.85546875" style="654" customWidth="1"/>
    <col min="2058" max="2058" width="6.5703125" style="654" customWidth="1"/>
    <col min="2059" max="2059" width="6" style="654" bestFit="1" customWidth="1"/>
    <col min="2060" max="2060" width="6.28515625" style="654" customWidth="1"/>
    <col min="2061" max="2061" width="11.7109375" style="654" customWidth="1"/>
    <col min="2062" max="2062" width="0" style="654" hidden="1" customWidth="1"/>
    <col min="2063" max="2063" width="14.5703125" style="654" customWidth="1"/>
    <col min="2064" max="2064" width="11.85546875" style="654" customWidth="1"/>
    <col min="2065" max="2299" width="9.140625" style="654"/>
    <col min="2300" max="2300" width="2.85546875" style="654" customWidth="1"/>
    <col min="2301" max="2301" width="50.7109375" style="654" customWidth="1"/>
    <col min="2302" max="2302" width="9.42578125" style="654" customWidth="1"/>
    <col min="2303" max="2303" width="11.85546875" style="654" customWidth="1"/>
    <col min="2304" max="2304" width="8.42578125" style="654" bestFit="1" customWidth="1"/>
    <col min="2305" max="2307" width="0" style="654" hidden="1" customWidth="1"/>
    <col min="2308" max="2308" width="6" style="654" bestFit="1" customWidth="1"/>
    <col min="2309" max="2309" width="9.5703125" style="654" customWidth="1"/>
    <col min="2310" max="2310" width="9.85546875" style="654" customWidth="1"/>
    <col min="2311" max="2311" width="9.7109375" style="654" customWidth="1"/>
    <col min="2312" max="2312" width="9.5703125" style="654" customWidth="1"/>
    <col min="2313" max="2313" width="9.85546875" style="654" customWidth="1"/>
    <col min="2314" max="2314" width="6.5703125" style="654" customWidth="1"/>
    <col min="2315" max="2315" width="6" style="654" bestFit="1" customWidth="1"/>
    <col min="2316" max="2316" width="6.28515625" style="654" customWidth="1"/>
    <col min="2317" max="2317" width="11.7109375" style="654" customWidth="1"/>
    <col min="2318" max="2318" width="0" style="654" hidden="1" customWidth="1"/>
    <col min="2319" max="2319" width="14.5703125" style="654" customWidth="1"/>
    <col min="2320" max="2320" width="11.85546875" style="654" customWidth="1"/>
    <col min="2321" max="2555" width="9.140625" style="654"/>
    <col min="2556" max="2556" width="2.85546875" style="654" customWidth="1"/>
    <col min="2557" max="2557" width="50.7109375" style="654" customWidth="1"/>
    <col min="2558" max="2558" width="9.42578125" style="654" customWidth="1"/>
    <col min="2559" max="2559" width="11.85546875" style="654" customWidth="1"/>
    <col min="2560" max="2560" width="8.42578125" style="654" bestFit="1" customWidth="1"/>
    <col min="2561" max="2563" width="0" style="654" hidden="1" customWidth="1"/>
    <col min="2564" max="2564" width="6" style="654" bestFit="1" customWidth="1"/>
    <col min="2565" max="2565" width="9.5703125" style="654" customWidth="1"/>
    <col min="2566" max="2566" width="9.85546875" style="654" customWidth="1"/>
    <col min="2567" max="2567" width="9.7109375" style="654" customWidth="1"/>
    <col min="2568" max="2568" width="9.5703125" style="654" customWidth="1"/>
    <col min="2569" max="2569" width="9.85546875" style="654" customWidth="1"/>
    <col min="2570" max="2570" width="6.5703125" style="654" customWidth="1"/>
    <col min="2571" max="2571" width="6" style="654" bestFit="1" customWidth="1"/>
    <col min="2572" max="2572" width="6.28515625" style="654" customWidth="1"/>
    <col min="2573" max="2573" width="11.7109375" style="654" customWidth="1"/>
    <col min="2574" max="2574" width="0" style="654" hidden="1" customWidth="1"/>
    <col min="2575" max="2575" width="14.5703125" style="654" customWidth="1"/>
    <col min="2576" max="2576" width="11.85546875" style="654" customWidth="1"/>
    <col min="2577" max="2811" width="9.140625" style="654"/>
    <col min="2812" max="2812" width="2.85546875" style="654" customWidth="1"/>
    <col min="2813" max="2813" width="50.7109375" style="654" customWidth="1"/>
    <col min="2814" max="2814" width="9.42578125" style="654" customWidth="1"/>
    <col min="2815" max="2815" width="11.85546875" style="654" customWidth="1"/>
    <col min="2816" max="2816" width="8.42578125" style="654" bestFit="1" customWidth="1"/>
    <col min="2817" max="2819" width="0" style="654" hidden="1" customWidth="1"/>
    <col min="2820" max="2820" width="6" style="654" bestFit="1" customWidth="1"/>
    <col min="2821" max="2821" width="9.5703125" style="654" customWidth="1"/>
    <col min="2822" max="2822" width="9.85546875" style="654" customWidth="1"/>
    <col min="2823" max="2823" width="9.7109375" style="654" customWidth="1"/>
    <col min="2824" max="2824" width="9.5703125" style="654" customWidth="1"/>
    <col min="2825" max="2825" width="9.85546875" style="654" customWidth="1"/>
    <col min="2826" max="2826" width="6.5703125" style="654" customWidth="1"/>
    <col min="2827" max="2827" width="6" style="654" bestFit="1" customWidth="1"/>
    <col min="2828" max="2828" width="6.28515625" style="654" customWidth="1"/>
    <col min="2829" max="2829" width="11.7109375" style="654" customWidth="1"/>
    <col min="2830" max="2830" width="0" style="654" hidden="1" customWidth="1"/>
    <col min="2831" max="2831" width="14.5703125" style="654" customWidth="1"/>
    <col min="2832" max="2832" width="11.85546875" style="654" customWidth="1"/>
    <col min="2833" max="3067" width="9.140625" style="654"/>
    <col min="3068" max="3068" width="2.85546875" style="654" customWidth="1"/>
    <col min="3069" max="3069" width="50.7109375" style="654" customWidth="1"/>
    <col min="3070" max="3070" width="9.42578125" style="654" customWidth="1"/>
    <col min="3071" max="3071" width="11.85546875" style="654" customWidth="1"/>
    <col min="3072" max="3072" width="8.42578125" style="654" bestFit="1" customWidth="1"/>
    <col min="3073" max="3075" width="0" style="654" hidden="1" customWidth="1"/>
    <col min="3076" max="3076" width="6" style="654" bestFit="1" customWidth="1"/>
    <col min="3077" max="3077" width="9.5703125" style="654" customWidth="1"/>
    <col min="3078" max="3078" width="9.85546875" style="654" customWidth="1"/>
    <col min="3079" max="3079" width="9.7109375" style="654" customWidth="1"/>
    <col min="3080" max="3080" width="9.5703125" style="654" customWidth="1"/>
    <col min="3081" max="3081" width="9.85546875" style="654" customWidth="1"/>
    <col min="3082" max="3082" width="6.5703125" style="654" customWidth="1"/>
    <col min="3083" max="3083" width="6" style="654" bestFit="1" customWidth="1"/>
    <col min="3084" max="3084" width="6.28515625" style="654" customWidth="1"/>
    <col min="3085" max="3085" width="11.7109375" style="654" customWidth="1"/>
    <col min="3086" max="3086" width="0" style="654" hidden="1" customWidth="1"/>
    <col min="3087" max="3087" width="14.5703125" style="654" customWidth="1"/>
    <col min="3088" max="3088" width="11.85546875" style="654" customWidth="1"/>
    <col min="3089" max="3323" width="9.140625" style="654"/>
    <col min="3324" max="3324" width="2.85546875" style="654" customWidth="1"/>
    <col min="3325" max="3325" width="50.7109375" style="654" customWidth="1"/>
    <col min="3326" max="3326" width="9.42578125" style="654" customWidth="1"/>
    <col min="3327" max="3327" width="11.85546875" style="654" customWidth="1"/>
    <col min="3328" max="3328" width="8.42578125" style="654" bestFit="1" customWidth="1"/>
    <col min="3329" max="3331" width="0" style="654" hidden="1" customWidth="1"/>
    <col min="3332" max="3332" width="6" style="654" bestFit="1" customWidth="1"/>
    <col min="3333" max="3333" width="9.5703125" style="654" customWidth="1"/>
    <col min="3334" max="3334" width="9.85546875" style="654" customWidth="1"/>
    <col min="3335" max="3335" width="9.7109375" style="654" customWidth="1"/>
    <col min="3336" max="3336" width="9.5703125" style="654" customWidth="1"/>
    <col min="3337" max="3337" width="9.85546875" style="654" customWidth="1"/>
    <col min="3338" max="3338" width="6.5703125" style="654" customWidth="1"/>
    <col min="3339" max="3339" width="6" style="654" bestFit="1" customWidth="1"/>
    <col min="3340" max="3340" width="6.28515625" style="654" customWidth="1"/>
    <col min="3341" max="3341" width="11.7109375" style="654" customWidth="1"/>
    <col min="3342" max="3342" width="0" style="654" hidden="1" customWidth="1"/>
    <col min="3343" max="3343" width="14.5703125" style="654" customWidth="1"/>
    <col min="3344" max="3344" width="11.85546875" style="654" customWidth="1"/>
    <col min="3345" max="3579" width="9.140625" style="654"/>
    <col min="3580" max="3580" width="2.85546875" style="654" customWidth="1"/>
    <col min="3581" max="3581" width="50.7109375" style="654" customWidth="1"/>
    <col min="3582" max="3582" width="9.42578125" style="654" customWidth="1"/>
    <col min="3583" max="3583" width="11.85546875" style="654" customWidth="1"/>
    <col min="3584" max="3584" width="8.42578125" style="654" bestFit="1" customWidth="1"/>
    <col min="3585" max="3587" width="0" style="654" hidden="1" customWidth="1"/>
    <col min="3588" max="3588" width="6" style="654" bestFit="1" customWidth="1"/>
    <col min="3589" max="3589" width="9.5703125" style="654" customWidth="1"/>
    <col min="3590" max="3590" width="9.85546875" style="654" customWidth="1"/>
    <col min="3591" max="3591" width="9.7109375" style="654" customWidth="1"/>
    <col min="3592" max="3592" width="9.5703125" style="654" customWidth="1"/>
    <col min="3593" max="3593" width="9.85546875" style="654" customWidth="1"/>
    <col min="3594" max="3594" width="6.5703125" style="654" customWidth="1"/>
    <col min="3595" max="3595" width="6" style="654" bestFit="1" customWidth="1"/>
    <col min="3596" max="3596" width="6.28515625" style="654" customWidth="1"/>
    <col min="3597" max="3597" width="11.7109375" style="654" customWidth="1"/>
    <col min="3598" max="3598" width="0" style="654" hidden="1" customWidth="1"/>
    <col min="3599" max="3599" width="14.5703125" style="654" customWidth="1"/>
    <col min="3600" max="3600" width="11.85546875" style="654" customWidth="1"/>
    <col min="3601" max="3835" width="9.140625" style="654"/>
    <col min="3836" max="3836" width="2.85546875" style="654" customWidth="1"/>
    <col min="3837" max="3837" width="50.7109375" style="654" customWidth="1"/>
    <col min="3838" max="3838" width="9.42578125" style="654" customWidth="1"/>
    <col min="3839" max="3839" width="11.85546875" style="654" customWidth="1"/>
    <col min="3840" max="3840" width="8.42578125" style="654" bestFit="1" customWidth="1"/>
    <col min="3841" max="3843" width="0" style="654" hidden="1" customWidth="1"/>
    <col min="3844" max="3844" width="6" style="654" bestFit="1" customWidth="1"/>
    <col min="3845" max="3845" width="9.5703125" style="654" customWidth="1"/>
    <col min="3846" max="3846" width="9.85546875" style="654" customWidth="1"/>
    <col min="3847" max="3847" width="9.7109375" style="654" customWidth="1"/>
    <col min="3848" max="3848" width="9.5703125" style="654" customWidth="1"/>
    <col min="3849" max="3849" width="9.85546875" style="654" customWidth="1"/>
    <col min="3850" max="3850" width="6.5703125" style="654" customWidth="1"/>
    <col min="3851" max="3851" width="6" style="654" bestFit="1" customWidth="1"/>
    <col min="3852" max="3852" width="6.28515625" style="654" customWidth="1"/>
    <col min="3853" max="3853" width="11.7109375" style="654" customWidth="1"/>
    <col min="3854" max="3854" width="0" style="654" hidden="1" customWidth="1"/>
    <col min="3855" max="3855" width="14.5703125" style="654" customWidth="1"/>
    <col min="3856" max="3856" width="11.85546875" style="654" customWidth="1"/>
    <col min="3857" max="4091" width="9.140625" style="654"/>
    <col min="4092" max="4092" width="2.85546875" style="654" customWidth="1"/>
    <col min="4093" max="4093" width="50.7109375" style="654" customWidth="1"/>
    <col min="4094" max="4094" width="9.42578125" style="654" customWidth="1"/>
    <col min="4095" max="4095" width="11.85546875" style="654" customWidth="1"/>
    <col min="4096" max="4096" width="8.42578125" style="654" bestFit="1" customWidth="1"/>
    <col min="4097" max="4099" width="0" style="654" hidden="1" customWidth="1"/>
    <col min="4100" max="4100" width="6" style="654" bestFit="1" customWidth="1"/>
    <col min="4101" max="4101" width="9.5703125" style="654" customWidth="1"/>
    <col min="4102" max="4102" width="9.85546875" style="654" customWidth="1"/>
    <col min="4103" max="4103" width="9.7109375" style="654" customWidth="1"/>
    <col min="4104" max="4104" width="9.5703125" style="654" customWidth="1"/>
    <col min="4105" max="4105" width="9.85546875" style="654" customWidth="1"/>
    <col min="4106" max="4106" width="6.5703125" style="654" customWidth="1"/>
    <col min="4107" max="4107" width="6" style="654" bestFit="1" customWidth="1"/>
    <col min="4108" max="4108" width="6.28515625" style="654" customWidth="1"/>
    <col min="4109" max="4109" width="11.7109375" style="654" customWidth="1"/>
    <col min="4110" max="4110" width="0" style="654" hidden="1" customWidth="1"/>
    <col min="4111" max="4111" width="14.5703125" style="654" customWidth="1"/>
    <col min="4112" max="4112" width="11.85546875" style="654" customWidth="1"/>
    <col min="4113" max="4347" width="9.140625" style="654"/>
    <col min="4348" max="4348" width="2.85546875" style="654" customWidth="1"/>
    <col min="4349" max="4349" width="50.7109375" style="654" customWidth="1"/>
    <col min="4350" max="4350" width="9.42578125" style="654" customWidth="1"/>
    <col min="4351" max="4351" width="11.85546875" style="654" customWidth="1"/>
    <col min="4352" max="4352" width="8.42578125" style="654" bestFit="1" customWidth="1"/>
    <col min="4353" max="4355" width="0" style="654" hidden="1" customWidth="1"/>
    <col min="4356" max="4356" width="6" style="654" bestFit="1" customWidth="1"/>
    <col min="4357" max="4357" width="9.5703125" style="654" customWidth="1"/>
    <col min="4358" max="4358" width="9.85546875" style="654" customWidth="1"/>
    <col min="4359" max="4359" width="9.7109375" style="654" customWidth="1"/>
    <col min="4360" max="4360" width="9.5703125" style="654" customWidth="1"/>
    <col min="4361" max="4361" width="9.85546875" style="654" customWidth="1"/>
    <col min="4362" max="4362" width="6.5703125" style="654" customWidth="1"/>
    <col min="4363" max="4363" width="6" style="654" bestFit="1" customWidth="1"/>
    <col min="4364" max="4364" width="6.28515625" style="654" customWidth="1"/>
    <col min="4365" max="4365" width="11.7109375" style="654" customWidth="1"/>
    <col min="4366" max="4366" width="0" style="654" hidden="1" customWidth="1"/>
    <col min="4367" max="4367" width="14.5703125" style="654" customWidth="1"/>
    <col min="4368" max="4368" width="11.85546875" style="654" customWidth="1"/>
    <col min="4369" max="4603" width="9.140625" style="654"/>
    <col min="4604" max="4604" width="2.85546875" style="654" customWidth="1"/>
    <col min="4605" max="4605" width="50.7109375" style="654" customWidth="1"/>
    <col min="4606" max="4606" width="9.42578125" style="654" customWidth="1"/>
    <col min="4607" max="4607" width="11.85546875" style="654" customWidth="1"/>
    <col min="4608" max="4608" width="8.42578125" style="654" bestFit="1" customWidth="1"/>
    <col min="4609" max="4611" width="0" style="654" hidden="1" customWidth="1"/>
    <col min="4612" max="4612" width="6" style="654" bestFit="1" customWidth="1"/>
    <col min="4613" max="4613" width="9.5703125" style="654" customWidth="1"/>
    <col min="4614" max="4614" width="9.85546875" style="654" customWidth="1"/>
    <col min="4615" max="4615" width="9.7109375" style="654" customWidth="1"/>
    <col min="4616" max="4616" width="9.5703125" style="654" customWidth="1"/>
    <col min="4617" max="4617" width="9.85546875" style="654" customWidth="1"/>
    <col min="4618" max="4618" width="6.5703125" style="654" customWidth="1"/>
    <col min="4619" max="4619" width="6" style="654" bestFit="1" customWidth="1"/>
    <col min="4620" max="4620" width="6.28515625" style="654" customWidth="1"/>
    <col min="4621" max="4621" width="11.7109375" style="654" customWidth="1"/>
    <col min="4622" max="4622" width="0" style="654" hidden="1" customWidth="1"/>
    <col min="4623" max="4623" width="14.5703125" style="654" customWidth="1"/>
    <col min="4624" max="4624" width="11.85546875" style="654" customWidth="1"/>
    <col min="4625" max="4859" width="9.140625" style="654"/>
    <col min="4860" max="4860" width="2.85546875" style="654" customWidth="1"/>
    <col min="4861" max="4861" width="50.7109375" style="654" customWidth="1"/>
    <col min="4862" max="4862" width="9.42578125" style="654" customWidth="1"/>
    <col min="4863" max="4863" width="11.85546875" style="654" customWidth="1"/>
    <col min="4864" max="4864" width="8.42578125" style="654" bestFit="1" customWidth="1"/>
    <col min="4865" max="4867" width="0" style="654" hidden="1" customWidth="1"/>
    <col min="4868" max="4868" width="6" style="654" bestFit="1" customWidth="1"/>
    <col min="4869" max="4869" width="9.5703125" style="654" customWidth="1"/>
    <col min="4870" max="4870" width="9.85546875" style="654" customWidth="1"/>
    <col min="4871" max="4871" width="9.7109375" style="654" customWidth="1"/>
    <col min="4872" max="4872" width="9.5703125" style="654" customWidth="1"/>
    <col min="4873" max="4873" width="9.85546875" style="654" customWidth="1"/>
    <col min="4874" max="4874" width="6.5703125" style="654" customWidth="1"/>
    <col min="4875" max="4875" width="6" style="654" bestFit="1" customWidth="1"/>
    <col min="4876" max="4876" width="6.28515625" style="654" customWidth="1"/>
    <col min="4877" max="4877" width="11.7109375" style="654" customWidth="1"/>
    <col min="4878" max="4878" width="0" style="654" hidden="1" customWidth="1"/>
    <col min="4879" max="4879" width="14.5703125" style="654" customWidth="1"/>
    <col min="4880" max="4880" width="11.85546875" style="654" customWidth="1"/>
    <col min="4881" max="5115" width="9.140625" style="654"/>
    <col min="5116" max="5116" width="2.85546875" style="654" customWidth="1"/>
    <col min="5117" max="5117" width="50.7109375" style="654" customWidth="1"/>
    <col min="5118" max="5118" width="9.42578125" style="654" customWidth="1"/>
    <col min="5119" max="5119" width="11.85546875" style="654" customWidth="1"/>
    <col min="5120" max="5120" width="8.42578125" style="654" bestFit="1" customWidth="1"/>
    <col min="5121" max="5123" width="0" style="654" hidden="1" customWidth="1"/>
    <col min="5124" max="5124" width="6" style="654" bestFit="1" customWidth="1"/>
    <col min="5125" max="5125" width="9.5703125" style="654" customWidth="1"/>
    <col min="5126" max="5126" width="9.85546875" style="654" customWidth="1"/>
    <col min="5127" max="5127" width="9.7109375" style="654" customWidth="1"/>
    <col min="5128" max="5128" width="9.5703125" style="654" customWidth="1"/>
    <col min="5129" max="5129" width="9.85546875" style="654" customWidth="1"/>
    <col min="5130" max="5130" width="6.5703125" style="654" customWidth="1"/>
    <col min="5131" max="5131" width="6" style="654" bestFit="1" customWidth="1"/>
    <col min="5132" max="5132" width="6.28515625" style="654" customWidth="1"/>
    <col min="5133" max="5133" width="11.7109375" style="654" customWidth="1"/>
    <col min="5134" max="5134" width="0" style="654" hidden="1" customWidth="1"/>
    <col min="5135" max="5135" width="14.5703125" style="654" customWidth="1"/>
    <col min="5136" max="5136" width="11.85546875" style="654" customWidth="1"/>
    <col min="5137" max="5371" width="9.140625" style="654"/>
    <col min="5372" max="5372" width="2.85546875" style="654" customWidth="1"/>
    <col min="5373" max="5373" width="50.7109375" style="654" customWidth="1"/>
    <col min="5374" max="5374" width="9.42578125" style="654" customWidth="1"/>
    <col min="5375" max="5375" width="11.85546875" style="654" customWidth="1"/>
    <col min="5376" max="5376" width="8.42578125" style="654" bestFit="1" customWidth="1"/>
    <col min="5377" max="5379" width="0" style="654" hidden="1" customWidth="1"/>
    <col min="5380" max="5380" width="6" style="654" bestFit="1" customWidth="1"/>
    <col min="5381" max="5381" width="9.5703125" style="654" customWidth="1"/>
    <col min="5382" max="5382" width="9.85546875" style="654" customWidth="1"/>
    <col min="5383" max="5383" width="9.7109375" style="654" customWidth="1"/>
    <col min="5384" max="5384" width="9.5703125" style="654" customWidth="1"/>
    <col min="5385" max="5385" width="9.85546875" style="654" customWidth="1"/>
    <col min="5386" max="5386" width="6.5703125" style="654" customWidth="1"/>
    <col min="5387" max="5387" width="6" style="654" bestFit="1" customWidth="1"/>
    <col min="5388" max="5388" width="6.28515625" style="654" customWidth="1"/>
    <col min="5389" max="5389" width="11.7109375" style="654" customWidth="1"/>
    <col min="5390" max="5390" width="0" style="654" hidden="1" customWidth="1"/>
    <col min="5391" max="5391" width="14.5703125" style="654" customWidth="1"/>
    <col min="5392" max="5392" width="11.85546875" style="654" customWidth="1"/>
    <col min="5393" max="5627" width="9.140625" style="654"/>
    <col min="5628" max="5628" width="2.85546875" style="654" customWidth="1"/>
    <col min="5629" max="5629" width="50.7109375" style="654" customWidth="1"/>
    <col min="5630" max="5630" width="9.42578125" style="654" customWidth="1"/>
    <col min="5631" max="5631" width="11.85546875" style="654" customWidth="1"/>
    <col min="5632" max="5632" width="8.42578125" style="654" bestFit="1" customWidth="1"/>
    <col min="5633" max="5635" width="0" style="654" hidden="1" customWidth="1"/>
    <col min="5636" max="5636" width="6" style="654" bestFit="1" customWidth="1"/>
    <col min="5637" max="5637" width="9.5703125" style="654" customWidth="1"/>
    <col min="5638" max="5638" width="9.85546875" style="654" customWidth="1"/>
    <col min="5639" max="5639" width="9.7109375" style="654" customWidth="1"/>
    <col min="5640" max="5640" width="9.5703125" style="654" customWidth="1"/>
    <col min="5641" max="5641" width="9.85546875" style="654" customWidth="1"/>
    <col min="5642" max="5642" width="6.5703125" style="654" customWidth="1"/>
    <col min="5643" max="5643" width="6" style="654" bestFit="1" customWidth="1"/>
    <col min="5644" max="5644" width="6.28515625" style="654" customWidth="1"/>
    <col min="5645" max="5645" width="11.7109375" style="654" customWidth="1"/>
    <col min="5646" max="5646" width="0" style="654" hidden="1" customWidth="1"/>
    <col min="5647" max="5647" width="14.5703125" style="654" customWidth="1"/>
    <col min="5648" max="5648" width="11.85546875" style="654" customWidth="1"/>
    <col min="5649" max="5883" width="9.140625" style="654"/>
    <col min="5884" max="5884" width="2.85546875" style="654" customWidth="1"/>
    <col min="5885" max="5885" width="50.7109375" style="654" customWidth="1"/>
    <col min="5886" max="5886" width="9.42578125" style="654" customWidth="1"/>
    <col min="5887" max="5887" width="11.85546875" style="654" customWidth="1"/>
    <col min="5888" max="5888" width="8.42578125" style="654" bestFit="1" customWidth="1"/>
    <col min="5889" max="5891" width="0" style="654" hidden="1" customWidth="1"/>
    <col min="5892" max="5892" width="6" style="654" bestFit="1" customWidth="1"/>
    <col min="5893" max="5893" width="9.5703125" style="654" customWidth="1"/>
    <col min="5894" max="5894" width="9.85546875" style="654" customWidth="1"/>
    <col min="5895" max="5895" width="9.7109375" style="654" customWidth="1"/>
    <col min="5896" max="5896" width="9.5703125" style="654" customWidth="1"/>
    <col min="5897" max="5897" width="9.85546875" style="654" customWidth="1"/>
    <col min="5898" max="5898" width="6.5703125" style="654" customWidth="1"/>
    <col min="5899" max="5899" width="6" style="654" bestFit="1" customWidth="1"/>
    <col min="5900" max="5900" width="6.28515625" style="654" customWidth="1"/>
    <col min="5901" max="5901" width="11.7109375" style="654" customWidth="1"/>
    <col min="5902" max="5902" width="0" style="654" hidden="1" customWidth="1"/>
    <col min="5903" max="5903" width="14.5703125" style="654" customWidth="1"/>
    <col min="5904" max="5904" width="11.85546875" style="654" customWidth="1"/>
    <col min="5905" max="6139" width="9.140625" style="654"/>
    <col min="6140" max="6140" width="2.85546875" style="654" customWidth="1"/>
    <col min="6141" max="6141" width="50.7109375" style="654" customWidth="1"/>
    <col min="6142" max="6142" width="9.42578125" style="654" customWidth="1"/>
    <col min="6143" max="6143" width="11.85546875" style="654" customWidth="1"/>
    <col min="6144" max="6144" width="8.42578125" style="654" bestFit="1" customWidth="1"/>
    <col min="6145" max="6147" width="0" style="654" hidden="1" customWidth="1"/>
    <col min="6148" max="6148" width="6" style="654" bestFit="1" customWidth="1"/>
    <col min="6149" max="6149" width="9.5703125" style="654" customWidth="1"/>
    <col min="6150" max="6150" width="9.85546875" style="654" customWidth="1"/>
    <col min="6151" max="6151" width="9.7109375" style="654" customWidth="1"/>
    <col min="6152" max="6152" width="9.5703125" style="654" customWidth="1"/>
    <col min="6153" max="6153" width="9.85546875" style="654" customWidth="1"/>
    <col min="6154" max="6154" width="6.5703125" style="654" customWidth="1"/>
    <col min="6155" max="6155" width="6" style="654" bestFit="1" customWidth="1"/>
    <col min="6156" max="6156" width="6.28515625" style="654" customWidth="1"/>
    <col min="6157" max="6157" width="11.7109375" style="654" customWidth="1"/>
    <col min="6158" max="6158" width="0" style="654" hidden="1" customWidth="1"/>
    <col min="6159" max="6159" width="14.5703125" style="654" customWidth="1"/>
    <col min="6160" max="6160" width="11.85546875" style="654" customWidth="1"/>
    <col min="6161" max="6395" width="9.140625" style="654"/>
    <col min="6396" max="6396" width="2.85546875" style="654" customWidth="1"/>
    <col min="6397" max="6397" width="50.7109375" style="654" customWidth="1"/>
    <col min="6398" max="6398" width="9.42578125" style="654" customWidth="1"/>
    <col min="6399" max="6399" width="11.85546875" style="654" customWidth="1"/>
    <col min="6400" max="6400" width="8.42578125" style="654" bestFit="1" customWidth="1"/>
    <col min="6401" max="6403" width="0" style="654" hidden="1" customWidth="1"/>
    <col min="6404" max="6404" width="6" style="654" bestFit="1" customWidth="1"/>
    <col min="6405" max="6405" width="9.5703125" style="654" customWidth="1"/>
    <col min="6406" max="6406" width="9.85546875" style="654" customWidth="1"/>
    <col min="6407" max="6407" width="9.7109375" style="654" customWidth="1"/>
    <col min="6408" max="6408" width="9.5703125" style="654" customWidth="1"/>
    <col min="6409" max="6409" width="9.85546875" style="654" customWidth="1"/>
    <col min="6410" max="6410" width="6.5703125" style="654" customWidth="1"/>
    <col min="6411" max="6411" width="6" style="654" bestFit="1" customWidth="1"/>
    <col min="6412" max="6412" width="6.28515625" style="654" customWidth="1"/>
    <col min="6413" max="6413" width="11.7109375" style="654" customWidth="1"/>
    <col min="6414" max="6414" width="0" style="654" hidden="1" customWidth="1"/>
    <col min="6415" max="6415" width="14.5703125" style="654" customWidth="1"/>
    <col min="6416" max="6416" width="11.85546875" style="654" customWidth="1"/>
    <col min="6417" max="6651" width="9.140625" style="654"/>
    <col min="6652" max="6652" width="2.85546875" style="654" customWidth="1"/>
    <col min="6653" max="6653" width="50.7109375" style="654" customWidth="1"/>
    <col min="6654" max="6654" width="9.42578125" style="654" customWidth="1"/>
    <col min="6655" max="6655" width="11.85546875" style="654" customWidth="1"/>
    <col min="6656" max="6656" width="8.42578125" style="654" bestFit="1" customWidth="1"/>
    <col min="6657" max="6659" width="0" style="654" hidden="1" customWidth="1"/>
    <col min="6660" max="6660" width="6" style="654" bestFit="1" customWidth="1"/>
    <col min="6661" max="6661" width="9.5703125" style="654" customWidth="1"/>
    <col min="6662" max="6662" width="9.85546875" style="654" customWidth="1"/>
    <col min="6663" max="6663" width="9.7109375" style="654" customWidth="1"/>
    <col min="6664" max="6664" width="9.5703125" style="654" customWidth="1"/>
    <col min="6665" max="6665" width="9.85546875" style="654" customWidth="1"/>
    <col min="6666" max="6666" width="6.5703125" style="654" customWidth="1"/>
    <col min="6667" max="6667" width="6" style="654" bestFit="1" customWidth="1"/>
    <col min="6668" max="6668" width="6.28515625" style="654" customWidth="1"/>
    <col min="6669" max="6669" width="11.7109375" style="654" customWidth="1"/>
    <col min="6670" max="6670" width="0" style="654" hidden="1" customWidth="1"/>
    <col min="6671" max="6671" width="14.5703125" style="654" customWidth="1"/>
    <col min="6672" max="6672" width="11.85546875" style="654" customWidth="1"/>
    <col min="6673" max="6907" width="9.140625" style="654"/>
    <col min="6908" max="6908" width="2.85546875" style="654" customWidth="1"/>
    <col min="6909" max="6909" width="50.7109375" style="654" customWidth="1"/>
    <col min="6910" max="6910" width="9.42578125" style="654" customWidth="1"/>
    <col min="6911" max="6911" width="11.85546875" style="654" customWidth="1"/>
    <col min="6912" max="6912" width="8.42578125" style="654" bestFit="1" customWidth="1"/>
    <col min="6913" max="6915" width="0" style="654" hidden="1" customWidth="1"/>
    <col min="6916" max="6916" width="6" style="654" bestFit="1" customWidth="1"/>
    <col min="6917" max="6917" width="9.5703125" style="654" customWidth="1"/>
    <col min="6918" max="6918" width="9.85546875" style="654" customWidth="1"/>
    <col min="6919" max="6919" width="9.7109375" style="654" customWidth="1"/>
    <col min="6920" max="6920" width="9.5703125" style="654" customWidth="1"/>
    <col min="6921" max="6921" width="9.85546875" style="654" customWidth="1"/>
    <col min="6922" max="6922" width="6.5703125" style="654" customWidth="1"/>
    <col min="6923" max="6923" width="6" style="654" bestFit="1" customWidth="1"/>
    <col min="6924" max="6924" width="6.28515625" style="654" customWidth="1"/>
    <col min="6925" max="6925" width="11.7109375" style="654" customWidth="1"/>
    <col min="6926" max="6926" width="0" style="654" hidden="1" customWidth="1"/>
    <col min="6927" max="6927" width="14.5703125" style="654" customWidth="1"/>
    <col min="6928" max="6928" width="11.85546875" style="654" customWidth="1"/>
    <col min="6929" max="7163" width="9.140625" style="654"/>
    <col min="7164" max="7164" width="2.85546875" style="654" customWidth="1"/>
    <col min="7165" max="7165" width="50.7109375" style="654" customWidth="1"/>
    <col min="7166" max="7166" width="9.42578125" style="654" customWidth="1"/>
    <col min="7167" max="7167" width="11.85546875" style="654" customWidth="1"/>
    <col min="7168" max="7168" width="8.42578125" style="654" bestFit="1" customWidth="1"/>
    <col min="7169" max="7171" width="0" style="654" hidden="1" customWidth="1"/>
    <col min="7172" max="7172" width="6" style="654" bestFit="1" customWidth="1"/>
    <col min="7173" max="7173" width="9.5703125" style="654" customWidth="1"/>
    <col min="7174" max="7174" width="9.85546875" style="654" customWidth="1"/>
    <col min="7175" max="7175" width="9.7109375" style="654" customWidth="1"/>
    <col min="7176" max="7176" width="9.5703125" style="654" customWidth="1"/>
    <col min="7177" max="7177" width="9.85546875" style="654" customWidth="1"/>
    <col min="7178" max="7178" width="6.5703125" style="654" customWidth="1"/>
    <col min="7179" max="7179" width="6" style="654" bestFit="1" customWidth="1"/>
    <col min="7180" max="7180" width="6.28515625" style="654" customWidth="1"/>
    <col min="7181" max="7181" width="11.7109375" style="654" customWidth="1"/>
    <col min="7182" max="7182" width="0" style="654" hidden="1" customWidth="1"/>
    <col min="7183" max="7183" width="14.5703125" style="654" customWidth="1"/>
    <col min="7184" max="7184" width="11.85546875" style="654" customWidth="1"/>
    <col min="7185" max="7419" width="9.140625" style="654"/>
    <col min="7420" max="7420" width="2.85546875" style="654" customWidth="1"/>
    <col min="7421" max="7421" width="50.7109375" style="654" customWidth="1"/>
    <col min="7422" max="7422" width="9.42578125" style="654" customWidth="1"/>
    <col min="7423" max="7423" width="11.85546875" style="654" customWidth="1"/>
    <col min="7424" max="7424" width="8.42578125" style="654" bestFit="1" customWidth="1"/>
    <col min="7425" max="7427" width="0" style="654" hidden="1" customWidth="1"/>
    <col min="7428" max="7428" width="6" style="654" bestFit="1" customWidth="1"/>
    <col min="7429" max="7429" width="9.5703125" style="654" customWidth="1"/>
    <col min="7430" max="7430" width="9.85546875" style="654" customWidth="1"/>
    <col min="7431" max="7431" width="9.7109375" style="654" customWidth="1"/>
    <col min="7432" max="7432" width="9.5703125" style="654" customWidth="1"/>
    <col min="7433" max="7433" width="9.85546875" style="654" customWidth="1"/>
    <col min="7434" max="7434" width="6.5703125" style="654" customWidth="1"/>
    <col min="7435" max="7435" width="6" style="654" bestFit="1" customWidth="1"/>
    <col min="7436" max="7436" width="6.28515625" style="654" customWidth="1"/>
    <col min="7437" max="7437" width="11.7109375" style="654" customWidth="1"/>
    <col min="7438" max="7438" width="0" style="654" hidden="1" customWidth="1"/>
    <col min="7439" max="7439" width="14.5703125" style="654" customWidth="1"/>
    <col min="7440" max="7440" width="11.85546875" style="654" customWidth="1"/>
    <col min="7441" max="7675" width="9.140625" style="654"/>
    <col min="7676" max="7676" width="2.85546875" style="654" customWidth="1"/>
    <col min="7677" max="7677" width="50.7109375" style="654" customWidth="1"/>
    <col min="7678" max="7678" width="9.42578125" style="654" customWidth="1"/>
    <col min="7679" max="7679" width="11.85546875" style="654" customWidth="1"/>
    <col min="7680" max="7680" width="8.42578125" style="654" bestFit="1" customWidth="1"/>
    <col min="7681" max="7683" width="0" style="654" hidden="1" customWidth="1"/>
    <col min="7684" max="7684" width="6" style="654" bestFit="1" customWidth="1"/>
    <col min="7685" max="7685" width="9.5703125" style="654" customWidth="1"/>
    <col min="7686" max="7686" width="9.85546875" style="654" customWidth="1"/>
    <col min="7687" max="7687" width="9.7109375" style="654" customWidth="1"/>
    <col min="7688" max="7688" width="9.5703125" style="654" customWidth="1"/>
    <col min="7689" max="7689" width="9.85546875" style="654" customWidth="1"/>
    <col min="7690" max="7690" width="6.5703125" style="654" customWidth="1"/>
    <col min="7691" max="7691" width="6" style="654" bestFit="1" customWidth="1"/>
    <col min="7692" max="7692" width="6.28515625" style="654" customWidth="1"/>
    <col min="7693" max="7693" width="11.7109375" style="654" customWidth="1"/>
    <col min="7694" max="7694" width="0" style="654" hidden="1" customWidth="1"/>
    <col min="7695" max="7695" width="14.5703125" style="654" customWidth="1"/>
    <col min="7696" max="7696" width="11.85546875" style="654" customWidth="1"/>
    <col min="7697" max="7931" width="9.140625" style="654"/>
    <col min="7932" max="7932" width="2.85546875" style="654" customWidth="1"/>
    <col min="7933" max="7933" width="50.7109375" style="654" customWidth="1"/>
    <col min="7934" max="7934" width="9.42578125" style="654" customWidth="1"/>
    <col min="7935" max="7935" width="11.85546875" style="654" customWidth="1"/>
    <col min="7936" max="7936" width="8.42578125" style="654" bestFit="1" customWidth="1"/>
    <col min="7937" max="7939" width="0" style="654" hidden="1" customWidth="1"/>
    <col min="7940" max="7940" width="6" style="654" bestFit="1" customWidth="1"/>
    <col min="7941" max="7941" width="9.5703125" style="654" customWidth="1"/>
    <col min="7942" max="7942" width="9.85546875" style="654" customWidth="1"/>
    <col min="7943" max="7943" width="9.7109375" style="654" customWidth="1"/>
    <col min="7944" max="7944" width="9.5703125" style="654" customWidth="1"/>
    <col min="7945" max="7945" width="9.85546875" style="654" customWidth="1"/>
    <col min="7946" max="7946" width="6.5703125" style="654" customWidth="1"/>
    <col min="7947" max="7947" width="6" style="654" bestFit="1" customWidth="1"/>
    <col min="7948" max="7948" width="6.28515625" style="654" customWidth="1"/>
    <col min="7949" max="7949" width="11.7109375" style="654" customWidth="1"/>
    <col min="7950" max="7950" width="0" style="654" hidden="1" customWidth="1"/>
    <col min="7951" max="7951" width="14.5703125" style="654" customWidth="1"/>
    <col min="7952" max="7952" width="11.85546875" style="654" customWidth="1"/>
    <col min="7953" max="8187" width="9.140625" style="654"/>
    <col min="8188" max="8188" width="2.85546875" style="654" customWidth="1"/>
    <col min="8189" max="8189" width="50.7109375" style="654" customWidth="1"/>
    <col min="8190" max="8190" width="9.42578125" style="654" customWidth="1"/>
    <col min="8191" max="8191" width="11.85546875" style="654" customWidth="1"/>
    <col min="8192" max="8192" width="8.42578125" style="654" bestFit="1" customWidth="1"/>
    <col min="8193" max="8195" width="0" style="654" hidden="1" customWidth="1"/>
    <col min="8196" max="8196" width="6" style="654" bestFit="1" customWidth="1"/>
    <col min="8197" max="8197" width="9.5703125" style="654" customWidth="1"/>
    <col min="8198" max="8198" width="9.85546875" style="654" customWidth="1"/>
    <col min="8199" max="8199" width="9.7109375" style="654" customWidth="1"/>
    <col min="8200" max="8200" width="9.5703125" style="654" customWidth="1"/>
    <col min="8201" max="8201" width="9.85546875" style="654" customWidth="1"/>
    <col min="8202" max="8202" width="6.5703125" style="654" customWidth="1"/>
    <col min="8203" max="8203" width="6" style="654" bestFit="1" customWidth="1"/>
    <col min="8204" max="8204" width="6.28515625" style="654" customWidth="1"/>
    <col min="8205" max="8205" width="11.7109375" style="654" customWidth="1"/>
    <col min="8206" max="8206" width="0" style="654" hidden="1" customWidth="1"/>
    <col min="8207" max="8207" width="14.5703125" style="654" customWidth="1"/>
    <col min="8208" max="8208" width="11.85546875" style="654" customWidth="1"/>
    <col min="8209" max="8443" width="9.140625" style="654"/>
    <col min="8444" max="8444" width="2.85546875" style="654" customWidth="1"/>
    <col min="8445" max="8445" width="50.7109375" style="654" customWidth="1"/>
    <col min="8446" max="8446" width="9.42578125" style="654" customWidth="1"/>
    <col min="8447" max="8447" width="11.85546875" style="654" customWidth="1"/>
    <col min="8448" max="8448" width="8.42578125" style="654" bestFit="1" customWidth="1"/>
    <col min="8449" max="8451" width="0" style="654" hidden="1" customWidth="1"/>
    <col min="8452" max="8452" width="6" style="654" bestFit="1" customWidth="1"/>
    <col min="8453" max="8453" width="9.5703125" style="654" customWidth="1"/>
    <col min="8454" max="8454" width="9.85546875" style="654" customWidth="1"/>
    <col min="8455" max="8455" width="9.7109375" style="654" customWidth="1"/>
    <col min="8456" max="8456" width="9.5703125" style="654" customWidth="1"/>
    <col min="8457" max="8457" width="9.85546875" style="654" customWidth="1"/>
    <col min="8458" max="8458" width="6.5703125" style="654" customWidth="1"/>
    <col min="8459" max="8459" width="6" style="654" bestFit="1" customWidth="1"/>
    <col min="8460" max="8460" width="6.28515625" style="654" customWidth="1"/>
    <col min="8461" max="8461" width="11.7109375" style="654" customWidth="1"/>
    <col min="8462" max="8462" width="0" style="654" hidden="1" customWidth="1"/>
    <col min="8463" max="8463" width="14.5703125" style="654" customWidth="1"/>
    <col min="8464" max="8464" width="11.85546875" style="654" customWidth="1"/>
    <col min="8465" max="8699" width="9.140625" style="654"/>
    <col min="8700" max="8700" width="2.85546875" style="654" customWidth="1"/>
    <col min="8701" max="8701" width="50.7109375" style="654" customWidth="1"/>
    <col min="8702" max="8702" width="9.42578125" style="654" customWidth="1"/>
    <col min="8703" max="8703" width="11.85546875" style="654" customWidth="1"/>
    <col min="8704" max="8704" width="8.42578125" style="654" bestFit="1" customWidth="1"/>
    <col min="8705" max="8707" width="0" style="654" hidden="1" customWidth="1"/>
    <col min="8708" max="8708" width="6" style="654" bestFit="1" customWidth="1"/>
    <col min="8709" max="8709" width="9.5703125" style="654" customWidth="1"/>
    <col min="8710" max="8710" width="9.85546875" style="654" customWidth="1"/>
    <col min="8711" max="8711" width="9.7109375" style="654" customWidth="1"/>
    <col min="8712" max="8712" width="9.5703125" style="654" customWidth="1"/>
    <col min="8713" max="8713" width="9.85546875" style="654" customWidth="1"/>
    <col min="8714" max="8714" width="6.5703125" style="654" customWidth="1"/>
    <col min="8715" max="8715" width="6" style="654" bestFit="1" customWidth="1"/>
    <col min="8716" max="8716" width="6.28515625" style="654" customWidth="1"/>
    <col min="8717" max="8717" width="11.7109375" style="654" customWidth="1"/>
    <col min="8718" max="8718" width="0" style="654" hidden="1" customWidth="1"/>
    <col min="8719" max="8719" width="14.5703125" style="654" customWidth="1"/>
    <col min="8720" max="8720" width="11.85546875" style="654" customWidth="1"/>
    <col min="8721" max="8955" width="9.140625" style="654"/>
    <col min="8956" max="8956" width="2.85546875" style="654" customWidth="1"/>
    <col min="8957" max="8957" width="50.7109375" style="654" customWidth="1"/>
    <col min="8958" max="8958" width="9.42578125" style="654" customWidth="1"/>
    <col min="8959" max="8959" width="11.85546875" style="654" customWidth="1"/>
    <col min="8960" max="8960" width="8.42578125" style="654" bestFit="1" customWidth="1"/>
    <col min="8961" max="8963" width="0" style="654" hidden="1" customWidth="1"/>
    <col min="8964" max="8964" width="6" style="654" bestFit="1" customWidth="1"/>
    <col min="8965" max="8965" width="9.5703125" style="654" customWidth="1"/>
    <col min="8966" max="8966" width="9.85546875" style="654" customWidth="1"/>
    <col min="8967" max="8967" width="9.7109375" style="654" customWidth="1"/>
    <col min="8968" max="8968" width="9.5703125" style="654" customWidth="1"/>
    <col min="8969" max="8969" width="9.85546875" style="654" customWidth="1"/>
    <col min="8970" max="8970" width="6.5703125" style="654" customWidth="1"/>
    <col min="8971" max="8971" width="6" style="654" bestFit="1" customWidth="1"/>
    <col min="8972" max="8972" width="6.28515625" style="654" customWidth="1"/>
    <col min="8973" max="8973" width="11.7109375" style="654" customWidth="1"/>
    <col min="8974" max="8974" width="0" style="654" hidden="1" customWidth="1"/>
    <col min="8975" max="8975" width="14.5703125" style="654" customWidth="1"/>
    <col min="8976" max="8976" width="11.85546875" style="654" customWidth="1"/>
    <col min="8977" max="9211" width="9.140625" style="654"/>
    <col min="9212" max="9212" width="2.85546875" style="654" customWidth="1"/>
    <col min="9213" max="9213" width="50.7109375" style="654" customWidth="1"/>
    <col min="9214" max="9214" width="9.42578125" style="654" customWidth="1"/>
    <col min="9215" max="9215" width="11.85546875" style="654" customWidth="1"/>
    <col min="9216" max="9216" width="8.42578125" style="654" bestFit="1" customWidth="1"/>
    <col min="9217" max="9219" width="0" style="654" hidden="1" customWidth="1"/>
    <col min="9220" max="9220" width="6" style="654" bestFit="1" customWidth="1"/>
    <col min="9221" max="9221" width="9.5703125" style="654" customWidth="1"/>
    <col min="9222" max="9222" width="9.85546875" style="654" customWidth="1"/>
    <col min="9223" max="9223" width="9.7109375" style="654" customWidth="1"/>
    <col min="9224" max="9224" width="9.5703125" style="654" customWidth="1"/>
    <col min="9225" max="9225" width="9.85546875" style="654" customWidth="1"/>
    <col min="9226" max="9226" width="6.5703125" style="654" customWidth="1"/>
    <col min="9227" max="9227" width="6" style="654" bestFit="1" customWidth="1"/>
    <col min="9228" max="9228" width="6.28515625" style="654" customWidth="1"/>
    <col min="9229" max="9229" width="11.7109375" style="654" customWidth="1"/>
    <col min="9230" max="9230" width="0" style="654" hidden="1" customWidth="1"/>
    <col min="9231" max="9231" width="14.5703125" style="654" customWidth="1"/>
    <col min="9232" max="9232" width="11.85546875" style="654" customWidth="1"/>
    <col min="9233" max="9467" width="9.140625" style="654"/>
    <col min="9468" max="9468" width="2.85546875" style="654" customWidth="1"/>
    <col min="9469" max="9469" width="50.7109375" style="654" customWidth="1"/>
    <col min="9470" max="9470" width="9.42578125" style="654" customWidth="1"/>
    <col min="9471" max="9471" width="11.85546875" style="654" customWidth="1"/>
    <col min="9472" max="9472" width="8.42578125" style="654" bestFit="1" customWidth="1"/>
    <col min="9473" max="9475" width="0" style="654" hidden="1" customWidth="1"/>
    <col min="9476" max="9476" width="6" style="654" bestFit="1" customWidth="1"/>
    <col min="9477" max="9477" width="9.5703125" style="654" customWidth="1"/>
    <col min="9478" max="9478" width="9.85546875" style="654" customWidth="1"/>
    <col min="9479" max="9479" width="9.7109375" style="654" customWidth="1"/>
    <col min="9480" max="9480" width="9.5703125" style="654" customWidth="1"/>
    <col min="9481" max="9481" width="9.85546875" style="654" customWidth="1"/>
    <col min="9482" max="9482" width="6.5703125" style="654" customWidth="1"/>
    <col min="9483" max="9483" width="6" style="654" bestFit="1" customWidth="1"/>
    <col min="9484" max="9484" width="6.28515625" style="654" customWidth="1"/>
    <col min="9485" max="9485" width="11.7109375" style="654" customWidth="1"/>
    <col min="9486" max="9486" width="0" style="654" hidden="1" customWidth="1"/>
    <col min="9487" max="9487" width="14.5703125" style="654" customWidth="1"/>
    <col min="9488" max="9488" width="11.85546875" style="654" customWidth="1"/>
    <col min="9489" max="9723" width="9.140625" style="654"/>
    <col min="9724" max="9724" width="2.85546875" style="654" customWidth="1"/>
    <col min="9725" max="9725" width="50.7109375" style="654" customWidth="1"/>
    <col min="9726" max="9726" width="9.42578125" style="654" customWidth="1"/>
    <col min="9727" max="9727" width="11.85546875" style="654" customWidth="1"/>
    <col min="9728" max="9728" width="8.42578125" style="654" bestFit="1" customWidth="1"/>
    <col min="9729" max="9731" width="0" style="654" hidden="1" customWidth="1"/>
    <col min="9732" max="9732" width="6" style="654" bestFit="1" customWidth="1"/>
    <col min="9733" max="9733" width="9.5703125" style="654" customWidth="1"/>
    <col min="9734" max="9734" width="9.85546875" style="654" customWidth="1"/>
    <col min="9735" max="9735" width="9.7109375" style="654" customWidth="1"/>
    <col min="9736" max="9736" width="9.5703125" style="654" customWidth="1"/>
    <col min="9737" max="9737" width="9.85546875" style="654" customWidth="1"/>
    <col min="9738" max="9738" width="6.5703125" style="654" customWidth="1"/>
    <col min="9739" max="9739" width="6" style="654" bestFit="1" customWidth="1"/>
    <col min="9740" max="9740" width="6.28515625" style="654" customWidth="1"/>
    <col min="9741" max="9741" width="11.7109375" style="654" customWidth="1"/>
    <col min="9742" max="9742" width="0" style="654" hidden="1" customWidth="1"/>
    <col min="9743" max="9743" width="14.5703125" style="654" customWidth="1"/>
    <col min="9744" max="9744" width="11.85546875" style="654" customWidth="1"/>
    <col min="9745" max="9979" width="9.140625" style="654"/>
    <col min="9980" max="9980" width="2.85546875" style="654" customWidth="1"/>
    <col min="9981" max="9981" width="50.7109375" style="654" customWidth="1"/>
    <col min="9982" max="9982" width="9.42578125" style="654" customWidth="1"/>
    <col min="9983" max="9983" width="11.85546875" style="654" customWidth="1"/>
    <col min="9984" max="9984" width="8.42578125" style="654" bestFit="1" customWidth="1"/>
    <col min="9985" max="9987" width="0" style="654" hidden="1" customWidth="1"/>
    <col min="9988" max="9988" width="6" style="654" bestFit="1" customWidth="1"/>
    <col min="9989" max="9989" width="9.5703125" style="654" customWidth="1"/>
    <col min="9990" max="9990" width="9.85546875" style="654" customWidth="1"/>
    <col min="9991" max="9991" width="9.7109375" style="654" customWidth="1"/>
    <col min="9992" max="9992" width="9.5703125" style="654" customWidth="1"/>
    <col min="9993" max="9993" width="9.85546875" style="654" customWidth="1"/>
    <col min="9994" max="9994" width="6.5703125" style="654" customWidth="1"/>
    <col min="9995" max="9995" width="6" style="654" bestFit="1" customWidth="1"/>
    <col min="9996" max="9996" width="6.28515625" style="654" customWidth="1"/>
    <col min="9997" max="9997" width="11.7109375" style="654" customWidth="1"/>
    <col min="9998" max="9998" width="0" style="654" hidden="1" customWidth="1"/>
    <col min="9999" max="9999" width="14.5703125" style="654" customWidth="1"/>
    <col min="10000" max="10000" width="11.85546875" style="654" customWidth="1"/>
    <col min="10001" max="10235" width="9.140625" style="654"/>
    <col min="10236" max="10236" width="2.85546875" style="654" customWidth="1"/>
    <col min="10237" max="10237" width="50.7109375" style="654" customWidth="1"/>
    <col min="10238" max="10238" width="9.42578125" style="654" customWidth="1"/>
    <col min="10239" max="10239" width="11.85546875" style="654" customWidth="1"/>
    <col min="10240" max="10240" width="8.42578125" style="654" bestFit="1" customWidth="1"/>
    <col min="10241" max="10243" width="0" style="654" hidden="1" customWidth="1"/>
    <col min="10244" max="10244" width="6" style="654" bestFit="1" customWidth="1"/>
    <col min="10245" max="10245" width="9.5703125" style="654" customWidth="1"/>
    <col min="10246" max="10246" width="9.85546875" style="654" customWidth="1"/>
    <col min="10247" max="10247" width="9.7109375" style="654" customWidth="1"/>
    <col min="10248" max="10248" width="9.5703125" style="654" customWidth="1"/>
    <col min="10249" max="10249" width="9.85546875" style="654" customWidth="1"/>
    <col min="10250" max="10250" width="6.5703125" style="654" customWidth="1"/>
    <col min="10251" max="10251" width="6" style="654" bestFit="1" customWidth="1"/>
    <col min="10252" max="10252" width="6.28515625" style="654" customWidth="1"/>
    <col min="10253" max="10253" width="11.7109375" style="654" customWidth="1"/>
    <col min="10254" max="10254" width="0" style="654" hidden="1" customWidth="1"/>
    <col min="10255" max="10255" width="14.5703125" style="654" customWidth="1"/>
    <col min="10256" max="10256" width="11.85546875" style="654" customWidth="1"/>
    <col min="10257" max="10491" width="9.140625" style="654"/>
    <col min="10492" max="10492" width="2.85546875" style="654" customWidth="1"/>
    <col min="10493" max="10493" width="50.7109375" style="654" customWidth="1"/>
    <col min="10494" max="10494" width="9.42578125" style="654" customWidth="1"/>
    <col min="10495" max="10495" width="11.85546875" style="654" customWidth="1"/>
    <col min="10496" max="10496" width="8.42578125" style="654" bestFit="1" customWidth="1"/>
    <col min="10497" max="10499" width="0" style="654" hidden="1" customWidth="1"/>
    <col min="10500" max="10500" width="6" style="654" bestFit="1" customWidth="1"/>
    <col min="10501" max="10501" width="9.5703125" style="654" customWidth="1"/>
    <col min="10502" max="10502" width="9.85546875" style="654" customWidth="1"/>
    <col min="10503" max="10503" width="9.7109375" style="654" customWidth="1"/>
    <col min="10504" max="10504" width="9.5703125" style="654" customWidth="1"/>
    <col min="10505" max="10505" width="9.85546875" style="654" customWidth="1"/>
    <col min="10506" max="10506" width="6.5703125" style="654" customWidth="1"/>
    <col min="10507" max="10507" width="6" style="654" bestFit="1" customWidth="1"/>
    <col min="10508" max="10508" width="6.28515625" style="654" customWidth="1"/>
    <col min="10509" max="10509" width="11.7109375" style="654" customWidth="1"/>
    <col min="10510" max="10510" width="0" style="654" hidden="1" customWidth="1"/>
    <col min="10511" max="10511" width="14.5703125" style="654" customWidth="1"/>
    <col min="10512" max="10512" width="11.85546875" style="654" customWidth="1"/>
    <col min="10513" max="10747" width="9.140625" style="654"/>
    <col min="10748" max="10748" width="2.85546875" style="654" customWidth="1"/>
    <col min="10749" max="10749" width="50.7109375" style="654" customWidth="1"/>
    <col min="10750" max="10750" width="9.42578125" style="654" customWidth="1"/>
    <col min="10751" max="10751" width="11.85546875" style="654" customWidth="1"/>
    <col min="10752" max="10752" width="8.42578125" style="654" bestFit="1" customWidth="1"/>
    <col min="10753" max="10755" width="0" style="654" hidden="1" customWidth="1"/>
    <col min="10756" max="10756" width="6" style="654" bestFit="1" customWidth="1"/>
    <col min="10757" max="10757" width="9.5703125" style="654" customWidth="1"/>
    <col min="10758" max="10758" width="9.85546875" style="654" customWidth="1"/>
    <col min="10759" max="10759" width="9.7109375" style="654" customWidth="1"/>
    <col min="10760" max="10760" width="9.5703125" style="654" customWidth="1"/>
    <col min="10761" max="10761" width="9.85546875" style="654" customWidth="1"/>
    <col min="10762" max="10762" width="6.5703125" style="654" customWidth="1"/>
    <col min="10763" max="10763" width="6" style="654" bestFit="1" customWidth="1"/>
    <col min="10764" max="10764" width="6.28515625" style="654" customWidth="1"/>
    <col min="10765" max="10765" width="11.7109375" style="654" customWidth="1"/>
    <col min="10766" max="10766" width="0" style="654" hidden="1" customWidth="1"/>
    <col min="10767" max="10767" width="14.5703125" style="654" customWidth="1"/>
    <col min="10768" max="10768" width="11.85546875" style="654" customWidth="1"/>
    <col min="10769" max="11003" width="9.140625" style="654"/>
    <col min="11004" max="11004" width="2.85546875" style="654" customWidth="1"/>
    <col min="11005" max="11005" width="50.7109375" style="654" customWidth="1"/>
    <col min="11006" max="11006" width="9.42578125" style="654" customWidth="1"/>
    <col min="11007" max="11007" width="11.85546875" style="654" customWidth="1"/>
    <col min="11008" max="11008" width="8.42578125" style="654" bestFit="1" customWidth="1"/>
    <col min="11009" max="11011" width="0" style="654" hidden="1" customWidth="1"/>
    <col min="11012" max="11012" width="6" style="654" bestFit="1" customWidth="1"/>
    <col min="11013" max="11013" width="9.5703125" style="654" customWidth="1"/>
    <col min="11014" max="11014" width="9.85546875" style="654" customWidth="1"/>
    <col min="11015" max="11015" width="9.7109375" style="654" customWidth="1"/>
    <col min="11016" max="11016" width="9.5703125" style="654" customWidth="1"/>
    <col min="11017" max="11017" width="9.85546875" style="654" customWidth="1"/>
    <col min="11018" max="11018" width="6.5703125" style="654" customWidth="1"/>
    <col min="11019" max="11019" width="6" style="654" bestFit="1" customWidth="1"/>
    <col min="11020" max="11020" width="6.28515625" style="654" customWidth="1"/>
    <col min="11021" max="11021" width="11.7109375" style="654" customWidth="1"/>
    <col min="11022" max="11022" width="0" style="654" hidden="1" customWidth="1"/>
    <col min="11023" max="11023" width="14.5703125" style="654" customWidth="1"/>
    <col min="11024" max="11024" width="11.85546875" style="654" customWidth="1"/>
    <col min="11025" max="11259" width="9.140625" style="654"/>
    <col min="11260" max="11260" width="2.85546875" style="654" customWidth="1"/>
    <col min="11261" max="11261" width="50.7109375" style="654" customWidth="1"/>
    <col min="11262" max="11262" width="9.42578125" style="654" customWidth="1"/>
    <col min="11263" max="11263" width="11.85546875" style="654" customWidth="1"/>
    <col min="11264" max="11264" width="8.42578125" style="654" bestFit="1" customWidth="1"/>
    <col min="11265" max="11267" width="0" style="654" hidden="1" customWidth="1"/>
    <col min="11268" max="11268" width="6" style="654" bestFit="1" customWidth="1"/>
    <col min="11269" max="11269" width="9.5703125" style="654" customWidth="1"/>
    <col min="11270" max="11270" width="9.85546875" style="654" customWidth="1"/>
    <col min="11271" max="11271" width="9.7109375" style="654" customWidth="1"/>
    <col min="11272" max="11272" width="9.5703125" style="654" customWidth="1"/>
    <col min="11273" max="11273" width="9.85546875" style="654" customWidth="1"/>
    <col min="11274" max="11274" width="6.5703125" style="654" customWidth="1"/>
    <col min="11275" max="11275" width="6" style="654" bestFit="1" customWidth="1"/>
    <col min="11276" max="11276" width="6.28515625" style="654" customWidth="1"/>
    <col min="11277" max="11277" width="11.7109375" style="654" customWidth="1"/>
    <col min="11278" max="11278" width="0" style="654" hidden="1" customWidth="1"/>
    <col min="11279" max="11279" width="14.5703125" style="654" customWidth="1"/>
    <col min="11280" max="11280" width="11.85546875" style="654" customWidth="1"/>
    <col min="11281" max="11515" width="9.140625" style="654"/>
    <col min="11516" max="11516" width="2.85546875" style="654" customWidth="1"/>
    <col min="11517" max="11517" width="50.7109375" style="654" customWidth="1"/>
    <col min="11518" max="11518" width="9.42578125" style="654" customWidth="1"/>
    <col min="11519" max="11519" width="11.85546875" style="654" customWidth="1"/>
    <col min="11520" max="11520" width="8.42578125" style="654" bestFit="1" customWidth="1"/>
    <col min="11521" max="11523" width="0" style="654" hidden="1" customWidth="1"/>
    <col min="11524" max="11524" width="6" style="654" bestFit="1" customWidth="1"/>
    <col min="11525" max="11525" width="9.5703125" style="654" customWidth="1"/>
    <col min="11526" max="11526" width="9.85546875" style="654" customWidth="1"/>
    <col min="11527" max="11527" width="9.7109375" style="654" customWidth="1"/>
    <col min="11528" max="11528" width="9.5703125" style="654" customWidth="1"/>
    <col min="11529" max="11529" width="9.85546875" style="654" customWidth="1"/>
    <col min="11530" max="11530" width="6.5703125" style="654" customWidth="1"/>
    <col min="11531" max="11531" width="6" style="654" bestFit="1" customWidth="1"/>
    <col min="11532" max="11532" width="6.28515625" style="654" customWidth="1"/>
    <col min="11533" max="11533" width="11.7109375" style="654" customWidth="1"/>
    <col min="11534" max="11534" width="0" style="654" hidden="1" customWidth="1"/>
    <col min="11535" max="11535" width="14.5703125" style="654" customWidth="1"/>
    <col min="11536" max="11536" width="11.85546875" style="654" customWidth="1"/>
    <col min="11537" max="11771" width="9.140625" style="654"/>
    <col min="11772" max="11772" width="2.85546875" style="654" customWidth="1"/>
    <col min="11773" max="11773" width="50.7109375" style="654" customWidth="1"/>
    <col min="11774" max="11774" width="9.42578125" style="654" customWidth="1"/>
    <col min="11775" max="11775" width="11.85546875" style="654" customWidth="1"/>
    <col min="11776" max="11776" width="8.42578125" style="654" bestFit="1" customWidth="1"/>
    <col min="11777" max="11779" width="0" style="654" hidden="1" customWidth="1"/>
    <col min="11780" max="11780" width="6" style="654" bestFit="1" customWidth="1"/>
    <col min="11781" max="11781" width="9.5703125" style="654" customWidth="1"/>
    <col min="11782" max="11782" width="9.85546875" style="654" customWidth="1"/>
    <col min="11783" max="11783" width="9.7109375" style="654" customWidth="1"/>
    <col min="11784" max="11784" width="9.5703125" style="654" customWidth="1"/>
    <col min="11785" max="11785" width="9.85546875" style="654" customWidth="1"/>
    <col min="11786" max="11786" width="6.5703125" style="654" customWidth="1"/>
    <col min="11787" max="11787" width="6" style="654" bestFit="1" customWidth="1"/>
    <col min="11788" max="11788" width="6.28515625" style="654" customWidth="1"/>
    <col min="11789" max="11789" width="11.7109375" style="654" customWidth="1"/>
    <col min="11790" max="11790" width="0" style="654" hidden="1" customWidth="1"/>
    <col min="11791" max="11791" width="14.5703125" style="654" customWidth="1"/>
    <col min="11792" max="11792" width="11.85546875" style="654" customWidth="1"/>
    <col min="11793" max="12027" width="9.140625" style="654"/>
    <col min="12028" max="12028" width="2.85546875" style="654" customWidth="1"/>
    <col min="12029" max="12029" width="50.7109375" style="654" customWidth="1"/>
    <col min="12030" max="12030" width="9.42578125" style="654" customWidth="1"/>
    <col min="12031" max="12031" width="11.85546875" style="654" customWidth="1"/>
    <col min="12032" max="12032" width="8.42578125" style="654" bestFit="1" customWidth="1"/>
    <col min="12033" max="12035" width="0" style="654" hidden="1" customWidth="1"/>
    <col min="12036" max="12036" width="6" style="654" bestFit="1" customWidth="1"/>
    <col min="12037" max="12037" width="9.5703125" style="654" customWidth="1"/>
    <col min="12038" max="12038" width="9.85546875" style="654" customWidth="1"/>
    <col min="12039" max="12039" width="9.7109375" style="654" customWidth="1"/>
    <col min="12040" max="12040" width="9.5703125" style="654" customWidth="1"/>
    <col min="12041" max="12041" width="9.85546875" style="654" customWidth="1"/>
    <col min="12042" max="12042" width="6.5703125" style="654" customWidth="1"/>
    <col min="12043" max="12043" width="6" style="654" bestFit="1" customWidth="1"/>
    <col min="12044" max="12044" width="6.28515625" style="654" customWidth="1"/>
    <col min="12045" max="12045" width="11.7109375" style="654" customWidth="1"/>
    <col min="12046" max="12046" width="0" style="654" hidden="1" customWidth="1"/>
    <col min="12047" max="12047" width="14.5703125" style="654" customWidth="1"/>
    <col min="12048" max="12048" width="11.85546875" style="654" customWidth="1"/>
    <col min="12049" max="12283" width="9.140625" style="654"/>
    <col min="12284" max="12284" width="2.85546875" style="654" customWidth="1"/>
    <col min="12285" max="12285" width="50.7109375" style="654" customWidth="1"/>
    <col min="12286" max="12286" width="9.42578125" style="654" customWidth="1"/>
    <col min="12287" max="12287" width="11.85546875" style="654" customWidth="1"/>
    <col min="12288" max="12288" width="8.42578125" style="654" bestFit="1" customWidth="1"/>
    <col min="12289" max="12291" width="0" style="654" hidden="1" customWidth="1"/>
    <col min="12292" max="12292" width="6" style="654" bestFit="1" customWidth="1"/>
    <col min="12293" max="12293" width="9.5703125" style="654" customWidth="1"/>
    <col min="12294" max="12294" width="9.85546875" style="654" customWidth="1"/>
    <col min="12295" max="12295" width="9.7109375" style="654" customWidth="1"/>
    <col min="12296" max="12296" width="9.5703125" style="654" customWidth="1"/>
    <col min="12297" max="12297" width="9.85546875" style="654" customWidth="1"/>
    <col min="12298" max="12298" width="6.5703125" style="654" customWidth="1"/>
    <col min="12299" max="12299" width="6" style="654" bestFit="1" customWidth="1"/>
    <col min="12300" max="12300" width="6.28515625" style="654" customWidth="1"/>
    <col min="12301" max="12301" width="11.7109375" style="654" customWidth="1"/>
    <col min="12302" max="12302" width="0" style="654" hidden="1" customWidth="1"/>
    <col min="12303" max="12303" width="14.5703125" style="654" customWidth="1"/>
    <col min="12304" max="12304" width="11.85546875" style="654" customWidth="1"/>
    <col min="12305" max="12539" width="9.140625" style="654"/>
    <col min="12540" max="12540" width="2.85546875" style="654" customWidth="1"/>
    <col min="12541" max="12541" width="50.7109375" style="654" customWidth="1"/>
    <col min="12542" max="12542" width="9.42578125" style="654" customWidth="1"/>
    <col min="12543" max="12543" width="11.85546875" style="654" customWidth="1"/>
    <col min="12544" max="12544" width="8.42578125" style="654" bestFit="1" customWidth="1"/>
    <col min="12545" max="12547" width="0" style="654" hidden="1" customWidth="1"/>
    <col min="12548" max="12548" width="6" style="654" bestFit="1" customWidth="1"/>
    <col min="12549" max="12549" width="9.5703125" style="654" customWidth="1"/>
    <col min="12550" max="12550" width="9.85546875" style="654" customWidth="1"/>
    <col min="12551" max="12551" width="9.7109375" style="654" customWidth="1"/>
    <col min="12552" max="12552" width="9.5703125" style="654" customWidth="1"/>
    <col min="12553" max="12553" width="9.85546875" style="654" customWidth="1"/>
    <col min="12554" max="12554" width="6.5703125" style="654" customWidth="1"/>
    <col min="12555" max="12555" width="6" style="654" bestFit="1" customWidth="1"/>
    <col min="12556" max="12556" width="6.28515625" style="654" customWidth="1"/>
    <col min="12557" max="12557" width="11.7109375" style="654" customWidth="1"/>
    <col min="12558" max="12558" width="0" style="654" hidden="1" customWidth="1"/>
    <col min="12559" max="12559" width="14.5703125" style="654" customWidth="1"/>
    <col min="12560" max="12560" width="11.85546875" style="654" customWidth="1"/>
    <col min="12561" max="12795" width="9.140625" style="654"/>
    <col min="12796" max="12796" width="2.85546875" style="654" customWidth="1"/>
    <col min="12797" max="12797" width="50.7109375" style="654" customWidth="1"/>
    <col min="12798" max="12798" width="9.42578125" style="654" customWidth="1"/>
    <col min="12799" max="12799" width="11.85546875" style="654" customWidth="1"/>
    <col min="12800" max="12800" width="8.42578125" style="654" bestFit="1" customWidth="1"/>
    <col min="12801" max="12803" width="0" style="654" hidden="1" customWidth="1"/>
    <col min="12804" max="12804" width="6" style="654" bestFit="1" customWidth="1"/>
    <col min="12805" max="12805" width="9.5703125" style="654" customWidth="1"/>
    <col min="12806" max="12806" width="9.85546875" style="654" customWidth="1"/>
    <col min="12807" max="12807" width="9.7109375" style="654" customWidth="1"/>
    <col min="12808" max="12808" width="9.5703125" style="654" customWidth="1"/>
    <col min="12809" max="12809" width="9.85546875" style="654" customWidth="1"/>
    <col min="12810" max="12810" width="6.5703125" style="654" customWidth="1"/>
    <col min="12811" max="12811" width="6" style="654" bestFit="1" customWidth="1"/>
    <col min="12812" max="12812" width="6.28515625" style="654" customWidth="1"/>
    <col min="12813" max="12813" width="11.7109375" style="654" customWidth="1"/>
    <col min="12814" max="12814" width="0" style="654" hidden="1" customWidth="1"/>
    <col min="12815" max="12815" width="14.5703125" style="654" customWidth="1"/>
    <col min="12816" max="12816" width="11.85546875" style="654" customWidth="1"/>
    <col min="12817" max="13051" width="9.140625" style="654"/>
    <col min="13052" max="13052" width="2.85546875" style="654" customWidth="1"/>
    <col min="13053" max="13053" width="50.7109375" style="654" customWidth="1"/>
    <col min="13054" max="13054" width="9.42578125" style="654" customWidth="1"/>
    <col min="13055" max="13055" width="11.85546875" style="654" customWidth="1"/>
    <col min="13056" max="13056" width="8.42578125" style="654" bestFit="1" customWidth="1"/>
    <col min="13057" max="13059" width="0" style="654" hidden="1" customWidth="1"/>
    <col min="13060" max="13060" width="6" style="654" bestFit="1" customWidth="1"/>
    <col min="13061" max="13061" width="9.5703125" style="654" customWidth="1"/>
    <col min="13062" max="13062" width="9.85546875" style="654" customWidth="1"/>
    <col min="13063" max="13063" width="9.7109375" style="654" customWidth="1"/>
    <col min="13064" max="13064" width="9.5703125" style="654" customWidth="1"/>
    <col min="13065" max="13065" width="9.85546875" style="654" customWidth="1"/>
    <col min="13066" max="13066" width="6.5703125" style="654" customWidth="1"/>
    <col min="13067" max="13067" width="6" style="654" bestFit="1" customWidth="1"/>
    <col min="13068" max="13068" width="6.28515625" style="654" customWidth="1"/>
    <col min="13069" max="13069" width="11.7109375" style="654" customWidth="1"/>
    <col min="13070" max="13070" width="0" style="654" hidden="1" customWidth="1"/>
    <col min="13071" max="13071" width="14.5703125" style="654" customWidth="1"/>
    <col min="13072" max="13072" width="11.85546875" style="654" customWidth="1"/>
    <col min="13073" max="13307" width="9.140625" style="654"/>
    <col min="13308" max="13308" width="2.85546875" style="654" customWidth="1"/>
    <col min="13309" max="13309" width="50.7109375" style="654" customWidth="1"/>
    <col min="13310" max="13310" width="9.42578125" style="654" customWidth="1"/>
    <col min="13311" max="13311" width="11.85546875" style="654" customWidth="1"/>
    <col min="13312" max="13312" width="8.42578125" style="654" bestFit="1" customWidth="1"/>
    <col min="13313" max="13315" width="0" style="654" hidden="1" customWidth="1"/>
    <col min="13316" max="13316" width="6" style="654" bestFit="1" customWidth="1"/>
    <col min="13317" max="13317" width="9.5703125" style="654" customWidth="1"/>
    <col min="13318" max="13318" width="9.85546875" style="654" customWidth="1"/>
    <col min="13319" max="13319" width="9.7109375" style="654" customWidth="1"/>
    <col min="13320" max="13320" width="9.5703125" style="654" customWidth="1"/>
    <col min="13321" max="13321" width="9.85546875" style="654" customWidth="1"/>
    <col min="13322" max="13322" width="6.5703125" style="654" customWidth="1"/>
    <col min="13323" max="13323" width="6" style="654" bestFit="1" customWidth="1"/>
    <col min="13324" max="13324" width="6.28515625" style="654" customWidth="1"/>
    <col min="13325" max="13325" width="11.7109375" style="654" customWidth="1"/>
    <col min="13326" max="13326" width="0" style="654" hidden="1" customWidth="1"/>
    <col min="13327" max="13327" width="14.5703125" style="654" customWidth="1"/>
    <col min="13328" max="13328" width="11.85546875" style="654" customWidth="1"/>
    <col min="13329" max="13563" width="9.140625" style="654"/>
    <col min="13564" max="13564" width="2.85546875" style="654" customWidth="1"/>
    <col min="13565" max="13565" width="50.7109375" style="654" customWidth="1"/>
    <col min="13566" max="13566" width="9.42578125" style="654" customWidth="1"/>
    <col min="13567" max="13567" width="11.85546875" style="654" customWidth="1"/>
    <col min="13568" max="13568" width="8.42578125" style="654" bestFit="1" customWidth="1"/>
    <col min="13569" max="13571" width="0" style="654" hidden="1" customWidth="1"/>
    <col min="13572" max="13572" width="6" style="654" bestFit="1" customWidth="1"/>
    <col min="13573" max="13573" width="9.5703125" style="654" customWidth="1"/>
    <col min="13574" max="13574" width="9.85546875" style="654" customWidth="1"/>
    <col min="13575" max="13575" width="9.7109375" style="654" customWidth="1"/>
    <col min="13576" max="13576" width="9.5703125" style="654" customWidth="1"/>
    <col min="13577" max="13577" width="9.85546875" style="654" customWidth="1"/>
    <col min="13578" max="13578" width="6.5703125" style="654" customWidth="1"/>
    <col min="13579" max="13579" width="6" style="654" bestFit="1" customWidth="1"/>
    <col min="13580" max="13580" width="6.28515625" style="654" customWidth="1"/>
    <col min="13581" max="13581" width="11.7109375" style="654" customWidth="1"/>
    <col min="13582" max="13582" width="0" style="654" hidden="1" customWidth="1"/>
    <col min="13583" max="13583" width="14.5703125" style="654" customWidth="1"/>
    <col min="13584" max="13584" width="11.85546875" style="654" customWidth="1"/>
    <col min="13585" max="13819" width="9.140625" style="654"/>
    <col min="13820" max="13820" width="2.85546875" style="654" customWidth="1"/>
    <col min="13821" max="13821" width="50.7109375" style="654" customWidth="1"/>
    <col min="13822" max="13822" width="9.42578125" style="654" customWidth="1"/>
    <col min="13823" max="13823" width="11.85546875" style="654" customWidth="1"/>
    <col min="13824" max="13824" width="8.42578125" style="654" bestFit="1" customWidth="1"/>
    <col min="13825" max="13827" width="0" style="654" hidden="1" customWidth="1"/>
    <col min="13828" max="13828" width="6" style="654" bestFit="1" customWidth="1"/>
    <col min="13829" max="13829" width="9.5703125" style="654" customWidth="1"/>
    <col min="13830" max="13830" width="9.85546875" style="654" customWidth="1"/>
    <col min="13831" max="13831" width="9.7109375" style="654" customWidth="1"/>
    <col min="13832" max="13832" width="9.5703125" style="654" customWidth="1"/>
    <col min="13833" max="13833" width="9.85546875" style="654" customWidth="1"/>
    <col min="13834" max="13834" width="6.5703125" style="654" customWidth="1"/>
    <col min="13835" max="13835" width="6" style="654" bestFit="1" customWidth="1"/>
    <col min="13836" max="13836" width="6.28515625" style="654" customWidth="1"/>
    <col min="13837" max="13837" width="11.7109375" style="654" customWidth="1"/>
    <col min="13838" max="13838" width="0" style="654" hidden="1" customWidth="1"/>
    <col min="13839" max="13839" width="14.5703125" style="654" customWidth="1"/>
    <col min="13840" max="13840" width="11.85546875" style="654" customWidth="1"/>
    <col min="13841" max="14075" width="9.140625" style="654"/>
    <col min="14076" max="14076" width="2.85546875" style="654" customWidth="1"/>
    <col min="14077" max="14077" width="50.7109375" style="654" customWidth="1"/>
    <col min="14078" max="14078" width="9.42578125" style="654" customWidth="1"/>
    <col min="14079" max="14079" width="11.85546875" style="654" customWidth="1"/>
    <col min="14080" max="14080" width="8.42578125" style="654" bestFit="1" customWidth="1"/>
    <col min="14081" max="14083" width="0" style="654" hidden="1" customWidth="1"/>
    <col min="14084" max="14084" width="6" style="654" bestFit="1" customWidth="1"/>
    <col min="14085" max="14085" width="9.5703125" style="654" customWidth="1"/>
    <col min="14086" max="14086" width="9.85546875" style="654" customWidth="1"/>
    <col min="14087" max="14087" width="9.7109375" style="654" customWidth="1"/>
    <col min="14088" max="14088" width="9.5703125" style="654" customWidth="1"/>
    <col min="14089" max="14089" width="9.85546875" style="654" customWidth="1"/>
    <col min="14090" max="14090" width="6.5703125" style="654" customWidth="1"/>
    <col min="14091" max="14091" width="6" style="654" bestFit="1" customWidth="1"/>
    <col min="14092" max="14092" width="6.28515625" style="654" customWidth="1"/>
    <col min="14093" max="14093" width="11.7109375" style="654" customWidth="1"/>
    <col min="14094" max="14094" width="0" style="654" hidden="1" customWidth="1"/>
    <col min="14095" max="14095" width="14.5703125" style="654" customWidth="1"/>
    <col min="14096" max="14096" width="11.85546875" style="654" customWidth="1"/>
    <col min="14097" max="14331" width="9.140625" style="654"/>
    <col min="14332" max="14332" width="2.85546875" style="654" customWidth="1"/>
    <col min="14333" max="14333" width="50.7109375" style="654" customWidth="1"/>
    <col min="14334" max="14334" width="9.42578125" style="654" customWidth="1"/>
    <col min="14335" max="14335" width="11.85546875" style="654" customWidth="1"/>
    <col min="14336" max="14336" width="8.42578125" style="654" bestFit="1" customWidth="1"/>
    <col min="14337" max="14339" width="0" style="654" hidden="1" customWidth="1"/>
    <col min="14340" max="14340" width="6" style="654" bestFit="1" customWidth="1"/>
    <col min="14341" max="14341" width="9.5703125" style="654" customWidth="1"/>
    <col min="14342" max="14342" width="9.85546875" style="654" customWidth="1"/>
    <col min="14343" max="14343" width="9.7109375" style="654" customWidth="1"/>
    <col min="14344" max="14344" width="9.5703125" style="654" customWidth="1"/>
    <col min="14345" max="14345" width="9.85546875" style="654" customWidth="1"/>
    <col min="14346" max="14346" width="6.5703125" style="654" customWidth="1"/>
    <col min="14347" max="14347" width="6" style="654" bestFit="1" customWidth="1"/>
    <col min="14348" max="14348" width="6.28515625" style="654" customWidth="1"/>
    <col min="14349" max="14349" width="11.7109375" style="654" customWidth="1"/>
    <col min="14350" max="14350" width="0" style="654" hidden="1" customWidth="1"/>
    <col min="14351" max="14351" width="14.5703125" style="654" customWidth="1"/>
    <col min="14352" max="14352" width="11.85546875" style="654" customWidth="1"/>
    <col min="14353" max="14587" width="9.140625" style="654"/>
    <col min="14588" max="14588" width="2.85546875" style="654" customWidth="1"/>
    <col min="14589" max="14589" width="50.7109375" style="654" customWidth="1"/>
    <col min="14590" max="14590" width="9.42578125" style="654" customWidth="1"/>
    <col min="14591" max="14591" width="11.85546875" style="654" customWidth="1"/>
    <col min="14592" max="14592" width="8.42578125" style="654" bestFit="1" customWidth="1"/>
    <col min="14593" max="14595" width="0" style="654" hidden="1" customWidth="1"/>
    <col min="14596" max="14596" width="6" style="654" bestFit="1" customWidth="1"/>
    <col min="14597" max="14597" width="9.5703125" style="654" customWidth="1"/>
    <col min="14598" max="14598" width="9.85546875" style="654" customWidth="1"/>
    <col min="14599" max="14599" width="9.7109375" style="654" customWidth="1"/>
    <col min="14600" max="14600" width="9.5703125" style="654" customWidth="1"/>
    <col min="14601" max="14601" width="9.85546875" style="654" customWidth="1"/>
    <col min="14602" max="14602" width="6.5703125" style="654" customWidth="1"/>
    <col min="14603" max="14603" width="6" style="654" bestFit="1" customWidth="1"/>
    <col min="14604" max="14604" width="6.28515625" style="654" customWidth="1"/>
    <col min="14605" max="14605" width="11.7109375" style="654" customWidth="1"/>
    <col min="14606" max="14606" width="0" style="654" hidden="1" customWidth="1"/>
    <col min="14607" max="14607" width="14.5703125" style="654" customWidth="1"/>
    <col min="14608" max="14608" width="11.85546875" style="654" customWidth="1"/>
    <col min="14609" max="14843" width="9.140625" style="654"/>
    <col min="14844" max="14844" width="2.85546875" style="654" customWidth="1"/>
    <col min="14845" max="14845" width="50.7109375" style="654" customWidth="1"/>
    <col min="14846" max="14846" width="9.42578125" style="654" customWidth="1"/>
    <col min="14847" max="14847" width="11.85546875" style="654" customWidth="1"/>
    <col min="14848" max="14848" width="8.42578125" style="654" bestFit="1" customWidth="1"/>
    <col min="14849" max="14851" width="0" style="654" hidden="1" customWidth="1"/>
    <col min="14852" max="14852" width="6" style="654" bestFit="1" customWidth="1"/>
    <col min="14853" max="14853" width="9.5703125" style="654" customWidth="1"/>
    <col min="14854" max="14854" width="9.85546875" style="654" customWidth="1"/>
    <col min="14855" max="14855" width="9.7109375" style="654" customWidth="1"/>
    <col min="14856" max="14856" width="9.5703125" style="654" customWidth="1"/>
    <col min="14857" max="14857" width="9.85546875" style="654" customWidth="1"/>
    <col min="14858" max="14858" width="6.5703125" style="654" customWidth="1"/>
    <col min="14859" max="14859" width="6" style="654" bestFit="1" customWidth="1"/>
    <col min="14860" max="14860" width="6.28515625" style="654" customWidth="1"/>
    <col min="14861" max="14861" width="11.7109375" style="654" customWidth="1"/>
    <col min="14862" max="14862" width="0" style="654" hidden="1" customWidth="1"/>
    <col min="14863" max="14863" width="14.5703125" style="654" customWidth="1"/>
    <col min="14864" max="14864" width="11.85546875" style="654" customWidth="1"/>
    <col min="14865" max="15099" width="9.140625" style="654"/>
    <col min="15100" max="15100" width="2.85546875" style="654" customWidth="1"/>
    <col min="15101" max="15101" width="50.7109375" style="654" customWidth="1"/>
    <col min="15102" max="15102" width="9.42578125" style="654" customWidth="1"/>
    <col min="15103" max="15103" width="11.85546875" style="654" customWidth="1"/>
    <col min="15104" max="15104" width="8.42578125" style="654" bestFit="1" customWidth="1"/>
    <col min="15105" max="15107" width="0" style="654" hidden="1" customWidth="1"/>
    <col min="15108" max="15108" width="6" style="654" bestFit="1" customWidth="1"/>
    <col min="15109" max="15109" width="9.5703125" style="654" customWidth="1"/>
    <col min="15110" max="15110" width="9.85546875" style="654" customWidth="1"/>
    <col min="15111" max="15111" width="9.7109375" style="654" customWidth="1"/>
    <col min="15112" max="15112" width="9.5703125" style="654" customWidth="1"/>
    <col min="15113" max="15113" width="9.85546875" style="654" customWidth="1"/>
    <col min="15114" max="15114" width="6.5703125" style="654" customWidth="1"/>
    <col min="15115" max="15115" width="6" style="654" bestFit="1" customWidth="1"/>
    <col min="15116" max="15116" width="6.28515625" style="654" customWidth="1"/>
    <col min="15117" max="15117" width="11.7109375" style="654" customWidth="1"/>
    <col min="15118" max="15118" width="0" style="654" hidden="1" customWidth="1"/>
    <col min="15119" max="15119" width="14.5703125" style="654" customWidth="1"/>
    <col min="15120" max="15120" width="11.85546875" style="654" customWidth="1"/>
    <col min="15121" max="15355" width="9.140625" style="654"/>
    <col min="15356" max="15356" width="2.85546875" style="654" customWidth="1"/>
    <col min="15357" max="15357" width="50.7109375" style="654" customWidth="1"/>
    <col min="15358" max="15358" width="9.42578125" style="654" customWidth="1"/>
    <col min="15359" max="15359" width="11.85546875" style="654" customWidth="1"/>
    <col min="15360" max="15360" width="8.42578125" style="654" bestFit="1" customWidth="1"/>
    <col min="15361" max="15363" width="0" style="654" hidden="1" customWidth="1"/>
    <col min="15364" max="15364" width="6" style="654" bestFit="1" customWidth="1"/>
    <col min="15365" max="15365" width="9.5703125" style="654" customWidth="1"/>
    <col min="15366" max="15366" width="9.85546875" style="654" customWidth="1"/>
    <col min="15367" max="15367" width="9.7109375" style="654" customWidth="1"/>
    <col min="15368" max="15368" width="9.5703125" style="654" customWidth="1"/>
    <col min="15369" max="15369" width="9.85546875" style="654" customWidth="1"/>
    <col min="15370" max="15370" width="6.5703125" style="654" customWidth="1"/>
    <col min="15371" max="15371" width="6" style="654" bestFit="1" customWidth="1"/>
    <col min="15372" max="15372" width="6.28515625" style="654" customWidth="1"/>
    <col min="15373" max="15373" width="11.7109375" style="654" customWidth="1"/>
    <col min="15374" max="15374" width="0" style="654" hidden="1" customWidth="1"/>
    <col min="15375" max="15375" width="14.5703125" style="654" customWidth="1"/>
    <col min="15376" max="15376" width="11.85546875" style="654" customWidth="1"/>
    <col min="15377" max="15611" width="9.140625" style="654"/>
    <col min="15612" max="15612" width="2.85546875" style="654" customWidth="1"/>
    <col min="15613" max="15613" width="50.7109375" style="654" customWidth="1"/>
    <col min="15614" max="15614" width="9.42578125" style="654" customWidth="1"/>
    <col min="15615" max="15615" width="11.85546875" style="654" customWidth="1"/>
    <col min="15616" max="15616" width="8.42578125" style="654" bestFit="1" customWidth="1"/>
    <col min="15617" max="15619" width="0" style="654" hidden="1" customWidth="1"/>
    <col min="15620" max="15620" width="6" style="654" bestFit="1" customWidth="1"/>
    <col min="15621" max="15621" width="9.5703125" style="654" customWidth="1"/>
    <col min="15622" max="15622" width="9.85546875" style="654" customWidth="1"/>
    <col min="15623" max="15623" width="9.7109375" style="654" customWidth="1"/>
    <col min="15624" max="15624" width="9.5703125" style="654" customWidth="1"/>
    <col min="15625" max="15625" width="9.85546875" style="654" customWidth="1"/>
    <col min="15626" max="15626" width="6.5703125" style="654" customWidth="1"/>
    <col min="15627" max="15627" width="6" style="654" bestFit="1" customWidth="1"/>
    <col min="15628" max="15628" width="6.28515625" style="654" customWidth="1"/>
    <col min="15629" max="15629" width="11.7109375" style="654" customWidth="1"/>
    <col min="15630" max="15630" width="0" style="654" hidden="1" customWidth="1"/>
    <col min="15631" max="15631" width="14.5703125" style="654" customWidth="1"/>
    <col min="15632" max="15632" width="11.85546875" style="654" customWidth="1"/>
    <col min="15633" max="15867" width="9.140625" style="654"/>
    <col min="15868" max="15868" width="2.85546875" style="654" customWidth="1"/>
    <col min="15869" max="15869" width="50.7109375" style="654" customWidth="1"/>
    <col min="15870" max="15870" width="9.42578125" style="654" customWidth="1"/>
    <col min="15871" max="15871" width="11.85546875" style="654" customWidth="1"/>
    <col min="15872" max="15872" width="8.42578125" style="654" bestFit="1" customWidth="1"/>
    <col min="15873" max="15875" width="0" style="654" hidden="1" customWidth="1"/>
    <col min="15876" max="15876" width="6" style="654" bestFit="1" customWidth="1"/>
    <col min="15877" max="15877" width="9.5703125" style="654" customWidth="1"/>
    <col min="15878" max="15878" width="9.85546875" style="654" customWidth="1"/>
    <col min="15879" max="15879" width="9.7109375" style="654" customWidth="1"/>
    <col min="15880" max="15880" width="9.5703125" style="654" customWidth="1"/>
    <col min="15881" max="15881" width="9.85546875" style="654" customWidth="1"/>
    <col min="15882" max="15882" width="6.5703125" style="654" customWidth="1"/>
    <col min="15883" max="15883" width="6" style="654" bestFit="1" customWidth="1"/>
    <col min="15884" max="15884" width="6.28515625" style="654" customWidth="1"/>
    <col min="15885" max="15885" width="11.7109375" style="654" customWidth="1"/>
    <col min="15886" max="15886" width="0" style="654" hidden="1" customWidth="1"/>
    <col min="15887" max="15887" width="14.5703125" style="654" customWidth="1"/>
    <col min="15888" max="15888" width="11.85546875" style="654" customWidth="1"/>
    <col min="15889" max="16123" width="9.140625" style="654"/>
    <col min="16124" max="16124" width="2.85546875" style="654" customWidth="1"/>
    <col min="16125" max="16125" width="50.7109375" style="654" customWidth="1"/>
    <col min="16126" max="16126" width="9.42578125" style="654" customWidth="1"/>
    <col min="16127" max="16127" width="11.85546875" style="654" customWidth="1"/>
    <col min="16128" max="16128" width="8.42578125" style="654" bestFit="1" customWidth="1"/>
    <col min="16129" max="16131" width="0" style="654" hidden="1" customWidth="1"/>
    <col min="16132" max="16132" width="6" style="654" bestFit="1" customWidth="1"/>
    <col min="16133" max="16133" width="9.5703125" style="654" customWidth="1"/>
    <col min="16134" max="16134" width="9.85546875" style="654" customWidth="1"/>
    <col min="16135" max="16135" width="9.7109375" style="654" customWidth="1"/>
    <col min="16136" max="16136" width="9.5703125" style="654" customWidth="1"/>
    <col min="16137" max="16137" width="9.85546875" style="654" customWidth="1"/>
    <col min="16138" max="16138" width="6.5703125" style="654" customWidth="1"/>
    <col min="16139" max="16139" width="6" style="654" bestFit="1" customWidth="1"/>
    <col min="16140" max="16140" width="6.28515625" style="654" customWidth="1"/>
    <col min="16141" max="16141" width="11.7109375" style="654" customWidth="1"/>
    <col min="16142" max="16142" width="0" style="654" hidden="1" customWidth="1"/>
    <col min="16143" max="16143" width="14.5703125" style="654" customWidth="1"/>
    <col min="16144" max="16144" width="11.85546875" style="654" customWidth="1"/>
    <col min="16145" max="16384" width="9.140625" style="654"/>
  </cols>
  <sheetData>
    <row r="1" spans="1:16" ht="15" customHeight="1">
      <c r="H1" s="850" t="s">
        <v>494</v>
      </c>
      <c r="M1" s="640"/>
      <c r="N1" s="640"/>
      <c r="O1" s="641"/>
    </row>
    <row r="2" spans="1:16" ht="2.25" customHeight="1">
      <c r="M2" s="640"/>
      <c r="N2" s="640"/>
      <c r="O2" s="641"/>
    </row>
    <row r="3" spans="1:16" ht="6.75" customHeight="1">
      <c r="M3" s="640"/>
      <c r="N3" s="640"/>
      <c r="O3" s="641"/>
    </row>
    <row r="4" spans="1:16" ht="36" customHeight="1" thickBot="1">
      <c r="A4" s="3645" t="s">
        <v>202</v>
      </c>
      <c r="B4" s="3645"/>
      <c r="C4" s="3645"/>
      <c r="D4" s="3645"/>
      <c r="E4" s="3645"/>
      <c r="F4" s="3645"/>
      <c r="G4" s="3645"/>
      <c r="H4" s="3645"/>
      <c r="I4" s="3645"/>
      <c r="J4" s="3645"/>
      <c r="K4" s="3645"/>
      <c r="L4" s="3645"/>
      <c r="M4" s="3645"/>
      <c r="N4" s="3645"/>
      <c r="O4" s="3645"/>
    </row>
    <row r="5" spans="1:16" ht="62.25" customHeight="1">
      <c r="A5" s="851"/>
      <c r="B5" s="3646" t="s">
        <v>75</v>
      </c>
      <c r="C5" s="3129" t="s">
        <v>71</v>
      </c>
      <c r="D5" s="3330" t="s">
        <v>118</v>
      </c>
      <c r="E5" s="1901" t="s">
        <v>264</v>
      </c>
      <c r="F5" s="3017" t="s">
        <v>533</v>
      </c>
      <c r="G5" s="3146" t="s">
        <v>474</v>
      </c>
      <c r="H5" s="3147"/>
      <c r="I5" s="3147"/>
      <c r="J5" s="3147"/>
      <c r="K5" s="3147"/>
      <c r="L5" s="3148"/>
      <c r="M5" s="3534" t="s">
        <v>497</v>
      </c>
      <c r="N5" s="3534" t="s">
        <v>479</v>
      </c>
      <c r="O5" s="3338" t="s">
        <v>73</v>
      </c>
    </row>
    <row r="6" spans="1:16" ht="18.75" customHeight="1" thickBot="1">
      <c r="A6" s="852"/>
      <c r="B6" s="3647"/>
      <c r="C6" s="3648"/>
      <c r="D6" s="3620"/>
      <c r="E6" s="1013" t="s">
        <v>454</v>
      </c>
      <c r="F6" s="3019"/>
      <c r="G6" s="2481" t="s">
        <v>6</v>
      </c>
      <c r="H6" s="330" t="s">
        <v>207</v>
      </c>
      <c r="I6" s="330" t="s">
        <v>208</v>
      </c>
      <c r="J6" s="330" t="s">
        <v>256</v>
      </c>
      <c r="K6" s="330" t="s">
        <v>257</v>
      </c>
      <c r="L6" s="330" t="s">
        <v>258</v>
      </c>
      <c r="M6" s="3642"/>
      <c r="N6" s="3642"/>
      <c r="O6" s="3340"/>
    </row>
    <row r="7" spans="1:16" ht="15" customHeight="1" thickBot="1">
      <c r="A7" s="1120">
        <v>1</v>
      </c>
      <c r="B7" s="1121">
        <v>2</v>
      </c>
      <c r="C7" s="1122" t="s">
        <v>119</v>
      </c>
      <c r="D7" s="1122" t="s">
        <v>120</v>
      </c>
      <c r="E7" s="1122">
        <v>5</v>
      </c>
      <c r="F7" s="1122">
        <v>6</v>
      </c>
      <c r="G7" s="1122">
        <v>7</v>
      </c>
      <c r="H7" s="1122">
        <v>8</v>
      </c>
      <c r="I7" s="1122">
        <v>9</v>
      </c>
      <c r="J7" s="1122">
        <v>10</v>
      </c>
      <c r="K7" s="1122">
        <v>11</v>
      </c>
      <c r="L7" s="1122">
        <v>12</v>
      </c>
      <c r="M7" s="1123">
        <v>13</v>
      </c>
      <c r="N7" s="1123">
        <v>13</v>
      </c>
      <c r="O7" s="1124">
        <v>14</v>
      </c>
    </row>
    <row r="8" spans="1:16" s="854" customFormat="1" ht="15.75" customHeight="1">
      <c r="A8" s="649"/>
      <c r="B8" s="238" t="s">
        <v>76</v>
      </c>
      <c r="C8" s="212"/>
      <c r="D8" s="1014">
        <f>+D9+D10</f>
        <v>2254391</v>
      </c>
      <c r="E8" s="213">
        <f t="shared" ref="E8" si="0">+E9+E10</f>
        <v>438262</v>
      </c>
      <c r="F8" s="213">
        <f t="shared" ref="F8" si="1">+F9+F10</f>
        <v>760062</v>
      </c>
      <c r="G8" s="213">
        <f t="shared" ref="G8:N8" si="2">+G9+G10</f>
        <v>783977</v>
      </c>
      <c r="H8" s="213">
        <f t="shared" si="2"/>
        <v>145187</v>
      </c>
      <c r="I8" s="213">
        <f t="shared" si="2"/>
        <v>126903</v>
      </c>
      <c r="J8" s="213">
        <f t="shared" si="2"/>
        <v>0</v>
      </c>
      <c r="K8" s="213">
        <f t="shared" si="2"/>
        <v>0</v>
      </c>
      <c r="L8" s="213">
        <f t="shared" si="2"/>
        <v>0</v>
      </c>
      <c r="M8" s="152">
        <f t="shared" ref="M8" si="3">+M9+M10</f>
        <v>2254391</v>
      </c>
      <c r="N8" s="152">
        <f t="shared" si="2"/>
        <v>1056067</v>
      </c>
      <c r="O8" s="818"/>
      <c r="P8" s="853"/>
    </row>
    <row r="9" spans="1:16" s="854" customFormat="1" ht="13.5" customHeight="1">
      <c r="A9" s="649"/>
      <c r="B9" s="227" t="s">
        <v>77</v>
      </c>
      <c r="C9" s="215"/>
      <c r="D9" s="1007">
        <f>+D25+D34+D54</f>
        <v>2246830</v>
      </c>
      <c r="E9" s="216">
        <f t="shared" ref="E9" si="4">+E25+E34+E54</f>
        <v>438262</v>
      </c>
      <c r="F9" s="216">
        <f t="shared" ref="F9:I9" si="5">+F25+F34+F54</f>
        <v>752501</v>
      </c>
      <c r="G9" s="216">
        <f t="shared" si="5"/>
        <v>783977</v>
      </c>
      <c r="H9" s="216">
        <f t="shared" si="5"/>
        <v>145187</v>
      </c>
      <c r="I9" s="216">
        <f t="shared" si="5"/>
        <v>126903</v>
      </c>
      <c r="J9" s="216">
        <f>+J25+J34+J55</f>
        <v>0</v>
      </c>
      <c r="K9" s="216">
        <f>+K25+K34+K55</f>
        <v>0</v>
      </c>
      <c r="L9" s="216">
        <f>+L25+L34+L55</f>
        <v>0</v>
      </c>
      <c r="M9" s="642">
        <f>SUM(E9:K9)</f>
        <v>2246830</v>
      </c>
      <c r="N9" s="642">
        <f>SUM(G9:L9)</f>
        <v>1056067</v>
      </c>
      <c r="O9" s="818"/>
    </row>
    <row r="10" spans="1:16" s="854" customFormat="1" ht="13.5" customHeight="1" thickBot="1">
      <c r="A10" s="649"/>
      <c r="B10" s="855" t="s">
        <v>9</v>
      </c>
      <c r="C10" s="856"/>
      <c r="D10" s="1015">
        <f>D43+D72</f>
        <v>7561</v>
      </c>
      <c r="E10" s="857">
        <f>E43+E72</f>
        <v>0</v>
      </c>
      <c r="F10" s="857">
        <f>F43+F72</f>
        <v>7561</v>
      </c>
      <c r="G10" s="857">
        <f t="shared" ref="G10:L10" si="6">G43+G72</f>
        <v>0</v>
      </c>
      <c r="H10" s="857">
        <f t="shared" si="6"/>
        <v>0</v>
      </c>
      <c r="I10" s="857">
        <f t="shared" si="6"/>
        <v>0</v>
      </c>
      <c r="J10" s="857">
        <f t="shared" si="6"/>
        <v>0</v>
      </c>
      <c r="K10" s="857">
        <f t="shared" si="6"/>
        <v>0</v>
      </c>
      <c r="L10" s="857">
        <f t="shared" si="6"/>
        <v>0</v>
      </c>
      <c r="M10" s="154">
        <f>SUM(E10:K10)</f>
        <v>7561</v>
      </c>
      <c r="N10" s="154">
        <f>SUM(G10:L10)</f>
        <v>0</v>
      </c>
      <c r="O10" s="818"/>
    </row>
    <row r="11" spans="1:16" ht="14.25" customHeight="1">
      <c r="A11" s="649"/>
      <c r="B11" s="94" t="s">
        <v>10</v>
      </c>
      <c r="C11" s="91"/>
      <c r="D11" s="120">
        <f>D12+D15</f>
        <v>2254391</v>
      </c>
      <c r="E11" s="120">
        <f t="shared" ref="E11" si="7">E12+E15</f>
        <v>438262</v>
      </c>
      <c r="F11" s="120">
        <f t="shared" ref="F11:L11" si="8">F12+F15</f>
        <v>760062</v>
      </c>
      <c r="G11" s="120">
        <f t="shared" si="8"/>
        <v>783977</v>
      </c>
      <c r="H11" s="120">
        <f t="shared" si="8"/>
        <v>145187</v>
      </c>
      <c r="I11" s="120">
        <f t="shared" si="8"/>
        <v>126903</v>
      </c>
      <c r="J11" s="120">
        <f t="shared" si="8"/>
        <v>0</v>
      </c>
      <c r="K11" s="120">
        <f t="shared" si="8"/>
        <v>0</v>
      </c>
      <c r="L11" s="120">
        <f t="shared" si="8"/>
        <v>0</v>
      </c>
      <c r="M11" s="546">
        <f>+M12+M15</f>
        <v>2254391</v>
      </c>
      <c r="N11" s="546">
        <f>+N12+N15</f>
        <v>1056067</v>
      </c>
      <c r="O11" s="820"/>
    </row>
    <row r="12" spans="1:16" ht="13.5" customHeight="1">
      <c r="A12" s="649"/>
      <c r="B12" s="858" t="s">
        <v>24</v>
      </c>
      <c r="C12" s="859"/>
      <c r="D12" s="860">
        <f>+D13+D14</f>
        <v>378022</v>
      </c>
      <c r="E12" s="860">
        <f t="shared" ref="E12" si="9">+E13+E14</f>
        <v>73925</v>
      </c>
      <c r="F12" s="860">
        <f t="shared" ref="F12:L12" si="10">+F13+F14</f>
        <v>124262</v>
      </c>
      <c r="G12" s="860">
        <f t="shared" si="10"/>
        <v>124824</v>
      </c>
      <c r="H12" s="860">
        <f t="shared" si="10"/>
        <v>28877</v>
      </c>
      <c r="I12" s="860">
        <f t="shared" si="10"/>
        <v>26134</v>
      </c>
      <c r="J12" s="860">
        <f t="shared" si="10"/>
        <v>0</v>
      </c>
      <c r="K12" s="860">
        <f t="shared" si="10"/>
        <v>0</v>
      </c>
      <c r="L12" s="860">
        <f t="shared" si="10"/>
        <v>0</v>
      </c>
      <c r="M12" s="861">
        <f>+M13+M14</f>
        <v>378022</v>
      </c>
      <c r="N12" s="861">
        <f>+N13+N14</f>
        <v>179835</v>
      </c>
      <c r="O12" s="822"/>
    </row>
    <row r="13" spans="1:16" ht="12">
      <c r="A13" s="649"/>
      <c r="B13" s="862" t="s">
        <v>12</v>
      </c>
      <c r="C13" s="863"/>
      <c r="D13" s="651">
        <f>D27+D36+D60</f>
        <v>278625</v>
      </c>
      <c r="E13" s="651">
        <f t="shared" ref="E13" si="11">E27+E36+E60</f>
        <v>51859</v>
      </c>
      <c r="F13" s="651">
        <f t="shared" ref="F13:L13" si="12">F27+F36+F60</f>
        <v>98890</v>
      </c>
      <c r="G13" s="651">
        <f t="shared" si="12"/>
        <v>107505</v>
      </c>
      <c r="H13" s="651">
        <f t="shared" si="12"/>
        <v>11557</v>
      </c>
      <c r="I13" s="651">
        <f t="shared" si="12"/>
        <v>8814</v>
      </c>
      <c r="J13" s="651">
        <f t="shared" si="12"/>
        <v>0</v>
      </c>
      <c r="K13" s="651">
        <f t="shared" si="12"/>
        <v>0</v>
      </c>
      <c r="L13" s="651">
        <f t="shared" si="12"/>
        <v>0</v>
      </c>
      <c r="M13" s="635">
        <f>SUM(E13:K13)</f>
        <v>278625</v>
      </c>
      <c r="N13" s="635">
        <f>SUM(G13:L13)</f>
        <v>127876</v>
      </c>
      <c r="O13" s="822"/>
    </row>
    <row r="14" spans="1:16" ht="12">
      <c r="A14" s="649"/>
      <c r="B14" s="862" t="s">
        <v>13</v>
      </c>
      <c r="C14" s="863"/>
      <c r="D14" s="864">
        <f>+D56+D74</f>
        <v>99397</v>
      </c>
      <c r="E14" s="864">
        <f>+E56+E74</f>
        <v>22066</v>
      </c>
      <c r="F14" s="864">
        <f>+F56+F74</f>
        <v>25372</v>
      </c>
      <c r="G14" s="864">
        <f t="shared" ref="G14:I14" si="13">+G56+G74</f>
        <v>17319</v>
      </c>
      <c r="H14" s="864">
        <f t="shared" si="13"/>
        <v>17320</v>
      </c>
      <c r="I14" s="864">
        <f t="shared" si="13"/>
        <v>17320</v>
      </c>
      <c r="J14" s="864">
        <f t="shared" ref="J14:L14" si="14">+J56</f>
        <v>0</v>
      </c>
      <c r="K14" s="864">
        <f t="shared" si="14"/>
        <v>0</v>
      </c>
      <c r="L14" s="864">
        <f t="shared" si="14"/>
        <v>0</v>
      </c>
      <c r="M14" s="635">
        <f>SUM(E14:K14)</f>
        <v>99397</v>
      </c>
      <c r="N14" s="635">
        <f>SUM(G14:L14)</f>
        <v>51959</v>
      </c>
      <c r="O14" s="822"/>
    </row>
    <row r="15" spans="1:16" ht="13.5" customHeight="1">
      <c r="A15" s="649"/>
      <c r="B15" s="865" t="s">
        <v>18</v>
      </c>
      <c r="C15" s="866"/>
      <c r="D15" s="860">
        <f>+D16+D17</f>
        <v>1876369</v>
      </c>
      <c r="E15" s="860">
        <f t="shared" ref="E15" si="15">+E16+E17</f>
        <v>364337</v>
      </c>
      <c r="F15" s="860">
        <f t="shared" ref="F15:L15" si="16">+F16+F17</f>
        <v>635800</v>
      </c>
      <c r="G15" s="860">
        <f t="shared" si="16"/>
        <v>659153</v>
      </c>
      <c r="H15" s="860">
        <f t="shared" si="16"/>
        <v>116310</v>
      </c>
      <c r="I15" s="860">
        <f t="shared" si="16"/>
        <v>100769</v>
      </c>
      <c r="J15" s="860">
        <f t="shared" si="16"/>
        <v>0</v>
      </c>
      <c r="K15" s="860">
        <f t="shared" si="16"/>
        <v>0</v>
      </c>
      <c r="L15" s="860">
        <f t="shared" si="16"/>
        <v>0</v>
      </c>
      <c r="M15" s="634">
        <f>+M16+M17</f>
        <v>1876369</v>
      </c>
      <c r="N15" s="634">
        <f>+N16+N17</f>
        <v>876232</v>
      </c>
      <c r="O15" s="822"/>
    </row>
    <row r="16" spans="1:16" ht="13.5" hidden="1" customHeight="1">
      <c r="A16" s="649"/>
      <c r="B16" s="862" t="s">
        <v>21</v>
      </c>
      <c r="C16" s="867"/>
      <c r="D16" s="643"/>
      <c r="E16" s="643"/>
      <c r="F16" s="643"/>
      <c r="G16" s="643"/>
      <c r="H16" s="643"/>
      <c r="I16" s="643"/>
      <c r="J16" s="643"/>
      <c r="K16" s="643"/>
      <c r="L16" s="643"/>
      <c r="M16" s="635">
        <f>SUM(E16:K16)</f>
        <v>0</v>
      </c>
      <c r="N16" s="635">
        <f>SUM(F16:L16)</f>
        <v>0</v>
      </c>
      <c r="O16" s="822"/>
    </row>
    <row r="17" spans="1:17" ht="12.75" customHeight="1">
      <c r="A17" s="649"/>
      <c r="B17" s="644" t="s">
        <v>20</v>
      </c>
      <c r="C17" s="867"/>
      <c r="D17" s="643">
        <f>+D29+D38+D62+D76</f>
        <v>1876369</v>
      </c>
      <c r="E17" s="643">
        <f>+E29+E38+E62+E76</f>
        <v>364337</v>
      </c>
      <c r="F17" s="643">
        <f>+F29+F38+F62+F76</f>
        <v>635800</v>
      </c>
      <c r="G17" s="643">
        <f t="shared" ref="G17:I17" si="17">+G29+G38+G62+G76</f>
        <v>659153</v>
      </c>
      <c r="H17" s="643">
        <f t="shared" si="17"/>
        <v>116310</v>
      </c>
      <c r="I17" s="643">
        <f t="shared" si="17"/>
        <v>100769</v>
      </c>
      <c r="J17" s="643">
        <f t="shared" ref="J17:L17" si="18">+J29+J38+J62</f>
        <v>0</v>
      </c>
      <c r="K17" s="643">
        <f t="shared" si="18"/>
        <v>0</v>
      </c>
      <c r="L17" s="643">
        <f t="shared" si="18"/>
        <v>0</v>
      </c>
      <c r="M17" s="635">
        <f>SUM(E17:K17)</f>
        <v>1876369</v>
      </c>
      <c r="N17" s="635">
        <f>SUM(G17:L17)</f>
        <v>876232</v>
      </c>
      <c r="O17" s="822"/>
    </row>
    <row r="18" spans="1:17" ht="15" customHeight="1">
      <c r="A18" s="649"/>
      <c r="B18" s="82" t="s">
        <v>22</v>
      </c>
      <c r="C18" s="561"/>
      <c r="D18" s="645">
        <f>D21+D19</f>
        <v>1975766</v>
      </c>
      <c r="E18" s="645">
        <f>E21+E20</f>
        <v>0</v>
      </c>
      <c r="F18" s="645">
        <f>F21+F20</f>
        <v>406577</v>
      </c>
      <c r="G18" s="645">
        <f t="shared" ref="G18:L18" si="19">G21+G20</f>
        <v>719266</v>
      </c>
      <c r="H18" s="645">
        <f t="shared" si="19"/>
        <v>619162</v>
      </c>
      <c r="I18" s="645">
        <f t="shared" si="19"/>
        <v>131451</v>
      </c>
      <c r="J18" s="645">
        <f t="shared" si="19"/>
        <v>99310</v>
      </c>
      <c r="K18" s="645">
        <f t="shared" si="19"/>
        <v>0</v>
      </c>
      <c r="L18" s="645">
        <f t="shared" si="19"/>
        <v>0</v>
      </c>
      <c r="M18" s="3643" t="s">
        <v>61</v>
      </c>
      <c r="N18" s="3643" t="s">
        <v>61</v>
      </c>
      <c r="O18" s="652"/>
      <c r="P18" s="653"/>
    </row>
    <row r="19" spans="1:17" ht="12">
      <c r="A19" s="649"/>
      <c r="B19" s="646" t="s">
        <v>12</v>
      </c>
      <c r="C19" s="647"/>
      <c r="D19" s="648">
        <f>+D20</f>
        <v>99397</v>
      </c>
      <c r="E19" s="648">
        <f t="shared" ref="E19:L19" si="20">+E20</f>
        <v>0</v>
      </c>
      <c r="F19" s="648">
        <f t="shared" si="20"/>
        <v>28409</v>
      </c>
      <c r="G19" s="648">
        <f t="shared" si="20"/>
        <v>23359</v>
      </c>
      <c r="H19" s="648">
        <f t="shared" si="20"/>
        <v>17319</v>
      </c>
      <c r="I19" s="648">
        <f t="shared" si="20"/>
        <v>17320</v>
      </c>
      <c r="J19" s="648">
        <f t="shared" si="20"/>
        <v>12990</v>
      </c>
      <c r="K19" s="648">
        <f t="shared" si="20"/>
        <v>0</v>
      </c>
      <c r="L19" s="648">
        <f t="shared" si="20"/>
        <v>0</v>
      </c>
      <c r="M19" s="3028"/>
      <c r="N19" s="3028"/>
      <c r="O19" s="652"/>
      <c r="P19" s="653"/>
    </row>
    <row r="20" spans="1:17" ht="12">
      <c r="A20" s="649"/>
      <c r="B20" s="650" t="s">
        <v>13</v>
      </c>
      <c r="C20" s="647"/>
      <c r="D20" s="651">
        <f>+D68+D79</f>
        <v>99397</v>
      </c>
      <c r="E20" s="651">
        <f>+E68+E79</f>
        <v>0</v>
      </c>
      <c r="F20" s="651">
        <f>+F68+F79</f>
        <v>28409</v>
      </c>
      <c r="G20" s="651">
        <f>+G68+G79</f>
        <v>23359</v>
      </c>
      <c r="H20" s="651">
        <f t="shared" ref="H20:J20" si="21">+H68+H79</f>
        <v>17319</v>
      </c>
      <c r="I20" s="651">
        <f t="shared" si="21"/>
        <v>17320</v>
      </c>
      <c r="J20" s="651">
        <f t="shared" si="21"/>
        <v>12990</v>
      </c>
      <c r="K20" s="651">
        <f t="shared" ref="K20:L20" si="22">+K68</f>
        <v>0</v>
      </c>
      <c r="L20" s="651">
        <f t="shared" si="22"/>
        <v>0</v>
      </c>
      <c r="M20" s="3028"/>
      <c r="N20" s="3028"/>
      <c r="O20" s="652"/>
      <c r="P20" s="653">
        <f>D14-D20</f>
        <v>0</v>
      </c>
    </row>
    <row r="21" spans="1:17" ht="12">
      <c r="A21" s="655"/>
      <c r="B21" s="185" t="s">
        <v>18</v>
      </c>
      <c r="C21" s="656"/>
      <c r="D21" s="657">
        <f>+D22+D23</f>
        <v>1876369</v>
      </c>
      <c r="E21" s="657">
        <f t="shared" ref="E21" si="23">+E22+E23</f>
        <v>0</v>
      </c>
      <c r="F21" s="657">
        <f t="shared" ref="F21:L21" si="24">+F22+F23</f>
        <v>378168</v>
      </c>
      <c r="G21" s="657">
        <f t="shared" si="24"/>
        <v>695907</v>
      </c>
      <c r="H21" s="657">
        <f t="shared" si="24"/>
        <v>601843</v>
      </c>
      <c r="I21" s="657">
        <f t="shared" si="24"/>
        <v>114131</v>
      </c>
      <c r="J21" s="657">
        <f t="shared" si="24"/>
        <v>86320</v>
      </c>
      <c r="K21" s="657">
        <f t="shared" si="24"/>
        <v>0</v>
      </c>
      <c r="L21" s="657">
        <f t="shared" si="24"/>
        <v>0</v>
      </c>
      <c r="M21" s="3028"/>
      <c r="N21" s="3028"/>
      <c r="O21" s="652"/>
    </row>
    <row r="22" spans="1:17" ht="15" hidden="1" customHeight="1">
      <c r="A22" s="655"/>
      <c r="B22" s="650" t="s">
        <v>21</v>
      </c>
      <c r="C22" s="647"/>
      <c r="D22" s="651"/>
      <c r="E22" s="651"/>
      <c r="F22" s="651"/>
      <c r="G22" s="651"/>
      <c r="H22" s="651"/>
      <c r="I22" s="651"/>
      <c r="J22" s="651"/>
      <c r="K22" s="651"/>
      <c r="L22" s="651"/>
      <c r="M22" s="3028"/>
      <c r="N22" s="3028"/>
      <c r="O22" s="652"/>
      <c r="P22" s="653"/>
    </row>
    <row r="23" spans="1:17" ht="12.75" thickBot="1">
      <c r="A23" s="658"/>
      <c r="B23" s="659" t="s">
        <v>20</v>
      </c>
      <c r="C23" s="868"/>
      <c r="D23" s="651">
        <f>+D32+D41+D70+D81</f>
        <v>1876369</v>
      </c>
      <c r="E23" s="651">
        <f t="shared" ref="E23" si="25">+E32+E41+E70+E81</f>
        <v>0</v>
      </c>
      <c r="F23" s="651">
        <f t="shared" ref="F23:J23" si="26">+F32+F41+F70+F81</f>
        <v>378168</v>
      </c>
      <c r="G23" s="651">
        <f t="shared" si="26"/>
        <v>695907</v>
      </c>
      <c r="H23" s="651">
        <f t="shared" si="26"/>
        <v>601843</v>
      </c>
      <c r="I23" s="651">
        <f t="shared" si="26"/>
        <v>114131</v>
      </c>
      <c r="J23" s="651">
        <f t="shared" si="26"/>
        <v>86320</v>
      </c>
      <c r="K23" s="651">
        <f t="shared" ref="K23:L23" si="27">+K32+K41+K70</f>
        <v>0</v>
      </c>
      <c r="L23" s="651">
        <f t="shared" si="27"/>
        <v>0</v>
      </c>
      <c r="M23" s="3029"/>
      <c r="N23" s="3029"/>
      <c r="O23" s="869"/>
      <c r="P23" s="653">
        <f>D17-D23</f>
        <v>0</v>
      </c>
    </row>
    <row r="24" spans="1:17" ht="25.5" customHeight="1">
      <c r="A24" s="3649" t="s">
        <v>63</v>
      </c>
      <c r="B24" s="660" t="s">
        <v>540</v>
      </c>
      <c r="C24" s="661" t="s">
        <v>109</v>
      </c>
      <c r="D24" s="870"/>
      <c r="E24" s="871"/>
      <c r="F24" s="872"/>
      <c r="G24" s="872"/>
      <c r="H24" s="872"/>
      <c r="I24" s="872"/>
      <c r="J24" s="872"/>
      <c r="K24" s="872"/>
      <c r="L24" s="872"/>
      <c r="M24" s="873"/>
      <c r="N24" s="873"/>
      <c r="O24" s="3652" t="s">
        <v>329</v>
      </c>
    </row>
    <row r="25" spans="1:17" ht="12">
      <c r="A25" s="3650"/>
      <c r="B25" s="528" t="s">
        <v>10</v>
      </c>
      <c r="C25" s="561"/>
      <c r="D25" s="551">
        <f t="shared" ref="D25" si="28">+D26+D28</f>
        <v>960682</v>
      </c>
      <c r="E25" s="551">
        <f t="shared" ref="E25" si="29">+E26+E28</f>
        <v>184963</v>
      </c>
      <c r="F25" s="551">
        <f t="shared" ref="F25:H25" si="30">+F26+F28</f>
        <v>332877</v>
      </c>
      <c r="G25" s="551">
        <f t="shared" si="30"/>
        <v>408671</v>
      </c>
      <c r="H25" s="551">
        <f t="shared" si="30"/>
        <v>34171</v>
      </c>
      <c r="I25" s="551"/>
      <c r="J25" s="551"/>
      <c r="K25" s="551"/>
      <c r="L25" s="551"/>
      <c r="M25" s="546">
        <f>+M26+M28</f>
        <v>775719</v>
      </c>
      <c r="N25" s="546">
        <f>+N26+N28</f>
        <v>442842</v>
      </c>
      <c r="O25" s="3653"/>
      <c r="P25" s="653"/>
      <c r="Q25" s="653"/>
    </row>
    <row r="26" spans="1:17" ht="13.5" customHeight="1">
      <c r="A26" s="3650"/>
      <c r="B26" s="874" t="s">
        <v>24</v>
      </c>
      <c r="C26" s="3108" t="s">
        <v>269</v>
      </c>
      <c r="D26" s="662">
        <f>+D27</f>
        <v>144099</v>
      </c>
      <c r="E26" s="664">
        <f t="shared" ref="E26:H26" si="31">+E27</f>
        <v>27744</v>
      </c>
      <c r="F26" s="547">
        <f t="shared" si="31"/>
        <v>49931</v>
      </c>
      <c r="G26" s="547">
        <f t="shared" si="31"/>
        <v>61298</v>
      </c>
      <c r="H26" s="547">
        <f t="shared" si="31"/>
        <v>5126</v>
      </c>
      <c r="I26" s="547"/>
      <c r="J26" s="547"/>
      <c r="K26" s="547"/>
      <c r="L26" s="547"/>
      <c r="M26" s="558">
        <f>+M27</f>
        <v>116355</v>
      </c>
      <c r="N26" s="558">
        <f>+N27</f>
        <v>66424</v>
      </c>
      <c r="O26" s="3654"/>
    </row>
    <row r="27" spans="1:17" ht="13.5" customHeight="1">
      <c r="A27" s="3650"/>
      <c r="B27" s="875" t="s">
        <v>12</v>
      </c>
      <c r="C27" s="3656"/>
      <c r="D27" s="249">
        <f>E27+F27+G27+H27+I27+J27+K27+L27</f>
        <v>144099</v>
      </c>
      <c r="E27" s="286">
        <v>27744</v>
      </c>
      <c r="F27" s="534">
        <f>58031-8100</f>
        <v>49931</v>
      </c>
      <c r="G27" s="534">
        <f>53201+8098-1</f>
        <v>61298</v>
      </c>
      <c r="H27" s="534">
        <v>5126</v>
      </c>
      <c r="I27" s="534"/>
      <c r="J27" s="534"/>
      <c r="K27" s="534"/>
      <c r="L27" s="534"/>
      <c r="M27" s="635">
        <f>SUM(F27:K27)</f>
        <v>116355</v>
      </c>
      <c r="N27" s="635">
        <f>SUM(G27:L27)</f>
        <v>66424</v>
      </c>
      <c r="O27" s="3654"/>
    </row>
    <row r="28" spans="1:17" ht="13.5" customHeight="1">
      <c r="A28" s="3650"/>
      <c r="B28" s="876" t="s">
        <v>18</v>
      </c>
      <c r="C28" s="3656"/>
      <c r="D28" s="665">
        <f t="shared" ref="D28:N28" si="32">+D29</f>
        <v>816583</v>
      </c>
      <c r="E28" s="662">
        <f t="shared" si="32"/>
        <v>157219</v>
      </c>
      <c r="F28" s="666">
        <f>+F29</f>
        <v>282946</v>
      </c>
      <c r="G28" s="666">
        <f>+G29</f>
        <v>347373</v>
      </c>
      <c r="H28" s="666">
        <f>+H29</f>
        <v>29045</v>
      </c>
      <c r="I28" s="666"/>
      <c r="J28" s="666"/>
      <c r="K28" s="666"/>
      <c r="L28" s="666"/>
      <c r="M28" s="634">
        <f t="shared" si="32"/>
        <v>659364</v>
      </c>
      <c r="N28" s="634">
        <f t="shared" si="32"/>
        <v>376418</v>
      </c>
      <c r="O28" s="3654"/>
    </row>
    <row r="29" spans="1:17" ht="13.5" customHeight="1">
      <c r="A29" s="3650"/>
      <c r="B29" s="730" t="s">
        <v>20</v>
      </c>
      <c r="C29" s="3656"/>
      <c r="D29" s="249">
        <f>E29+F29+G29+H29+I29+J29+K29+L29</f>
        <v>816583</v>
      </c>
      <c r="E29" s="286">
        <v>157219</v>
      </c>
      <c r="F29" s="2733">
        <f>328844-45898</f>
        <v>282946</v>
      </c>
      <c r="G29" s="2733">
        <f>301472+45901</f>
        <v>347373</v>
      </c>
      <c r="H29" s="636">
        <v>29045</v>
      </c>
      <c r="I29" s="636"/>
      <c r="J29" s="636"/>
      <c r="K29" s="636"/>
      <c r="L29" s="636"/>
      <c r="M29" s="635">
        <f>SUM(F29:K29)</f>
        <v>659364</v>
      </c>
      <c r="N29" s="635">
        <f>SUM(G29:L29)</f>
        <v>376418</v>
      </c>
      <c r="O29" s="3654"/>
    </row>
    <row r="30" spans="1:17" ht="12">
      <c r="A30" s="3650"/>
      <c r="B30" s="528" t="s">
        <v>22</v>
      </c>
      <c r="C30" s="561"/>
      <c r="D30" s="878">
        <f>+D31</f>
        <v>816583</v>
      </c>
      <c r="E30" s="878">
        <v>0</v>
      </c>
      <c r="F30" s="878">
        <f t="shared" ref="F30:I31" si="33">+F31</f>
        <v>159401</v>
      </c>
      <c r="G30" s="878">
        <f t="shared" si="33"/>
        <v>328844</v>
      </c>
      <c r="H30" s="878">
        <f t="shared" si="33"/>
        <v>301472</v>
      </c>
      <c r="I30" s="878">
        <f t="shared" si="33"/>
        <v>26866</v>
      </c>
      <c r="J30" s="551"/>
      <c r="K30" s="551"/>
      <c r="L30" s="551"/>
      <c r="M30" s="3643" t="s">
        <v>61</v>
      </c>
      <c r="N30" s="3643" t="s">
        <v>61</v>
      </c>
      <c r="O30" s="3654"/>
    </row>
    <row r="31" spans="1:17" ht="13.5" customHeight="1">
      <c r="A31" s="3650"/>
      <c r="B31" s="876" t="s">
        <v>18</v>
      </c>
      <c r="C31" s="3113" t="s">
        <v>269</v>
      </c>
      <c r="D31" s="665">
        <f>+D32</f>
        <v>816583</v>
      </c>
      <c r="E31" s="665">
        <v>0</v>
      </c>
      <c r="F31" s="665">
        <f t="shared" si="33"/>
        <v>159401</v>
      </c>
      <c r="G31" s="665">
        <f t="shared" si="33"/>
        <v>328844</v>
      </c>
      <c r="H31" s="665">
        <f t="shared" si="33"/>
        <v>301472</v>
      </c>
      <c r="I31" s="665">
        <f t="shared" si="33"/>
        <v>26866</v>
      </c>
      <c r="J31" s="665"/>
      <c r="K31" s="665"/>
      <c r="L31" s="665"/>
      <c r="M31" s="3028"/>
      <c r="N31" s="3028"/>
      <c r="O31" s="3654"/>
      <c r="P31" s="653">
        <f>+D32-D29</f>
        <v>0</v>
      </c>
    </row>
    <row r="32" spans="1:17" ht="12.75" thickBot="1">
      <c r="A32" s="3651"/>
      <c r="B32" s="730" t="s">
        <v>20</v>
      </c>
      <c r="C32" s="3657"/>
      <c r="D32" s="249">
        <f>E32+F32+G32+H32+I32+J32+K32+L32</f>
        <v>816583</v>
      </c>
      <c r="E32" s="286">
        <v>0</v>
      </c>
      <c r="F32" s="667">
        <v>159401</v>
      </c>
      <c r="G32" s="667">
        <v>328844</v>
      </c>
      <c r="H32" s="667">
        <v>301472</v>
      </c>
      <c r="I32" s="667">
        <f>29045-2182+3</f>
        <v>26866</v>
      </c>
      <c r="J32" s="667"/>
      <c r="K32" s="667"/>
      <c r="L32" s="667"/>
      <c r="M32" s="3029"/>
      <c r="N32" s="3029"/>
      <c r="O32" s="3655"/>
    </row>
    <row r="33" spans="1:19" ht="34.5" customHeight="1">
      <c r="A33" s="3649" t="s">
        <v>64</v>
      </c>
      <c r="B33" s="660" t="s">
        <v>541</v>
      </c>
      <c r="C33" s="661" t="s">
        <v>109</v>
      </c>
      <c r="D33" s="870"/>
      <c r="E33" s="871"/>
      <c r="F33" s="872"/>
      <c r="G33" s="872"/>
      <c r="H33" s="872"/>
      <c r="I33" s="872"/>
      <c r="J33" s="872"/>
      <c r="K33" s="872"/>
      <c r="L33" s="872"/>
      <c r="M33" s="879"/>
      <c r="N33" s="879"/>
      <c r="O33" s="3652" t="s">
        <v>329</v>
      </c>
    </row>
    <row r="34" spans="1:19" ht="12.75" customHeight="1">
      <c r="A34" s="3650"/>
      <c r="B34" s="528" t="s">
        <v>10</v>
      </c>
      <c r="C34" s="561"/>
      <c r="D34" s="878">
        <f t="shared" ref="D34:I34" si="34">+D35+D37</f>
        <v>895017</v>
      </c>
      <c r="E34" s="551">
        <f t="shared" ref="E34" si="35">+E35+E37</f>
        <v>164812</v>
      </c>
      <c r="F34" s="551">
        <f>+F35+F37</f>
        <v>325414</v>
      </c>
      <c r="G34" s="551">
        <f t="shared" si="34"/>
        <v>305828</v>
      </c>
      <c r="H34" s="551">
        <f t="shared" si="34"/>
        <v>41538</v>
      </c>
      <c r="I34" s="551">
        <f t="shared" si="34"/>
        <v>57425</v>
      </c>
      <c r="J34" s="551"/>
      <c r="K34" s="551"/>
      <c r="L34" s="551"/>
      <c r="M34" s="546">
        <f>+M35+M37</f>
        <v>730205</v>
      </c>
      <c r="N34" s="546">
        <f>+N35+N37</f>
        <v>404791</v>
      </c>
      <c r="O34" s="3653"/>
      <c r="P34" s="653"/>
      <c r="Q34" s="653"/>
      <c r="R34" s="653"/>
      <c r="S34" s="653"/>
    </row>
    <row r="35" spans="1:19" ht="12" customHeight="1">
      <c r="A35" s="3650"/>
      <c r="B35" s="874" t="s">
        <v>24</v>
      </c>
      <c r="C35" s="3108" t="s">
        <v>269</v>
      </c>
      <c r="D35" s="880">
        <f>+D36</f>
        <v>133424</v>
      </c>
      <c r="E35" s="669">
        <f t="shared" ref="E35:I35" si="36">+E36</f>
        <v>23893</v>
      </c>
      <c r="F35" s="668">
        <f t="shared" si="36"/>
        <v>48679</v>
      </c>
      <c r="G35" s="668">
        <f t="shared" si="36"/>
        <v>46007</v>
      </c>
      <c r="H35" s="668">
        <f t="shared" si="36"/>
        <v>6231</v>
      </c>
      <c r="I35" s="668">
        <f t="shared" si="36"/>
        <v>8614</v>
      </c>
      <c r="J35" s="557"/>
      <c r="K35" s="557"/>
      <c r="L35" s="557"/>
      <c r="M35" s="634">
        <f>+M36</f>
        <v>109531</v>
      </c>
      <c r="N35" s="634">
        <f>+N36</f>
        <v>60852</v>
      </c>
      <c r="O35" s="3654"/>
    </row>
    <row r="36" spans="1:19" ht="12">
      <c r="A36" s="3650"/>
      <c r="B36" s="875" t="s">
        <v>12</v>
      </c>
      <c r="C36" s="3656"/>
      <c r="D36" s="249">
        <f>E36+F36+G36+H36+I36+J36+K36+L36</f>
        <v>133424</v>
      </c>
      <c r="E36" s="286">
        <v>23893</v>
      </c>
      <c r="F36" s="534">
        <f>52409-1560-2170</f>
        <v>48679</v>
      </c>
      <c r="G36" s="534">
        <f>43837+2170</f>
        <v>46007</v>
      </c>
      <c r="H36" s="534">
        <v>6231</v>
      </c>
      <c r="I36" s="534">
        <v>8614</v>
      </c>
      <c r="J36" s="534"/>
      <c r="K36" s="534"/>
      <c r="L36" s="534"/>
      <c r="M36" s="635">
        <f>SUM(F36:K36)</f>
        <v>109531</v>
      </c>
      <c r="N36" s="635">
        <f>SUM(G36:L36)</f>
        <v>60852</v>
      </c>
      <c r="O36" s="3654"/>
    </row>
    <row r="37" spans="1:19" ht="12">
      <c r="A37" s="3650"/>
      <c r="B37" s="876" t="s">
        <v>18</v>
      </c>
      <c r="C37" s="3656"/>
      <c r="D37" s="670">
        <f t="shared" ref="D37:N37" si="37">+D38</f>
        <v>761593</v>
      </c>
      <c r="E37" s="662">
        <f t="shared" si="37"/>
        <v>140919</v>
      </c>
      <c r="F37" s="664">
        <f t="shared" si="37"/>
        <v>276735</v>
      </c>
      <c r="G37" s="664">
        <f t="shared" si="37"/>
        <v>259821</v>
      </c>
      <c r="H37" s="664">
        <f t="shared" si="37"/>
        <v>35307</v>
      </c>
      <c r="I37" s="664">
        <f t="shared" si="37"/>
        <v>48811</v>
      </c>
      <c r="J37" s="663"/>
      <c r="K37" s="663"/>
      <c r="L37" s="663"/>
      <c r="M37" s="634">
        <f t="shared" si="37"/>
        <v>620674</v>
      </c>
      <c r="N37" s="634">
        <f t="shared" si="37"/>
        <v>343939</v>
      </c>
      <c r="O37" s="3654"/>
    </row>
    <row r="38" spans="1:19" ht="12">
      <c r="A38" s="3650"/>
      <c r="B38" s="730" t="s">
        <v>20</v>
      </c>
      <c r="C38" s="3656"/>
      <c r="D38" s="249">
        <f>E38+F38+G38+H38+I38+J38+K38+L38</f>
        <v>761593</v>
      </c>
      <c r="E38" s="286">
        <v>140919</v>
      </c>
      <c r="F38" s="636">
        <f>296984-8840-11410+1</f>
        <v>276735</v>
      </c>
      <c r="G38" s="636">
        <f>248412+11409</f>
        <v>259821</v>
      </c>
      <c r="H38" s="636">
        <v>35307</v>
      </c>
      <c r="I38" s="636">
        <v>48811</v>
      </c>
      <c r="J38" s="636"/>
      <c r="K38" s="636"/>
      <c r="L38" s="636"/>
      <c r="M38" s="635">
        <f>SUM(F38:K38)</f>
        <v>620674</v>
      </c>
      <c r="N38" s="635">
        <f>SUM(G38:L38)</f>
        <v>343939</v>
      </c>
      <c r="O38" s="3654"/>
    </row>
    <row r="39" spans="1:19" ht="12">
      <c r="A39" s="3650"/>
      <c r="B39" s="525" t="s">
        <v>22</v>
      </c>
      <c r="C39" s="561"/>
      <c r="D39" s="878">
        <f>+D40</f>
        <v>761593</v>
      </c>
      <c r="E39" s="878">
        <v>0</v>
      </c>
      <c r="F39" s="878">
        <f t="shared" ref="F39:I39" si="38">+F40</f>
        <v>133538</v>
      </c>
      <c r="G39" s="878">
        <f t="shared" si="38"/>
        <v>296984</v>
      </c>
      <c r="H39" s="878">
        <f t="shared" si="38"/>
        <v>248412</v>
      </c>
      <c r="I39" s="878">
        <f t="shared" si="38"/>
        <v>35307</v>
      </c>
      <c r="J39" s="878">
        <f t="shared" ref="F39:J40" si="39">+J40</f>
        <v>47352</v>
      </c>
      <c r="K39" s="551"/>
      <c r="L39" s="551"/>
      <c r="M39" s="3643" t="s">
        <v>61</v>
      </c>
      <c r="N39" s="3643" t="s">
        <v>61</v>
      </c>
      <c r="O39" s="3654"/>
    </row>
    <row r="40" spans="1:19" ht="12" customHeight="1">
      <c r="A40" s="3650"/>
      <c r="B40" s="876" t="s">
        <v>18</v>
      </c>
      <c r="C40" s="3113" t="s">
        <v>269</v>
      </c>
      <c r="D40" s="670">
        <f>+D41</f>
        <v>761593</v>
      </c>
      <c r="E40" s="665">
        <v>0</v>
      </c>
      <c r="F40" s="665">
        <f t="shared" si="39"/>
        <v>133538</v>
      </c>
      <c r="G40" s="665">
        <f t="shared" si="39"/>
        <v>296984</v>
      </c>
      <c r="H40" s="665">
        <f t="shared" si="39"/>
        <v>248412</v>
      </c>
      <c r="I40" s="665">
        <f t="shared" si="39"/>
        <v>35307</v>
      </c>
      <c r="J40" s="665">
        <f t="shared" si="39"/>
        <v>47352</v>
      </c>
      <c r="K40" s="665"/>
      <c r="L40" s="665"/>
      <c r="M40" s="3028"/>
      <c r="N40" s="3028"/>
      <c r="O40" s="3654"/>
    </row>
    <row r="41" spans="1:19" ht="13.5" thickBot="1">
      <c r="A41" s="3651"/>
      <c r="B41" s="730" t="s">
        <v>20</v>
      </c>
      <c r="C41" s="3657"/>
      <c r="D41" s="249">
        <f>E41+F41+G41+H41+I41+J41+K41+L41</f>
        <v>761593</v>
      </c>
      <c r="E41" s="286">
        <v>0</v>
      </c>
      <c r="F41" s="520">
        <v>133538</v>
      </c>
      <c r="G41" s="520">
        <v>296984</v>
      </c>
      <c r="H41" s="520">
        <v>248412</v>
      </c>
      <c r="I41" s="520">
        <f>35307</f>
        <v>35307</v>
      </c>
      <c r="J41" s="520">
        <f>48811-1459</f>
        <v>47352</v>
      </c>
      <c r="K41" s="881"/>
      <c r="L41" s="881"/>
      <c r="M41" s="3029"/>
      <c r="N41" s="3029"/>
      <c r="O41" s="3655"/>
      <c r="P41" s="653">
        <f>+D41-D38</f>
        <v>0</v>
      </c>
    </row>
    <row r="42" spans="1:19" ht="12" hidden="1">
      <c r="A42" s="3649" t="s">
        <v>64</v>
      </c>
      <c r="B42" s="660"/>
      <c r="C42" s="661" t="s">
        <v>81</v>
      </c>
      <c r="D42" s="870"/>
      <c r="E42" s="871"/>
      <c r="F42" s="872"/>
      <c r="G42" s="872"/>
      <c r="H42" s="872"/>
      <c r="I42" s="872"/>
      <c r="J42" s="872"/>
      <c r="K42" s="872"/>
      <c r="L42" s="872"/>
      <c r="M42" s="873"/>
      <c r="N42" s="873"/>
      <c r="O42" s="3652"/>
    </row>
    <row r="43" spans="1:19" ht="15.75" hidden="1" customHeight="1">
      <c r="A43" s="3666"/>
      <c r="B43" s="528" t="s">
        <v>10</v>
      </c>
      <c r="C43" s="561"/>
      <c r="D43" s="878"/>
      <c r="E43" s="551">
        <v>0</v>
      </c>
      <c r="F43" s="551"/>
      <c r="G43" s="551"/>
      <c r="H43" s="551"/>
      <c r="I43" s="551"/>
      <c r="J43" s="551"/>
      <c r="K43" s="551"/>
      <c r="L43" s="551"/>
      <c r="M43" s="546">
        <f>+M44+M46</f>
        <v>0</v>
      </c>
      <c r="N43" s="546">
        <f>+N44+N46</f>
        <v>0</v>
      </c>
      <c r="O43" s="3653"/>
      <c r="Q43" s="653"/>
    </row>
    <row r="44" spans="1:19" ht="12.75" hidden="1" customHeight="1">
      <c r="A44" s="3666"/>
      <c r="B44" s="874" t="s">
        <v>24</v>
      </c>
      <c r="C44" s="3108" t="s">
        <v>203</v>
      </c>
      <c r="D44" s="880"/>
      <c r="E44" s="669">
        <v>0</v>
      </c>
      <c r="F44" s="854"/>
      <c r="G44" s="854"/>
      <c r="H44" s="854"/>
      <c r="I44" s="854"/>
      <c r="J44" s="854"/>
      <c r="K44" s="854"/>
      <c r="L44" s="854"/>
      <c r="M44" s="634">
        <f>+M45</f>
        <v>0</v>
      </c>
      <c r="N44" s="634">
        <f>+N45</f>
        <v>0</v>
      </c>
      <c r="O44" s="3654"/>
    </row>
    <row r="45" spans="1:19" ht="12.75" hidden="1" customHeight="1">
      <c r="A45" s="3666"/>
      <c r="B45" s="875" t="s">
        <v>12</v>
      </c>
      <c r="C45" s="3656"/>
      <c r="D45" s="672"/>
      <c r="E45" s="548">
        <v>0</v>
      </c>
      <c r="F45" s="534"/>
      <c r="G45" s="534"/>
      <c r="H45" s="534"/>
      <c r="I45" s="534"/>
      <c r="J45" s="205"/>
      <c r="K45" s="205"/>
      <c r="L45" s="205"/>
      <c r="M45" s="882"/>
      <c r="N45" s="882"/>
      <c r="O45" s="3654"/>
    </row>
    <row r="46" spans="1:19" ht="12" hidden="1" customHeight="1">
      <c r="A46" s="3666"/>
      <c r="B46" s="876" t="s">
        <v>18</v>
      </c>
      <c r="C46" s="3656"/>
      <c r="D46" s="673"/>
      <c r="E46" s="662">
        <v>0</v>
      </c>
      <c r="F46" s="666"/>
      <c r="G46" s="666"/>
      <c r="H46" s="666"/>
      <c r="I46" s="666"/>
      <c r="J46" s="666"/>
      <c r="K46" s="666"/>
      <c r="L46" s="666"/>
      <c r="M46" s="634">
        <f t="shared" ref="M46:N46" si="40">+M47</f>
        <v>0</v>
      </c>
      <c r="N46" s="634">
        <f t="shared" si="40"/>
        <v>0</v>
      </c>
      <c r="O46" s="3654"/>
    </row>
    <row r="47" spans="1:19" ht="13.5" hidden="1" thickBot="1">
      <c r="A47" s="3666"/>
      <c r="B47" s="883" t="s">
        <v>21</v>
      </c>
      <c r="C47" s="3656"/>
      <c r="D47" s="548"/>
      <c r="E47" s="548"/>
      <c r="F47" s="636"/>
      <c r="G47" s="636"/>
      <c r="H47" s="636"/>
      <c r="I47" s="636"/>
      <c r="J47" s="636"/>
      <c r="K47" s="636"/>
      <c r="L47" s="636"/>
      <c r="M47" s="635">
        <f>SUM(E47:H47)</f>
        <v>0</v>
      </c>
      <c r="N47" s="635">
        <f>SUM(F47:I47)</f>
        <v>0</v>
      </c>
      <c r="O47" s="3654"/>
    </row>
    <row r="48" spans="1:19" ht="15.75" hidden="1" customHeight="1">
      <c r="A48" s="3666"/>
      <c r="B48" s="525" t="s">
        <v>22</v>
      </c>
      <c r="C48" s="561"/>
      <c r="D48" s="103"/>
      <c r="E48" s="878">
        <v>0</v>
      </c>
      <c r="F48" s="878"/>
      <c r="G48" s="551"/>
      <c r="H48" s="551"/>
      <c r="I48" s="551"/>
      <c r="J48" s="551"/>
      <c r="K48" s="551"/>
      <c r="L48" s="551"/>
      <c r="M48" s="3643" t="s">
        <v>61</v>
      </c>
      <c r="N48" s="3643" t="s">
        <v>61</v>
      </c>
      <c r="O48" s="3654"/>
    </row>
    <row r="49" spans="1:16" ht="15.75" hidden="1" customHeight="1">
      <c r="A49" s="3666"/>
      <c r="B49" s="674"/>
      <c r="C49" s="675"/>
      <c r="D49" s="884"/>
      <c r="E49" s="885"/>
      <c r="F49" s="885"/>
      <c r="G49" s="886"/>
      <c r="H49" s="886"/>
      <c r="I49" s="886"/>
      <c r="J49" s="886"/>
      <c r="K49" s="886"/>
      <c r="L49" s="886"/>
      <c r="M49" s="3028"/>
      <c r="N49" s="3028"/>
      <c r="O49" s="3654"/>
    </row>
    <row r="50" spans="1:16" ht="15.75" hidden="1" customHeight="1">
      <c r="A50" s="3666"/>
      <c r="B50" s="674"/>
      <c r="C50" s="675"/>
      <c r="D50" s="884"/>
      <c r="E50" s="885"/>
      <c r="F50" s="885"/>
      <c r="G50" s="886"/>
      <c r="H50" s="886"/>
      <c r="I50" s="886"/>
      <c r="J50" s="886"/>
      <c r="K50" s="886"/>
      <c r="L50" s="886"/>
      <c r="M50" s="3028"/>
      <c r="N50" s="3028"/>
      <c r="O50" s="3654"/>
    </row>
    <row r="51" spans="1:16" ht="12" hidden="1" customHeight="1">
      <c r="A51" s="3666"/>
      <c r="B51" s="876" t="s">
        <v>18</v>
      </c>
      <c r="C51" s="3113" t="s">
        <v>204</v>
      </c>
      <c r="D51" s="670"/>
      <c r="E51" s="665">
        <v>0</v>
      </c>
      <c r="F51" s="665"/>
      <c r="G51" s="665"/>
      <c r="H51" s="665"/>
      <c r="I51" s="665"/>
      <c r="J51" s="665"/>
      <c r="K51" s="665"/>
      <c r="L51" s="665"/>
      <c r="M51" s="3028"/>
      <c r="N51" s="3028"/>
      <c r="O51" s="3654"/>
    </row>
    <row r="52" spans="1:16" ht="13.5" hidden="1" thickBot="1">
      <c r="A52" s="3667"/>
      <c r="B52" s="883" t="s">
        <v>21</v>
      </c>
      <c r="C52" s="3657"/>
      <c r="D52" s="520"/>
      <c r="E52" s="520"/>
      <c r="F52" s="671"/>
      <c r="G52" s="671"/>
      <c r="H52" s="671"/>
      <c r="I52" s="671"/>
      <c r="J52" s="671"/>
      <c r="K52" s="671"/>
      <c r="L52" s="671"/>
      <c r="M52" s="3029"/>
      <c r="N52" s="3029"/>
      <c r="O52" s="3655"/>
    </row>
    <row r="53" spans="1:16" s="2490" customFormat="1" ht="24" customHeight="1">
      <c r="A53" s="3661" t="s">
        <v>65</v>
      </c>
      <c r="B53" s="74" t="s">
        <v>451</v>
      </c>
      <c r="C53" s="58" t="s">
        <v>109</v>
      </c>
      <c r="D53" s="887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3095" t="s">
        <v>311</v>
      </c>
    </row>
    <row r="54" spans="1:16" s="2490" customFormat="1" ht="12.75">
      <c r="A54" s="3665"/>
      <c r="B54" s="2148" t="s">
        <v>10</v>
      </c>
      <c r="C54" s="2003"/>
      <c r="D54" s="2104">
        <f>+D55+D61</f>
        <v>391131</v>
      </c>
      <c r="E54" s="2104">
        <f t="shared" ref="E54" si="41">+E55+E61</f>
        <v>88487</v>
      </c>
      <c r="F54" s="2109">
        <f t="shared" ref="F54:I54" si="42">+F55+F61</f>
        <v>94210</v>
      </c>
      <c r="G54" s="2109">
        <f t="shared" si="42"/>
        <v>69478</v>
      </c>
      <c r="H54" s="2109">
        <f t="shared" si="42"/>
        <v>69478</v>
      </c>
      <c r="I54" s="2109">
        <f t="shared" si="42"/>
        <v>69478</v>
      </c>
      <c r="J54" s="2109"/>
      <c r="K54" s="2109"/>
      <c r="L54" s="2109"/>
      <c r="M54" s="2141">
        <f>+M55+M61</f>
        <v>302644</v>
      </c>
      <c r="N54" s="2141">
        <f>+N55+N61</f>
        <v>208434</v>
      </c>
      <c r="O54" s="3102"/>
      <c r="P54" s="888"/>
    </row>
    <row r="55" spans="1:16" s="2490" customFormat="1" ht="12.75">
      <c r="A55" s="3665"/>
      <c r="B55" s="2011" t="s">
        <v>12</v>
      </c>
      <c r="C55" s="3040" t="s">
        <v>149</v>
      </c>
      <c r="D55" s="2149">
        <f>+D56+D60</f>
        <v>98610</v>
      </c>
      <c r="E55" s="2149">
        <f t="shared" ref="E55" si="43">+E56+E60</f>
        <v>22288</v>
      </c>
      <c r="F55" s="2150">
        <f t="shared" ref="F55:I55" si="44">+F56+F60</f>
        <v>23763</v>
      </c>
      <c r="G55" s="2150">
        <f t="shared" si="44"/>
        <v>17519</v>
      </c>
      <c r="H55" s="2150">
        <f t="shared" si="44"/>
        <v>17520</v>
      </c>
      <c r="I55" s="2150">
        <f t="shared" si="44"/>
        <v>17520</v>
      </c>
      <c r="J55" s="2149"/>
      <c r="K55" s="2149"/>
      <c r="L55" s="2149"/>
      <c r="M55" s="2151">
        <f>+M56+M60</f>
        <v>76322</v>
      </c>
      <c r="N55" s="2151">
        <f>+N56+N60</f>
        <v>52559</v>
      </c>
      <c r="O55" s="3102"/>
    </row>
    <row r="56" spans="1:16" s="2490" customFormat="1" ht="10.5" customHeight="1">
      <c r="A56" s="3665"/>
      <c r="B56" s="230" t="s">
        <v>13</v>
      </c>
      <c r="C56" s="3100"/>
      <c r="D56" s="1913">
        <f>E56+F56+G56+H56+I56+J56+K56+L56</f>
        <v>97508</v>
      </c>
      <c r="E56" s="1977">
        <v>22066</v>
      </c>
      <c r="F56" s="2152">
        <f>+F58+F59</f>
        <v>23483</v>
      </c>
      <c r="G56" s="2152">
        <f t="shared" ref="G56:I56" si="45">+G58+G59</f>
        <v>17319</v>
      </c>
      <c r="H56" s="2152">
        <f t="shared" si="45"/>
        <v>17320</v>
      </c>
      <c r="I56" s="2152">
        <f t="shared" si="45"/>
        <v>17320</v>
      </c>
      <c r="J56" s="1977"/>
      <c r="K56" s="1977"/>
      <c r="L56" s="1977"/>
      <c r="M56" s="2033">
        <f>SUM(F56:K56)</f>
        <v>75442</v>
      </c>
      <c r="N56" s="2033">
        <f>SUM(G56:L56)</f>
        <v>51959</v>
      </c>
      <c r="O56" s="3102"/>
      <c r="P56" s="888">
        <f>D56-D68</f>
        <v>0</v>
      </c>
    </row>
    <row r="57" spans="1:16" s="2490" customFormat="1" ht="12.75" hidden="1">
      <c r="A57" s="3665"/>
      <c r="B57" s="2153" t="s">
        <v>150</v>
      </c>
      <c r="C57" s="3100"/>
      <c r="D57" s="1913">
        <f>E57+F57+G57+H57+I57+J57+K57+L57</f>
        <v>0</v>
      </c>
      <c r="E57" s="1977"/>
      <c r="F57" s="2032"/>
      <c r="G57" s="2032"/>
      <c r="H57" s="2032"/>
      <c r="I57" s="2032"/>
      <c r="J57" s="2032"/>
      <c r="K57" s="2032"/>
      <c r="L57" s="2032"/>
      <c r="M57" s="2033"/>
      <c r="N57" s="2033"/>
      <c r="O57" s="3102"/>
      <c r="P57" s="888"/>
    </row>
    <row r="58" spans="1:16" s="2490" customFormat="1" ht="12.75" hidden="1">
      <c r="A58" s="3665"/>
      <c r="B58" s="2153" t="s">
        <v>294</v>
      </c>
      <c r="C58" s="3100"/>
      <c r="D58" s="1913">
        <f>E58+F58+G58+H58+I58+J58+K58+L58</f>
        <v>44222</v>
      </c>
      <c r="E58" s="1977"/>
      <c r="F58" s="2154">
        <f>8056+671+1501+214+2452</f>
        <v>12894</v>
      </c>
      <c r="G58" s="2154">
        <f>8056+671+1501+214</f>
        <v>10442</v>
      </c>
      <c r="H58" s="2154">
        <f>8057+671+1501+214</f>
        <v>10443</v>
      </c>
      <c r="I58" s="2154">
        <f>8057+671+1501+214</f>
        <v>10443</v>
      </c>
      <c r="J58" s="2032"/>
      <c r="K58" s="2032"/>
      <c r="L58" s="2032"/>
      <c r="M58" s="2155">
        <f>SUM(E58:H58)</f>
        <v>33779</v>
      </c>
      <c r="N58" s="2155">
        <f>SUM(G58:I58)</f>
        <v>31328</v>
      </c>
      <c r="O58" s="3102"/>
      <c r="P58" s="888"/>
    </row>
    <row r="59" spans="1:16" s="2490" customFormat="1" ht="12.75" hidden="1">
      <c r="A59" s="3665"/>
      <c r="B59" s="2153" t="s">
        <v>110</v>
      </c>
      <c r="C59" s="3100"/>
      <c r="D59" s="1913">
        <f>E59+F59+G59+H59+I59+J59+K59+L59</f>
        <v>31220</v>
      </c>
      <c r="E59" s="1977"/>
      <c r="F59" s="2156">
        <f>512+979+979+1250+2157+750+250+5601-1889</f>
        <v>10589</v>
      </c>
      <c r="G59" s="2154">
        <f>512+979+979+1250+2407+750</f>
        <v>6877</v>
      </c>
      <c r="H59" s="2154">
        <f>512+979+979+1250+2407+750</f>
        <v>6877</v>
      </c>
      <c r="I59" s="2154">
        <f>512+979+979+1250+2407+750</f>
        <v>6877</v>
      </c>
      <c r="J59" s="2032"/>
      <c r="K59" s="2032"/>
      <c r="L59" s="2032"/>
      <c r="M59" s="2155">
        <f>SUM(E59:H59)</f>
        <v>24343</v>
      </c>
      <c r="N59" s="2155">
        <f>SUM(G59:I59)</f>
        <v>20631</v>
      </c>
      <c r="O59" s="3102"/>
      <c r="P59" s="888"/>
    </row>
    <row r="60" spans="1:16" s="2490" customFormat="1" ht="12.75">
      <c r="A60" s="3665"/>
      <c r="B60" s="2157" t="s">
        <v>12</v>
      </c>
      <c r="C60" s="3100"/>
      <c r="D60" s="1913">
        <f>E60+F60+G60+H60+I60+J60+K60+L60</f>
        <v>1102</v>
      </c>
      <c r="E60" s="1977">
        <v>222</v>
      </c>
      <c r="F60" s="2032">
        <v>280</v>
      </c>
      <c r="G60" s="2032">
        <v>200</v>
      </c>
      <c r="H60" s="2032">
        <v>200</v>
      </c>
      <c r="I60" s="2032">
        <v>200</v>
      </c>
      <c r="J60" s="2032"/>
      <c r="K60" s="2032"/>
      <c r="L60" s="2032"/>
      <c r="M60" s="2033">
        <f>SUM(F60:K60)</f>
        <v>880</v>
      </c>
      <c r="N60" s="2033">
        <f>SUM(G60:L60)</f>
        <v>600</v>
      </c>
      <c r="O60" s="3102"/>
    </row>
    <row r="61" spans="1:16" s="2490" customFormat="1" ht="13.5" customHeight="1">
      <c r="A61" s="3665"/>
      <c r="B61" s="2158" t="s">
        <v>18</v>
      </c>
      <c r="C61" s="3100"/>
      <c r="D61" s="2007">
        <f>+D62</f>
        <v>292521</v>
      </c>
      <c r="E61" s="2007">
        <f t="shared" ref="E61" si="46">+E62</f>
        <v>66199</v>
      </c>
      <c r="F61" s="2013">
        <f t="shared" ref="F61:I61" si="47">+F62</f>
        <v>70447</v>
      </c>
      <c r="G61" s="2013">
        <f t="shared" si="47"/>
        <v>51959</v>
      </c>
      <c r="H61" s="2013">
        <f t="shared" si="47"/>
        <v>51958</v>
      </c>
      <c r="I61" s="2013">
        <f t="shared" si="47"/>
        <v>51958</v>
      </c>
      <c r="J61" s="2013"/>
      <c r="K61" s="2013"/>
      <c r="L61" s="2013"/>
      <c r="M61" s="2159">
        <f>+M62</f>
        <v>226322</v>
      </c>
      <c r="N61" s="2159">
        <f>+N62</f>
        <v>155875</v>
      </c>
      <c r="O61" s="3102"/>
    </row>
    <row r="62" spans="1:16" s="2490" customFormat="1" ht="12.75">
      <c r="A62" s="3665"/>
      <c r="B62" s="2043" t="s">
        <v>20</v>
      </c>
      <c r="C62" s="3075"/>
      <c r="D62" s="1913">
        <f>E62+F62+G62+H62+I62+J62+K62+L62</f>
        <v>292521</v>
      </c>
      <c r="E62" s="1977">
        <v>66199</v>
      </c>
      <c r="F62" s="2160">
        <f>SUM(F64:F65)</f>
        <v>70447</v>
      </c>
      <c r="G62" s="2160">
        <f>SUM(G64:G65)</f>
        <v>51959</v>
      </c>
      <c r="H62" s="2160">
        <f>SUM(H64:H65)</f>
        <v>51958</v>
      </c>
      <c r="I62" s="2160">
        <f>SUM(I64:I65)</f>
        <v>51958</v>
      </c>
      <c r="J62" s="2010"/>
      <c r="K62" s="2010"/>
      <c r="L62" s="2010"/>
      <c r="M62" s="2033">
        <f>SUM(F62:K62)</f>
        <v>226322</v>
      </c>
      <c r="N62" s="2033">
        <f>SUM(G62:L62)</f>
        <v>155875</v>
      </c>
      <c r="O62" s="3102"/>
      <c r="P62" s="888">
        <f>D62-D70</f>
        <v>0</v>
      </c>
    </row>
    <row r="63" spans="1:16" s="890" customFormat="1" ht="13.5" hidden="1" customHeight="1">
      <c r="A63" s="3665"/>
      <c r="B63" s="2153" t="s">
        <v>150</v>
      </c>
      <c r="C63" s="1796"/>
      <c r="D63" s="2161"/>
      <c r="E63" s="2162"/>
      <c r="F63" s="2162"/>
      <c r="G63" s="2162"/>
      <c r="H63" s="2162"/>
      <c r="I63" s="2162"/>
      <c r="J63" s="2162"/>
      <c r="K63" s="2162"/>
      <c r="L63" s="2162"/>
      <c r="M63" s="2163"/>
      <c r="N63" s="2163"/>
      <c r="O63" s="3102"/>
      <c r="P63" s="889"/>
    </row>
    <row r="64" spans="1:16" s="890" customFormat="1" ht="13.5" hidden="1" customHeight="1">
      <c r="A64" s="3665"/>
      <c r="B64" s="2153" t="s">
        <v>294</v>
      </c>
      <c r="C64" s="1796"/>
      <c r="D64" s="1913">
        <f>E64+F64+G64+H64+I64+J64+K64+L64</f>
        <v>132677</v>
      </c>
      <c r="E64" s="2162"/>
      <c r="F64" s="2162">
        <f>24173+2014+4502+642+7355</f>
        <v>38686</v>
      </c>
      <c r="G64" s="2162">
        <f>24173+2014+4502+642</f>
        <v>31331</v>
      </c>
      <c r="H64" s="2162">
        <f>24172+2014+4502+642</f>
        <v>31330</v>
      </c>
      <c r="I64" s="2162">
        <f>24172+2014+4502+642</f>
        <v>31330</v>
      </c>
      <c r="J64" s="2162"/>
      <c r="K64" s="2162"/>
      <c r="L64" s="2162"/>
      <c r="M64" s="2155">
        <f>SUM(E64:H64)</f>
        <v>101347</v>
      </c>
      <c r="N64" s="2155">
        <f>SUM(G64:I64)</f>
        <v>93991</v>
      </c>
      <c r="O64" s="3102"/>
      <c r="P64" s="889"/>
    </row>
    <row r="65" spans="1:17" s="890" customFormat="1" ht="13.5" hidden="1" customHeight="1">
      <c r="A65" s="3665"/>
      <c r="B65" s="2153" t="s">
        <v>110</v>
      </c>
      <c r="C65" s="1796"/>
      <c r="D65" s="1913">
        <f>E65+F65+G65+H65+I65+J65+K65+L65</f>
        <v>93645</v>
      </c>
      <c r="E65" s="2162"/>
      <c r="F65" s="2162">
        <f>1537+2936+2936+3750+6469+2250+750+16805-5672</f>
        <v>31761</v>
      </c>
      <c r="G65" s="2162">
        <f>1537+2936+2936+3750+7219+2250</f>
        <v>20628</v>
      </c>
      <c r="H65" s="2162">
        <f>1537+2936+2936+3750+7219+2250</f>
        <v>20628</v>
      </c>
      <c r="I65" s="2162">
        <f>1537+2936+2936+3750+7219+2250</f>
        <v>20628</v>
      </c>
      <c r="J65" s="2162"/>
      <c r="K65" s="2162"/>
      <c r="L65" s="2162"/>
      <c r="M65" s="2155">
        <f>SUM(E65:H65)</f>
        <v>73017</v>
      </c>
      <c r="N65" s="2155">
        <f>SUM(G65:I65)</f>
        <v>61884</v>
      </c>
      <c r="O65" s="3102"/>
      <c r="P65" s="889"/>
    </row>
    <row r="66" spans="1:17" s="2490" customFormat="1" ht="12.75">
      <c r="A66" s="3665"/>
      <c r="B66" s="525" t="s">
        <v>22</v>
      </c>
      <c r="C66" s="2003"/>
      <c r="D66" s="2004">
        <f>+D67+D69</f>
        <v>390029</v>
      </c>
      <c r="E66" s="2004">
        <f t="shared" ref="E66" si="48">+E67+E69</f>
        <v>0</v>
      </c>
      <c r="F66" s="2004">
        <f t="shared" ref="F66:J66" si="49">+F67+F69</f>
        <v>113638</v>
      </c>
      <c r="G66" s="2004">
        <f t="shared" si="49"/>
        <v>85877</v>
      </c>
      <c r="H66" s="2004">
        <f t="shared" si="49"/>
        <v>69278</v>
      </c>
      <c r="I66" s="2004">
        <f t="shared" si="49"/>
        <v>69278</v>
      </c>
      <c r="J66" s="2004">
        <f t="shared" si="49"/>
        <v>51958</v>
      </c>
      <c r="K66" s="2109"/>
      <c r="L66" s="2109"/>
      <c r="M66" s="3054" t="s">
        <v>61</v>
      </c>
      <c r="N66" s="3054" t="s">
        <v>61</v>
      </c>
      <c r="O66" s="3102"/>
    </row>
    <row r="67" spans="1:17" s="2490" customFormat="1" ht="13.5" customHeight="1">
      <c r="A67" s="3665"/>
      <c r="B67" s="724" t="s">
        <v>24</v>
      </c>
      <c r="C67" s="3127" t="s">
        <v>149</v>
      </c>
      <c r="D67" s="2164">
        <f>+D68</f>
        <v>97508</v>
      </c>
      <c r="E67" s="2164">
        <f t="shared" ref="E67" si="50">+E68</f>
        <v>0</v>
      </c>
      <c r="F67" s="2165">
        <f t="shared" ref="F67:J67" si="51">+F68</f>
        <v>28409</v>
      </c>
      <c r="G67" s="2165">
        <f t="shared" si="51"/>
        <v>21470</v>
      </c>
      <c r="H67" s="2165">
        <f t="shared" si="51"/>
        <v>17319</v>
      </c>
      <c r="I67" s="2165">
        <f t="shared" si="51"/>
        <v>17320</v>
      </c>
      <c r="J67" s="2165">
        <f t="shared" si="51"/>
        <v>12990</v>
      </c>
      <c r="K67" s="2165"/>
      <c r="L67" s="2165"/>
      <c r="M67" s="3028"/>
      <c r="N67" s="3028"/>
      <c r="O67" s="3102"/>
    </row>
    <row r="68" spans="1:17" s="2490" customFormat="1" ht="12.75">
      <c r="A68" s="3665"/>
      <c r="B68" s="230" t="s">
        <v>13</v>
      </c>
      <c r="C68" s="3170"/>
      <c r="D68" s="1984">
        <f>E68+F68+G68+H68+I68+J68+K68+L68</f>
        <v>97508</v>
      </c>
      <c r="E68" s="1977">
        <v>0</v>
      </c>
      <c r="F68" s="1977">
        <v>28409</v>
      </c>
      <c r="G68" s="1977">
        <f>17319+6040-1889</f>
        <v>21470</v>
      </c>
      <c r="H68" s="1977">
        <v>17319</v>
      </c>
      <c r="I68" s="1977">
        <v>17320</v>
      </c>
      <c r="J68" s="1977">
        <v>12990</v>
      </c>
      <c r="K68" s="2166"/>
      <c r="L68" s="2166"/>
      <c r="M68" s="3028"/>
      <c r="N68" s="3028"/>
      <c r="O68" s="3102"/>
    </row>
    <row r="69" spans="1:17" s="2490" customFormat="1" ht="12.75">
      <c r="A69" s="3665"/>
      <c r="B69" s="1797" t="s">
        <v>18</v>
      </c>
      <c r="C69" s="3170"/>
      <c r="D69" s="1798">
        <f>+D70</f>
        <v>292521</v>
      </c>
      <c r="E69" s="1798">
        <f t="shared" ref="E69" si="52">+E70</f>
        <v>0</v>
      </c>
      <c r="F69" s="1798">
        <f>+F70</f>
        <v>85229</v>
      </c>
      <c r="G69" s="1798">
        <f>+G70</f>
        <v>64407</v>
      </c>
      <c r="H69" s="1798">
        <f>+H70</f>
        <v>51959</v>
      </c>
      <c r="I69" s="1798">
        <f>+I70</f>
        <v>51958</v>
      </c>
      <c r="J69" s="1798">
        <f>+J70</f>
        <v>38968</v>
      </c>
      <c r="K69" s="1799"/>
      <c r="L69" s="1799"/>
      <c r="M69" s="3028"/>
      <c r="N69" s="3028"/>
      <c r="O69" s="3102"/>
    </row>
    <row r="70" spans="1:17" s="2490" customFormat="1" ht="13.5" thickBot="1">
      <c r="A70" s="3662"/>
      <c r="B70" s="891" t="s">
        <v>20</v>
      </c>
      <c r="C70" s="3552"/>
      <c r="D70" s="1008">
        <f>E70+F70+G70+H70+I70+J70+K70+L70</f>
        <v>292521</v>
      </c>
      <c r="E70" s="1009">
        <v>0</v>
      </c>
      <c r="F70" s="520">
        <v>85229</v>
      </c>
      <c r="G70" s="520">
        <f>51959+18120-5672</f>
        <v>64407</v>
      </c>
      <c r="H70" s="520">
        <v>51959</v>
      </c>
      <c r="I70" s="520">
        <v>51958</v>
      </c>
      <c r="J70" s="520">
        <v>38968</v>
      </c>
      <c r="K70" s="881"/>
      <c r="L70" s="881"/>
      <c r="M70" s="3029"/>
      <c r="N70" s="3029"/>
      <c r="O70" s="3157"/>
    </row>
    <row r="71" spans="1:17" s="2490" customFormat="1" ht="27.75" customHeight="1">
      <c r="A71" s="3661" t="s">
        <v>66</v>
      </c>
      <c r="B71" s="74" t="s">
        <v>544</v>
      </c>
      <c r="C71" s="58" t="s">
        <v>81</v>
      </c>
      <c r="D71" s="887"/>
      <c r="E71" s="44"/>
      <c r="F71" s="44"/>
      <c r="G71" s="44"/>
      <c r="H71" s="44"/>
      <c r="I71" s="44"/>
      <c r="J71" s="44"/>
      <c r="K71" s="44"/>
      <c r="L71" s="44"/>
      <c r="M71" s="45"/>
      <c r="N71" s="45"/>
      <c r="O71" s="3095" t="s">
        <v>110</v>
      </c>
    </row>
    <row r="72" spans="1:17" s="2490" customFormat="1" ht="14.25" customHeight="1" thickBot="1">
      <c r="A72" s="3662"/>
      <c r="B72" s="719" t="s">
        <v>10</v>
      </c>
      <c r="C72" s="813"/>
      <c r="D72" s="766">
        <f>+D73+D75</f>
        <v>7561</v>
      </c>
      <c r="E72" s="766">
        <f>+E73+E75</f>
        <v>0</v>
      </c>
      <c r="F72" s="766">
        <f>+F73+F75</f>
        <v>7561</v>
      </c>
      <c r="G72" s="784">
        <v>0</v>
      </c>
      <c r="H72" s="1800">
        <v>0</v>
      </c>
      <c r="I72" s="1800">
        <v>0</v>
      </c>
      <c r="J72" s="1800">
        <v>0</v>
      </c>
      <c r="K72" s="1800">
        <v>0</v>
      </c>
      <c r="L72" s="1800">
        <v>0</v>
      </c>
      <c r="M72" s="767">
        <f>+M73+M75</f>
        <v>7561</v>
      </c>
      <c r="N72" s="767">
        <f>+N73+N75</f>
        <v>0</v>
      </c>
      <c r="O72" s="3561"/>
      <c r="P72" s="888" t="s">
        <v>439</v>
      </c>
    </row>
    <row r="73" spans="1:17" s="2490" customFormat="1" ht="13.5" customHeight="1" thickBot="1">
      <c r="A73" s="3662"/>
      <c r="B73" s="1053" t="s">
        <v>12</v>
      </c>
      <c r="C73" s="3108" t="s">
        <v>149</v>
      </c>
      <c r="D73" s="1794">
        <f>+D74</f>
        <v>1889</v>
      </c>
      <c r="E73" s="1794">
        <f>+E74</f>
        <v>0</v>
      </c>
      <c r="F73" s="1794">
        <f>+F74</f>
        <v>1889</v>
      </c>
      <c r="G73" s="1802">
        <v>0</v>
      </c>
      <c r="H73" s="1801">
        <v>0</v>
      </c>
      <c r="I73" s="1801">
        <v>0</v>
      </c>
      <c r="J73" s="1801">
        <v>0</v>
      </c>
      <c r="K73" s="1801">
        <v>0</v>
      </c>
      <c r="L73" s="1801">
        <v>0</v>
      </c>
      <c r="M73" s="1795">
        <f>+M74</f>
        <v>1889</v>
      </c>
      <c r="N73" s="1795">
        <f>+N74</f>
        <v>0</v>
      </c>
      <c r="O73" s="3561"/>
      <c r="P73" s="2490" t="s">
        <v>440</v>
      </c>
      <c r="Q73" s="888"/>
    </row>
    <row r="74" spans="1:17" s="2490" customFormat="1" ht="13.5" customHeight="1" thickBot="1">
      <c r="A74" s="3662"/>
      <c r="B74" s="230" t="s">
        <v>13</v>
      </c>
      <c r="C74" s="3100"/>
      <c r="D74" s="1682">
        <f>E74+F74+G74+H74+I74+J74+K74+L74</f>
        <v>1889</v>
      </c>
      <c r="E74" s="286">
        <v>0</v>
      </c>
      <c r="F74" s="777">
        <v>1889</v>
      </c>
      <c r="G74" s="1802">
        <v>0</v>
      </c>
      <c r="H74" s="1801">
        <v>0</v>
      </c>
      <c r="I74" s="1801">
        <v>0</v>
      </c>
      <c r="J74" s="1801">
        <v>0</v>
      </c>
      <c r="K74" s="1801">
        <v>0</v>
      </c>
      <c r="L74" s="1801">
        <v>0</v>
      </c>
      <c r="M74" s="635">
        <f>SUM(F74:K74)</f>
        <v>1889</v>
      </c>
      <c r="N74" s="635">
        <f>SUM(G74:L74)</f>
        <v>0</v>
      </c>
      <c r="O74" s="3561"/>
    </row>
    <row r="75" spans="1:17" s="1664" customFormat="1" ht="13.5" thickBot="1">
      <c r="A75" s="3663"/>
      <c r="B75" s="729" t="s">
        <v>18</v>
      </c>
      <c r="C75" s="3100"/>
      <c r="D75" s="769">
        <f>+D76</f>
        <v>5672</v>
      </c>
      <c r="E75" s="769">
        <f>+E76</f>
        <v>0</v>
      </c>
      <c r="F75" s="769">
        <f>+F76</f>
        <v>5672</v>
      </c>
      <c r="G75" s="785">
        <v>0</v>
      </c>
      <c r="H75" s="1801">
        <v>0</v>
      </c>
      <c r="I75" s="1801">
        <v>0</v>
      </c>
      <c r="J75" s="1801">
        <v>0</v>
      </c>
      <c r="K75" s="1801">
        <v>0</v>
      </c>
      <c r="L75" s="1801">
        <v>0</v>
      </c>
      <c r="M75" s="694">
        <f>+M76</f>
        <v>5672</v>
      </c>
      <c r="N75" s="694">
        <f>+N76</f>
        <v>0</v>
      </c>
      <c r="O75" s="3664"/>
      <c r="P75" s="1663"/>
    </row>
    <row r="76" spans="1:17" s="2490" customFormat="1" ht="13.5" thickBot="1">
      <c r="A76" s="3662"/>
      <c r="B76" s="877" t="s">
        <v>20</v>
      </c>
      <c r="C76" s="3075"/>
      <c r="D76" s="1682">
        <f>E76+F76+G76+H76+I76+J76+K76+L76</f>
        <v>5672</v>
      </c>
      <c r="E76" s="286">
        <v>0</v>
      </c>
      <c r="F76" s="1700">
        <v>5672</v>
      </c>
      <c r="G76" s="1803">
        <v>0</v>
      </c>
      <c r="H76" s="728">
        <v>0</v>
      </c>
      <c r="I76" s="728">
        <v>0</v>
      </c>
      <c r="J76" s="728">
        <v>0</v>
      </c>
      <c r="K76" s="728">
        <v>0</v>
      </c>
      <c r="L76" s="728">
        <v>0</v>
      </c>
      <c r="M76" s="635">
        <f>SUM(F76:K76)</f>
        <v>5672</v>
      </c>
      <c r="N76" s="635">
        <f>SUM(G76:L76)</f>
        <v>0</v>
      </c>
      <c r="O76" s="3561"/>
      <c r="P76" s="888"/>
    </row>
    <row r="77" spans="1:17" s="2490" customFormat="1" ht="13.5" thickBot="1">
      <c r="A77" s="3662"/>
      <c r="B77" s="525" t="s">
        <v>22</v>
      </c>
      <c r="C77" s="813"/>
      <c r="D77" s="765">
        <f>+D78+D80</f>
        <v>7561</v>
      </c>
      <c r="E77" s="765">
        <f>+E78+E80</f>
        <v>0</v>
      </c>
      <c r="F77" s="814">
        <v>0</v>
      </c>
      <c r="G77" s="765">
        <f>+G78+G80</f>
        <v>7561</v>
      </c>
      <c r="H77" s="814">
        <v>0</v>
      </c>
      <c r="I77" s="814">
        <v>0</v>
      </c>
      <c r="J77" s="814">
        <v>0</v>
      </c>
      <c r="K77" s="814">
        <v>0</v>
      </c>
      <c r="L77" s="814">
        <v>0</v>
      </c>
      <c r="M77" s="3020" t="s">
        <v>61</v>
      </c>
      <c r="N77" s="3020" t="s">
        <v>61</v>
      </c>
      <c r="O77" s="3561"/>
      <c r="P77" s="888"/>
    </row>
    <row r="78" spans="1:17" s="1664" customFormat="1" ht="12.75" customHeight="1" thickBot="1">
      <c r="A78" s="3663"/>
      <c r="B78" s="724" t="s">
        <v>24</v>
      </c>
      <c r="C78" s="3108" t="s">
        <v>149</v>
      </c>
      <c r="D78" s="798">
        <f>+D79</f>
        <v>1889</v>
      </c>
      <c r="E78" s="798">
        <f>+E79</f>
        <v>0</v>
      </c>
      <c r="F78" s="1049">
        <v>0</v>
      </c>
      <c r="G78" s="798">
        <f>+G79</f>
        <v>1889</v>
      </c>
      <c r="H78" s="1801">
        <v>0</v>
      </c>
      <c r="I78" s="1801">
        <v>0</v>
      </c>
      <c r="J78" s="1801">
        <v>0</v>
      </c>
      <c r="K78" s="1801">
        <v>0</v>
      </c>
      <c r="L78" s="1801">
        <v>0</v>
      </c>
      <c r="M78" s="3021"/>
      <c r="N78" s="3021"/>
      <c r="O78" s="3664"/>
      <c r="P78" s="1663"/>
    </row>
    <row r="79" spans="1:17" s="2490" customFormat="1" ht="13.5" customHeight="1" thickBot="1">
      <c r="A79" s="3662"/>
      <c r="B79" s="230" t="s">
        <v>13</v>
      </c>
      <c r="C79" s="3100"/>
      <c r="D79" s="1682">
        <f>E79+F79+G79+H79+I79+J79+K79+L79</f>
        <v>1889</v>
      </c>
      <c r="E79" s="286">
        <v>0</v>
      </c>
      <c r="F79" s="1050">
        <v>0</v>
      </c>
      <c r="G79" s="777">
        <v>1889</v>
      </c>
      <c r="H79" s="728">
        <v>0</v>
      </c>
      <c r="I79" s="728">
        <v>0</v>
      </c>
      <c r="J79" s="728">
        <v>0</v>
      </c>
      <c r="K79" s="728">
        <v>0</v>
      </c>
      <c r="L79" s="728">
        <v>0</v>
      </c>
      <c r="M79" s="3021"/>
      <c r="N79" s="3021"/>
      <c r="O79" s="3561"/>
    </row>
    <row r="80" spans="1:17" s="2490" customFormat="1" ht="13.5" customHeight="1" thickBot="1">
      <c r="A80" s="3662"/>
      <c r="B80" s="1797" t="s">
        <v>18</v>
      </c>
      <c r="C80" s="3100"/>
      <c r="D80" s="1030">
        <f>+D81</f>
        <v>5672</v>
      </c>
      <c r="E80" s="1030">
        <f>+E81</f>
        <v>0</v>
      </c>
      <c r="F80" s="1057">
        <v>0</v>
      </c>
      <c r="G80" s="1030">
        <f>+G81</f>
        <v>5672</v>
      </c>
      <c r="H80" s="1052">
        <v>0</v>
      </c>
      <c r="I80" s="1052">
        <v>0</v>
      </c>
      <c r="J80" s="1052">
        <v>0</v>
      </c>
      <c r="K80" s="1052">
        <v>0</v>
      </c>
      <c r="L80" s="1052">
        <v>0</v>
      </c>
      <c r="M80" s="3021"/>
      <c r="N80" s="3021"/>
      <c r="O80" s="3561"/>
    </row>
    <row r="81" spans="1:16" s="2490" customFormat="1" ht="13.5" customHeight="1" thickBot="1">
      <c r="A81" s="3662"/>
      <c r="B81" s="891" t="s">
        <v>20</v>
      </c>
      <c r="C81" s="3088"/>
      <c r="D81" s="1682">
        <f>E81+F81+G81+H81+I81+J81+K81+L81</f>
        <v>5672</v>
      </c>
      <c r="E81" s="286">
        <v>0</v>
      </c>
      <c r="F81" s="1804">
        <v>0</v>
      </c>
      <c r="G81" s="1700">
        <v>5672</v>
      </c>
      <c r="H81" s="728">
        <v>0</v>
      </c>
      <c r="I81" s="728">
        <v>0</v>
      </c>
      <c r="J81" s="728">
        <v>0</v>
      </c>
      <c r="K81" s="728">
        <v>0</v>
      </c>
      <c r="L81" s="728">
        <v>0</v>
      </c>
      <c r="M81" s="3022"/>
      <c r="N81" s="3022"/>
      <c r="O81" s="3561"/>
      <c r="P81" s="888"/>
    </row>
    <row r="82" spans="1:16" ht="28.5" customHeight="1" thickBot="1">
      <c r="A82" s="193" t="s">
        <v>268</v>
      </c>
      <c r="B82" s="836"/>
      <c r="C82" s="836"/>
      <c r="D82" s="836"/>
      <c r="E82" s="836"/>
      <c r="F82" s="836"/>
      <c r="G82" s="836"/>
      <c r="H82" s="836"/>
      <c r="I82" s="836"/>
      <c r="J82" s="836"/>
      <c r="K82" s="836"/>
      <c r="L82" s="836"/>
      <c r="M82" s="837"/>
      <c r="N82" s="837"/>
      <c r="O82" s="838"/>
    </row>
    <row r="83" spans="1:16" ht="15.75" customHeight="1">
      <c r="A83" s="714"/>
      <c r="B83" s="222" t="s">
        <v>76</v>
      </c>
      <c r="C83" s="223"/>
      <c r="D83" s="224">
        <f>+D84+D85</f>
        <v>312355</v>
      </c>
      <c r="E83" s="224">
        <v>24302</v>
      </c>
      <c r="F83" s="224">
        <f t="shared" ref="F83" si="53">+F84+F85</f>
        <v>54161</v>
      </c>
      <c r="G83" s="224">
        <f t="shared" ref="G83:N83" si="54">+G84+G85</f>
        <v>208325</v>
      </c>
      <c r="H83" s="224">
        <f t="shared" si="54"/>
        <v>25567</v>
      </c>
      <c r="I83" s="224">
        <f t="shared" si="54"/>
        <v>0</v>
      </c>
      <c r="J83" s="224">
        <f t="shared" si="54"/>
        <v>0</v>
      </c>
      <c r="K83" s="224">
        <f t="shared" si="54"/>
        <v>0</v>
      </c>
      <c r="L83" s="224">
        <f t="shared" si="54"/>
        <v>0</v>
      </c>
      <c r="M83" s="152">
        <f t="shared" ref="M83" si="55">+M84+M85</f>
        <v>288053</v>
      </c>
      <c r="N83" s="152">
        <f t="shared" si="54"/>
        <v>233892</v>
      </c>
      <c r="O83" s="3469" t="s">
        <v>61</v>
      </c>
    </row>
    <row r="84" spans="1:16" ht="16.5" customHeight="1">
      <c r="A84" s="714"/>
      <c r="B84" s="214" t="s">
        <v>77</v>
      </c>
      <c r="C84" s="215"/>
      <c r="D84" s="216">
        <f>+D94+D98</f>
        <v>312355</v>
      </c>
      <c r="E84" s="216">
        <v>24302</v>
      </c>
      <c r="F84" s="216">
        <f t="shared" ref="F84:L84" si="56">+F94+F98</f>
        <v>54161</v>
      </c>
      <c r="G84" s="216">
        <f t="shared" si="56"/>
        <v>208325</v>
      </c>
      <c r="H84" s="216">
        <f t="shared" si="56"/>
        <v>25567</v>
      </c>
      <c r="I84" s="216">
        <f t="shared" si="56"/>
        <v>0</v>
      </c>
      <c r="J84" s="216">
        <f t="shared" si="56"/>
        <v>0</v>
      </c>
      <c r="K84" s="216">
        <f t="shared" si="56"/>
        <v>0</v>
      </c>
      <c r="L84" s="216">
        <f t="shared" si="56"/>
        <v>0</v>
      </c>
      <c r="M84" s="1090">
        <f>SUM(F84:K84)</f>
        <v>288053</v>
      </c>
      <c r="N84" s="1090">
        <f>SUM(G84:L84)</f>
        <v>233892</v>
      </c>
      <c r="O84" s="3470"/>
    </row>
    <row r="85" spans="1:16" ht="12.75" thickBot="1">
      <c r="A85" s="714"/>
      <c r="B85" s="892" t="s">
        <v>9</v>
      </c>
      <c r="C85" s="215"/>
      <c r="D85" s="216"/>
      <c r="E85" s="216"/>
      <c r="F85" s="216"/>
      <c r="G85" s="377"/>
      <c r="H85" s="377"/>
      <c r="I85" s="377"/>
      <c r="J85" s="377"/>
      <c r="K85" s="377"/>
      <c r="L85" s="377"/>
      <c r="M85" s="154">
        <f>SUM(F85:H85)</f>
        <v>0</v>
      </c>
      <c r="N85" s="154">
        <f>SUM(G85:I85)</f>
        <v>0</v>
      </c>
      <c r="O85" s="3470"/>
    </row>
    <row r="86" spans="1:16" ht="15.75" customHeight="1">
      <c r="A86" s="378"/>
      <c r="B86" s="183" t="s">
        <v>10</v>
      </c>
      <c r="C86" s="184"/>
      <c r="D86" s="158">
        <f>+D87</f>
        <v>312355</v>
      </c>
      <c r="E86" s="158">
        <v>24302</v>
      </c>
      <c r="F86" s="158">
        <f t="shared" ref="F86:L87" si="57">+F87</f>
        <v>54161</v>
      </c>
      <c r="G86" s="158">
        <f t="shared" si="57"/>
        <v>208325</v>
      </c>
      <c r="H86" s="158">
        <f t="shared" si="57"/>
        <v>25567</v>
      </c>
      <c r="I86" s="158">
        <f t="shared" si="57"/>
        <v>0</v>
      </c>
      <c r="J86" s="158">
        <f t="shared" si="57"/>
        <v>0</v>
      </c>
      <c r="K86" s="158">
        <f t="shared" si="57"/>
        <v>0</v>
      </c>
      <c r="L86" s="158">
        <f t="shared" si="57"/>
        <v>0</v>
      </c>
      <c r="M86" s="379">
        <f>+M87</f>
        <v>288053</v>
      </c>
      <c r="N86" s="379">
        <f>+N87</f>
        <v>233892</v>
      </c>
      <c r="O86" s="3470"/>
    </row>
    <row r="87" spans="1:16" ht="15" customHeight="1">
      <c r="A87" s="197"/>
      <c r="B87" s="159" t="s">
        <v>11</v>
      </c>
      <c r="C87" s="3472" t="s">
        <v>61</v>
      </c>
      <c r="D87" s="676">
        <f>+D88+D89</f>
        <v>312355</v>
      </c>
      <c r="E87" s="676">
        <v>24302</v>
      </c>
      <c r="F87" s="676">
        <f t="shared" si="57"/>
        <v>54161</v>
      </c>
      <c r="G87" s="676">
        <f t="shared" si="57"/>
        <v>208325</v>
      </c>
      <c r="H87" s="676">
        <f t="shared" si="57"/>
        <v>25567</v>
      </c>
      <c r="I87" s="676">
        <f t="shared" si="57"/>
        <v>0</v>
      </c>
      <c r="J87" s="676">
        <f t="shared" si="57"/>
        <v>0</v>
      </c>
      <c r="K87" s="676">
        <f t="shared" si="57"/>
        <v>0</v>
      </c>
      <c r="L87" s="676">
        <f t="shared" si="57"/>
        <v>0</v>
      </c>
      <c r="M87" s="677">
        <f>+M88+M89</f>
        <v>288053</v>
      </c>
      <c r="N87" s="677">
        <f>+N88+N89</f>
        <v>233892</v>
      </c>
      <c r="O87" s="3470"/>
    </row>
    <row r="88" spans="1:16" ht="15" customHeight="1" thickBot="1">
      <c r="A88" s="841"/>
      <c r="B88" s="162" t="s">
        <v>12</v>
      </c>
      <c r="C88" s="3473"/>
      <c r="D88" s="678">
        <f>+D96+D103+D107+D100</f>
        <v>312355</v>
      </c>
      <c r="E88" s="678">
        <v>24302</v>
      </c>
      <c r="F88" s="678">
        <f t="shared" ref="F88:L88" si="58">+F96+F103+F107+F100</f>
        <v>54161</v>
      </c>
      <c r="G88" s="678">
        <f t="shared" si="58"/>
        <v>208325</v>
      </c>
      <c r="H88" s="678">
        <f t="shared" si="58"/>
        <v>25567</v>
      </c>
      <c r="I88" s="678">
        <f t="shared" si="58"/>
        <v>0</v>
      </c>
      <c r="J88" s="678">
        <f t="shared" si="58"/>
        <v>0</v>
      </c>
      <c r="K88" s="678">
        <f t="shared" si="58"/>
        <v>0</v>
      </c>
      <c r="L88" s="678">
        <f t="shared" si="58"/>
        <v>0</v>
      </c>
      <c r="M88" s="635">
        <f>SUM(F88:K88)</f>
        <v>288053</v>
      </c>
      <c r="N88" s="635">
        <f>SUM(G88:L88)</f>
        <v>233892</v>
      </c>
      <c r="O88" s="3470"/>
    </row>
    <row r="89" spans="1:16" ht="12.75" hidden="1" thickBot="1">
      <c r="A89" s="841"/>
      <c r="B89" s="162" t="s">
        <v>14</v>
      </c>
      <c r="C89" s="3660"/>
      <c r="D89" s="678">
        <f>+D108</f>
        <v>0</v>
      </c>
      <c r="E89" s="1525">
        <v>0</v>
      </c>
      <c r="F89" s="678">
        <f t="shared" ref="F89:I89" si="59">+F108</f>
        <v>0</v>
      </c>
      <c r="G89" s="678">
        <f t="shared" si="59"/>
        <v>0</v>
      </c>
      <c r="H89" s="678">
        <f t="shared" si="59"/>
        <v>0</v>
      </c>
      <c r="I89" s="678">
        <f t="shared" si="59"/>
        <v>0</v>
      </c>
      <c r="J89" s="678"/>
      <c r="K89" s="678"/>
      <c r="L89" s="678"/>
      <c r="M89" s="550">
        <f>SUM(E89:K89)</f>
        <v>0</v>
      </c>
      <c r="N89" s="550">
        <f>SUM(F89:L89)</f>
        <v>0</v>
      </c>
      <c r="O89" s="3470"/>
    </row>
    <row r="90" spans="1:16" ht="12" hidden="1" customHeight="1">
      <c r="A90" s="378"/>
      <c r="B90" s="82" t="s">
        <v>22</v>
      </c>
      <c r="C90" s="91"/>
      <c r="D90" s="196">
        <f>+D91</f>
        <v>0</v>
      </c>
      <c r="E90" s="1526">
        <v>0</v>
      </c>
      <c r="F90" s="196">
        <f t="shared" ref="F90:I91" si="60">+F91</f>
        <v>0</v>
      </c>
      <c r="G90" s="196">
        <f t="shared" si="60"/>
        <v>0</v>
      </c>
      <c r="H90" s="196">
        <f t="shared" si="60"/>
        <v>0</v>
      </c>
      <c r="I90" s="196">
        <f t="shared" si="60"/>
        <v>0</v>
      </c>
      <c r="J90" s="196"/>
      <c r="K90" s="196"/>
      <c r="L90" s="196"/>
      <c r="M90" s="3426" t="s">
        <v>61</v>
      </c>
      <c r="N90" s="3426" t="s">
        <v>61</v>
      </c>
      <c r="O90" s="3470"/>
    </row>
    <row r="91" spans="1:16" ht="12" hidden="1" customHeight="1">
      <c r="A91" s="378"/>
      <c r="B91" s="159" t="s">
        <v>11</v>
      </c>
      <c r="C91" s="3472" t="s">
        <v>61</v>
      </c>
      <c r="D91" s="676">
        <f>+D92</f>
        <v>0</v>
      </c>
      <c r="E91" s="1524">
        <v>0</v>
      </c>
      <c r="F91" s="676">
        <f t="shared" si="60"/>
        <v>0</v>
      </c>
      <c r="G91" s="676">
        <f t="shared" si="60"/>
        <v>0</v>
      </c>
      <c r="H91" s="676">
        <f t="shared" si="60"/>
        <v>0</v>
      </c>
      <c r="I91" s="676">
        <f t="shared" si="60"/>
        <v>0</v>
      </c>
      <c r="J91" s="676"/>
      <c r="K91" s="676"/>
      <c r="L91" s="676"/>
      <c r="M91" s="3345"/>
      <c r="N91" s="3345"/>
      <c r="O91" s="3470"/>
    </row>
    <row r="92" spans="1:16" ht="12.75" hidden="1" customHeight="1" thickBot="1">
      <c r="A92" s="841"/>
      <c r="B92" s="162" t="s">
        <v>14</v>
      </c>
      <c r="C92" s="3473"/>
      <c r="D92" s="678">
        <f>+D111</f>
        <v>0</v>
      </c>
      <c r="E92" s="1525">
        <v>0</v>
      </c>
      <c r="F92" s="678">
        <f t="shared" ref="F92:I92" si="61">+F111</f>
        <v>0</v>
      </c>
      <c r="G92" s="678">
        <f t="shared" si="61"/>
        <v>0</v>
      </c>
      <c r="H92" s="678">
        <f t="shared" si="61"/>
        <v>0</v>
      </c>
      <c r="I92" s="678">
        <f t="shared" si="61"/>
        <v>0</v>
      </c>
      <c r="J92" s="385"/>
      <c r="K92" s="385"/>
      <c r="L92" s="385"/>
      <c r="M92" s="3346"/>
      <c r="N92" s="3346"/>
      <c r="O92" s="3471"/>
    </row>
    <row r="93" spans="1:16" ht="18" customHeight="1">
      <c r="A93" s="3432" t="s">
        <v>63</v>
      </c>
      <c r="B93" s="386" t="s">
        <v>546</v>
      </c>
      <c r="C93" s="661" t="s">
        <v>109</v>
      </c>
      <c r="D93" s="893"/>
      <c r="E93" s="1527"/>
      <c r="F93" s="894"/>
      <c r="G93" s="894"/>
      <c r="H93" s="894"/>
      <c r="I93" s="894"/>
      <c r="J93" s="894"/>
      <c r="K93" s="894"/>
      <c r="L93" s="894"/>
      <c r="M93" s="356"/>
      <c r="N93" s="356"/>
      <c r="O93" s="3453" t="s">
        <v>329</v>
      </c>
    </row>
    <row r="94" spans="1:16" ht="17.25" customHeight="1">
      <c r="A94" s="3433"/>
      <c r="B94" s="82" t="s">
        <v>10</v>
      </c>
      <c r="C94" s="895"/>
      <c r="D94" s="533">
        <f>+D95</f>
        <v>103580</v>
      </c>
      <c r="E94" s="533">
        <f t="shared" ref="E94:N95" si="62">+E95</f>
        <v>24302</v>
      </c>
      <c r="F94" s="533">
        <f t="shared" si="62"/>
        <v>26855</v>
      </c>
      <c r="G94" s="533">
        <f t="shared" si="62"/>
        <v>26856</v>
      </c>
      <c r="H94" s="533">
        <f t="shared" si="62"/>
        <v>25567</v>
      </c>
      <c r="I94" s="679">
        <v>0</v>
      </c>
      <c r="J94" s="679">
        <v>0</v>
      </c>
      <c r="K94" s="679">
        <v>0</v>
      </c>
      <c r="L94" s="679">
        <v>0</v>
      </c>
      <c r="M94" s="680">
        <f t="shared" si="62"/>
        <v>79278</v>
      </c>
      <c r="N94" s="680">
        <f t="shared" si="62"/>
        <v>52423</v>
      </c>
      <c r="O94" s="3658"/>
    </row>
    <row r="95" spans="1:16" ht="15.75" customHeight="1">
      <c r="A95" s="3433"/>
      <c r="B95" s="681" t="s">
        <v>24</v>
      </c>
      <c r="C95" s="3479" t="s">
        <v>269</v>
      </c>
      <c r="D95" s="682">
        <f>+D96</f>
        <v>103580</v>
      </c>
      <c r="E95" s="682">
        <f t="shared" si="62"/>
        <v>24302</v>
      </c>
      <c r="F95" s="682">
        <f t="shared" si="62"/>
        <v>26855</v>
      </c>
      <c r="G95" s="682">
        <f t="shared" si="62"/>
        <v>26856</v>
      </c>
      <c r="H95" s="682">
        <f t="shared" si="62"/>
        <v>25567</v>
      </c>
      <c r="I95" s="683">
        <v>0</v>
      </c>
      <c r="J95" s="683">
        <v>0</v>
      </c>
      <c r="K95" s="683">
        <v>0</v>
      </c>
      <c r="L95" s="683">
        <v>0</v>
      </c>
      <c r="M95" s="684">
        <f t="shared" si="62"/>
        <v>79278</v>
      </c>
      <c r="N95" s="684">
        <f t="shared" si="62"/>
        <v>52423</v>
      </c>
      <c r="O95" s="3658"/>
    </row>
    <row r="96" spans="1:16" ht="15" customHeight="1" thickBot="1">
      <c r="A96" s="3434"/>
      <c r="B96" s="685" t="s">
        <v>12</v>
      </c>
      <c r="C96" s="3435"/>
      <c r="D96" s="1682">
        <f>E96+F96+G96+H96+I96+J96+K96+L96</f>
        <v>103580</v>
      </c>
      <c r="E96" s="286">
        <v>24302</v>
      </c>
      <c r="F96" s="599">
        <v>26855</v>
      </c>
      <c r="G96" s="599">
        <v>26856</v>
      </c>
      <c r="H96" s="599">
        <v>25567</v>
      </c>
      <c r="I96" s="686">
        <v>0</v>
      </c>
      <c r="J96" s="686">
        <v>0</v>
      </c>
      <c r="K96" s="686">
        <v>0</v>
      </c>
      <c r="L96" s="686">
        <v>0</v>
      </c>
      <c r="M96" s="635">
        <f>SUM(F96:K96)</f>
        <v>79278</v>
      </c>
      <c r="N96" s="635">
        <f>SUM(G96:L96)</f>
        <v>52423</v>
      </c>
      <c r="O96" s="3659"/>
    </row>
    <row r="97" spans="1:17" ht="25.5" customHeight="1">
      <c r="A97" s="3432" t="s">
        <v>64</v>
      </c>
      <c r="B97" s="386" t="s">
        <v>404</v>
      </c>
      <c r="C97" s="661" t="s">
        <v>109</v>
      </c>
      <c r="D97" s="893"/>
      <c r="E97" s="1527"/>
      <c r="F97" s="894"/>
      <c r="G97" s="894"/>
      <c r="H97" s="894"/>
      <c r="I97" s="894"/>
      <c r="J97" s="894"/>
      <c r="K97" s="894"/>
      <c r="L97" s="894"/>
      <c r="M97" s="356"/>
      <c r="N97" s="356"/>
      <c r="O97" s="3453" t="s">
        <v>323</v>
      </c>
      <c r="Q97" s="653">
        <f>+N98+N94</f>
        <v>233892</v>
      </c>
    </row>
    <row r="98" spans="1:17" ht="17.25" customHeight="1">
      <c r="A98" s="3433"/>
      <c r="B98" s="82" t="s">
        <v>10</v>
      </c>
      <c r="C98" s="895"/>
      <c r="D98" s="533">
        <f>+D99</f>
        <v>208775</v>
      </c>
      <c r="E98" s="679">
        <f t="shared" ref="E98:N99" si="63">+E99</f>
        <v>0</v>
      </c>
      <c r="F98" s="533">
        <f t="shared" si="63"/>
        <v>27306</v>
      </c>
      <c r="G98" s="533">
        <f t="shared" si="63"/>
        <v>181469</v>
      </c>
      <c r="H98" s="679">
        <f t="shared" si="63"/>
        <v>0</v>
      </c>
      <c r="I98" s="679">
        <v>0</v>
      </c>
      <c r="J98" s="679">
        <v>0</v>
      </c>
      <c r="K98" s="679">
        <v>0</v>
      </c>
      <c r="L98" s="2106">
        <v>0</v>
      </c>
      <c r="M98" s="1997">
        <f t="shared" si="63"/>
        <v>208775</v>
      </c>
      <c r="N98" s="1997">
        <f t="shared" si="63"/>
        <v>181469</v>
      </c>
      <c r="O98" s="3658"/>
    </row>
    <row r="99" spans="1:17" ht="15.75" customHeight="1">
      <c r="A99" s="3433"/>
      <c r="B99" s="681" t="s">
        <v>24</v>
      </c>
      <c r="C99" s="3479" t="s">
        <v>403</v>
      </c>
      <c r="D99" s="2734">
        <f>+D100</f>
        <v>208775</v>
      </c>
      <c r="E99" s="1801">
        <f t="shared" si="63"/>
        <v>0</v>
      </c>
      <c r="F99" s="2734">
        <f t="shared" si="63"/>
        <v>27306</v>
      </c>
      <c r="G99" s="2734">
        <f t="shared" si="63"/>
        <v>181469</v>
      </c>
      <c r="H99" s="1801">
        <f t="shared" si="63"/>
        <v>0</v>
      </c>
      <c r="I99" s="1801">
        <v>0</v>
      </c>
      <c r="J99" s="1801">
        <v>0</v>
      </c>
      <c r="K99" s="1801">
        <v>0</v>
      </c>
      <c r="L99" s="2748">
        <v>0</v>
      </c>
      <c r="M99" s="2749">
        <f t="shared" si="63"/>
        <v>208775</v>
      </c>
      <c r="N99" s="2749">
        <f t="shared" si="63"/>
        <v>181469</v>
      </c>
      <c r="O99" s="3658"/>
    </row>
    <row r="100" spans="1:17" ht="15" customHeight="1" thickBot="1">
      <c r="A100" s="3434"/>
      <c r="B100" s="685" t="s">
        <v>12</v>
      </c>
      <c r="C100" s="3435"/>
      <c r="D100" s="1008">
        <f>E100+F100+G100+H100+I100+J100+K100+L100</f>
        <v>208775</v>
      </c>
      <c r="E100" s="686">
        <v>0</v>
      </c>
      <c r="F100" s="599">
        <f>34000-6694</f>
        <v>27306</v>
      </c>
      <c r="G100" s="599">
        <f>166000+15469</f>
        <v>181469</v>
      </c>
      <c r="H100" s="686">
        <v>0</v>
      </c>
      <c r="I100" s="686">
        <v>0</v>
      </c>
      <c r="J100" s="686">
        <v>0</v>
      </c>
      <c r="K100" s="686">
        <v>0</v>
      </c>
      <c r="L100" s="2463">
        <v>0</v>
      </c>
      <c r="M100" s="2735">
        <f>SUM(F100:K100)</f>
        <v>208775</v>
      </c>
      <c r="N100" s="2466">
        <f>SUM(G100:L100)</f>
        <v>181469</v>
      </c>
      <c r="O100" s="3659"/>
    </row>
    <row r="101" spans="1:17" ht="30" customHeight="1">
      <c r="A101" s="3644"/>
      <c r="B101" s="3644"/>
      <c r="C101" s="3644"/>
      <c r="D101" s="3644"/>
      <c r="E101" s="3644"/>
      <c r="F101" s="3644"/>
      <c r="G101" s="3644"/>
      <c r="H101" s="3644"/>
      <c r="I101" s="3644"/>
      <c r="J101" s="3644"/>
      <c r="K101" s="3644"/>
      <c r="L101" s="3644"/>
      <c r="M101" s="2491"/>
      <c r="N101" s="3644"/>
      <c r="O101" s="3644"/>
    </row>
    <row r="103" spans="1:17" ht="12.75" hidden="1">
      <c r="B103" s="1547" t="s">
        <v>408</v>
      </c>
      <c r="C103" s="1624"/>
      <c r="D103" s="1624"/>
      <c r="E103" s="1624"/>
      <c r="F103" s="1624"/>
      <c r="G103" s="1624"/>
      <c r="H103" s="1624"/>
      <c r="I103" s="1624"/>
      <c r="J103" s="1624"/>
      <c r="K103" s="1624"/>
      <c r="L103" s="1624"/>
    </row>
    <row r="104" spans="1:17" ht="12.75" hidden="1">
      <c r="B104" s="1625" t="s">
        <v>409</v>
      </c>
      <c r="C104" s="1624"/>
      <c r="D104" s="1626">
        <f t="shared" ref="D104:L104" si="64">D30+D39+D66</f>
        <v>1968205</v>
      </c>
      <c r="E104" s="1626">
        <f t="shared" si="64"/>
        <v>0</v>
      </c>
      <c r="F104" s="1626">
        <f t="shared" si="64"/>
        <v>406577</v>
      </c>
      <c r="G104" s="1626">
        <f t="shared" si="64"/>
        <v>711705</v>
      </c>
      <c r="H104" s="1626">
        <f t="shared" si="64"/>
        <v>619162</v>
      </c>
      <c r="I104" s="1626">
        <f t="shared" si="64"/>
        <v>131451</v>
      </c>
      <c r="J104" s="1626">
        <f t="shared" si="64"/>
        <v>99310</v>
      </c>
      <c r="K104" s="1626">
        <f t="shared" si="64"/>
        <v>0</v>
      </c>
      <c r="L104" s="1626">
        <f t="shared" si="64"/>
        <v>0</v>
      </c>
    </row>
    <row r="105" spans="1:17" ht="12.75" hidden="1">
      <c r="B105" s="1625" t="s">
        <v>410</v>
      </c>
      <c r="C105" s="1624"/>
      <c r="D105" s="1626">
        <f>D77</f>
        <v>7561</v>
      </c>
      <c r="E105" s="1626">
        <v>0</v>
      </c>
      <c r="F105" s="1626">
        <f>F77</f>
        <v>0</v>
      </c>
      <c r="G105" s="1626">
        <f>G77</f>
        <v>7561</v>
      </c>
      <c r="H105" s="1626">
        <f t="shared" ref="H105:L105" si="65">H77</f>
        <v>0</v>
      </c>
      <c r="I105" s="1626">
        <f t="shared" si="65"/>
        <v>0</v>
      </c>
      <c r="J105" s="1626">
        <f t="shared" si="65"/>
        <v>0</v>
      </c>
      <c r="K105" s="1626">
        <f t="shared" si="65"/>
        <v>0</v>
      </c>
      <c r="L105" s="1626">
        <f t="shared" si="65"/>
        <v>0</v>
      </c>
    </row>
    <row r="106" spans="1:17" ht="12.75" hidden="1">
      <c r="B106" s="1625" t="s">
        <v>411</v>
      </c>
      <c r="C106" s="1624"/>
      <c r="D106" s="1545">
        <f>D104+D105</f>
        <v>1975766</v>
      </c>
      <c r="E106" s="1545">
        <f>E104+E105</f>
        <v>0</v>
      </c>
      <c r="F106" s="1545">
        <f t="shared" ref="F106:L106" si="66">F104+F105</f>
        <v>406577</v>
      </c>
      <c r="G106" s="1545">
        <f t="shared" si="66"/>
        <v>719266</v>
      </c>
      <c r="H106" s="1545">
        <f t="shared" si="66"/>
        <v>619162</v>
      </c>
      <c r="I106" s="1545">
        <f t="shared" si="66"/>
        <v>131451</v>
      </c>
      <c r="J106" s="1545">
        <f t="shared" si="66"/>
        <v>99310</v>
      </c>
      <c r="K106" s="1545">
        <f t="shared" si="66"/>
        <v>0</v>
      </c>
      <c r="L106" s="1545">
        <f t="shared" si="66"/>
        <v>0</v>
      </c>
    </row>
    <row r="107" spans="1:17" ht="12.75" hidden="1">
      <c r="B107" s="1541" t="s">
        <v>42</v>
      </c>
      <c r="C107" s="1543"/>
      <c r="D107" s="1546">
        <f t="shared" ref="D107:L107" si="67">D106-D18</f>
        <v>0</v>
      </c>
      <c r="E107" s="1546">
        <f t="shared" si="67"/>
        <v>0</v>
      </c>
      <c r="F107" s="1546">
        <f t="shared" si="67"/>
        <v>0</v>
      </c>
      <c r="G107" s="1546">
        <f t="shared" si="67"/>
        <v>0</v>
      </c>
      <c r="H107" s="1546">
        <f t="shared" si="67"/>
        <v>0</v>
      </c>
      <c r="I107" s="1546">
        <f t="shared" si="67"/>
        <v>0</v>
      </c>
      <c r="J107" s="1546">
        <f t="shared" si="67"/>
        <v>0</v>
      </c>
      <c r="K107" s="1546">
        <f t="shared" si="67"/>
        <v>0</v>
      </c>
      <c r="L107" s="1546">
        <f t="shared" si="67"/>
        <v>0</v>
      </c>
    </row>
  </sheetData>
  <mergeCells count="54">
    <mergeCell ref="F5:F6"/>
    <mergeCell ref="G5:L5"/>
    <mergeCell ref="A97:A100"/>
    <mergeCell ref="O97:O100"/>
    <mergeCell ref="C99:C100"/>
    <mergeCell ref="N18:N23"/>
    <mergeCell ref="A53:A70"/>
    <mergeCell ref="A42:A52"/>
    <mergeCell ref="O42:O52"/>
    <mergeCell ref="C44:C47"/>
    <mergeCell ref="C51:C52"/>
    <mergeCell ref="N48:N52"/>
    <mergeCell ref="N66:N70"/>
    <mergeCell ref="C55:C62"/>
    <mergeCell ref="C67:C70"/>
    <mergeCell ref="O53:O70"/>
    <mergeCell ref="O33:O41"/>
    <mergeCell ref="N39:N41"/>
    <mergeCell ref="A93:A96"/>
    <mergeCell ref="O93:O96"/>
    <mergeCell ref="C95:C96"/>
    <mergeCell ref="O83:O92"/>
    <mergeCell ref="C87:C89"/>
    <mergeCell ref="N90:N92"/>
    <mergeCell ref="C91:C92"/>
    <mergeCell ref="A71:A81"/>
    <mergeCell ref="O71:O81"/>
    <mergeCell ref="N77:N81"/>
    <mergeCell ref="C73:C76"/>
    <mergeCell ref="C78:C81"/>
    <mergeCell ref="M66:M70"/>
    <mergeCell ref="M77:M81"/>
    <mergeCell ref="A101:L101"/>
    <mergeCell ref="N101:O101"/>
    <mergeCell ref="A4:O4"/>
    <mergeCell ref="B5:B6"/>
    <mergeCell ref="C5:C6"/>
    <mergeCell ref="D5:D6"/>
    <mergeCell ref="O5:O6"/>
    <mergeCell ref="N5:N6"/>
    <mergeCell ref="A24:A32"/>
    <mergeCell ref="O24:O32"/>
    <mergeCell ref="C26:C29"/>
    <mergeCell ref="C31:C32"/>
    <mergeCell ref="N30:N32"/>
    <mergeCell ref="C35:C38"/>
    <mergeCell ref="C40:C41"/>
    <mergeCell ref="A33:A41"/>
    <mergeCell ref="M90:M92"/>
    <mergeCell ref="M5:M6"/>
    <mergeCell ref="M18:M23"/>
    <mergeCell ref="M30:M32"/>
    <mergeCell ref="M39:M41"/>
    <mergeCell ref="M48:M52"/>
  </mergeCells>
  <printOptions horizontalCentered="1"/>
  <pageMargins left="0.31496062992125984" right="0.31496062992125984" top="0.59055118110236227" bottom="0.35433070866141736" header="0.31496062992125984" footer="0.11811023622047245"/>
  <pageSetup paperSize="9" scale="69" firstPageNumber="56" orientation="landscape" useFirstPageNumber="1" r:id="rId1"/>
  <headerFooter>
    <oddHeader>&amp;C&amp;"Arial,Kursywa"Wieloletnia prognoza finansowa Województwa Zachodniopomorskiego&amp;"Arial,Normalny"
____________________________________________________________________________________________________________________</oddHeader>
    <oddFooter>&amp;C&amp;9&amp;P</oddFooter>
  </headerFooter>
  <rowBreaks count="1" manualBreakCount="1">
    <brk id="70" max="2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15"/>
  </sheetPr>
  <dimension ref="A1:S1012"/>
  <sheetViews>
    <sheetView zoomScale="106" zoomScaleNormal="106" zoomScaleSheetLayoutView="90" workbookViewId="0">
      <pane xSplit="7" ySplit="8" topLeftCell="I9" activePane="bottomRight" state="frozen"/>
      <selection pane="topRight" activeCell="H1" sqref="H1"/>
      <selection pane="bottomLeft" activeCell="A9" sqref="A9"/>
      <selection pane="bottomRight" sqref="A1:M1"/>
    </sheetView>
  </sheetViews>
  <sheetFormatPr defaultColWidth="9.140625" defaultRowHeight="12.75" outlineLevelCol="1"/>
  <cols>
    <col min="1" max="1" width="13.28515625" style="1648" customWidth="1"/>
    <col min="2" max="2" width="35.85546875" style="1159" customWidth="1"/>
    <col min="3" max="3" width="14.7109375" style="1649" customWidth="1"/>
    <col min="4" max="10" width="12.7109375" style="1160" customWidth="1"/>
    <col min="11" max="11" width="14" style="1159" customWidth="1"/>
    <col min="12" max="13" width="14.42578125" style="1159" customWidth="1"/>
    <col min="14" max="15" width="14.42578125" style="1159" hidden="1" customWidth="1"/>
    <col min="16" max="16" width="14.85546875" style="1627" hidden="1" customWidth="1"/>
    <col min="17" max="17" width="11.85546875" style="1162" hidden="1" customWidth="1" outlineLevel="1"/>
    <col min="18" max="18" width="13.28515625" style="1162" hidden="1" customWidth="1" outlineLevel="1"/>
    <col min="19" max="19" width="20.140625" style="1159" hidden="1" customWidth="1" collapsed="1"/>
    <col min="20" max="21" width="9.140625" style="1159"/>
    <col min="22" max="22" width="9.7109375" style="1159" bestFit="1" customWidth="1"/>
    <col min="23" max="16384" width="9.140625" style="1159"/>
  </cols>
  <sheetData>
    <row r="1" spans="1:19" ht="68.25" customHeight="1">
      <c r="A1" s="3694" t="s">
        <v>177</v>
      </c>
      <c r="B1" s="3694"/>
      <c r="C1" s="3694"/>
      <c r="D1" s="3694"/>
      <c r="E1" s="3694"/>
      <c r="F1" s="3694"/>
      <c r="G1" s="3694"/>
      <c r="H1" s="3694"/>
      <c r="I1" s="3694"/>
      <c r="J1" s="3694"/>
      <c r="K1" s="3694"/>
      <c r="L1" s="3694"/>
      <c r="M1" s="3695"/>
      <c r="N1" s="2986"/>
      <c r="O1" s="2986"/>
    </row>
    <row r="2" spans="1:19" ht="15.75" customHeight="1" thickBot="1">
      <c r="A2" s="2985"/>
      <c r="B2" s="2985"/>
      <c r="C2" s="2985"/>
      <c r="D2" s="2985"/>
      <c r="E2" s="2985"/>
      <c r="F2" s="2985"/>
      <c r="G2" s="2985"/>
      <c r="H2" s="2985"/>
      <c r="I2" s="2985"/>
      <c r="J2" s="2985"/>
      <c r="K2" s="2985"/>
      <c r="L2" s="2986"/>
      <c r="M2" s="2986"/>
      <c r="N2" s="2986"/>
      <c r="O2" s="2986"/>
    </row>
    <row r="3" spans="1:19" ht="34.5" customHeight="1">
      <c r="A3" s="3696" t="s">
        <v>4</v>
      </c>
      <c r="B3" s="3697"/>
      <c r="C3" s="3706" t="s">
        <v>263</v>
      </c>
      <c r="D3" s="3017" t="s">
        <v>533</v>
      </c>
      <c r="E3" s="3146" t="s">
        <v>474</v>
      </c>
      <c r="F3" s="3147"/>
      <c r="G3" s="3147"/>
      <c r="H3" s="3147"/>
      <c r="I3" s="3147"/>
      <c r="J3" s="3148"/>
      <c r="K3" s="3007" t="s">
        <v>3</v>
      </c>
      <c r="L3" s="3702" t="s">
        <v>498</v>
      </c>
      <c r="M3" s="3702" t="s">
        <v>480</v>
      </c>
      <c r="N3" s="2736"/>
      <c r="O3" s="2736"/>
    </row>
    <row r="4" spans="1:19" ht="19.5" customHeight="1">
      <c r="A4" s="3698"/>
      <c r="B4" s="3699"/>
      <c r="C4" s="3707"/>
      <c r="D4" s="3018"/>
      <c r="E4" s="3708" t="s">
        <v>6</v>
      </c>
      <c r="F4" s="3708" t="s">
        <v>207</v>
      </c>
      <c r="G4" s="3708" t="s">
        <v>208</v>
      </c>
      <c r="H4" s="3708" t="s">
        <v>256</v>
      </c>
      <c r="I4" s="3708" t="s">
        <v>257</v>
      </c>
      <c r="J4" s="3708" t="s">
        <v>258</v>
      </c>
      <c r="K4" s="3008"/>
      <c r="L4" s="3703"/>
      <c r="M4" s="3703"/>
      <c r="N4" s="2736"/>
      <c r="O4" s="2736"/>
    </row>
    <row r="5" spans="1:19" ht="18.75" customHeight="1" thickBot="1">
      <c r="A5" s="3700"/>
      <c r="B5" s="3701"/>
      <c r="C5" s="1628" t="s">
        <v>454</v>
      </c>
      <c r="D5" s="3019"/>
      <c r="E5" s="3019"/>
      <c r="F5" s="3019"/>
      <c r="G5" s="3019"/>
      <c r="H5" s="3019"/>
      <c r="I5" s="3019"/>
      <c r="J5" s="3019"/>
      <c r="K5" s="3008"/>
      <c r="L5" s="3703"/>
      <c r="M5" s="3703"/>
      <c r="N5" s="2736"/>
      <c r="O5" s="2736"/>
    </row>
    <row r="6" spans="1:19" s="1184" customFormat="1" ht="14.25" customHeight="1" thickBot="1">
      <c r="A6" s="3704">
        <v>1</v>
      </c>
      <c r="B6" s="3705"/>
      <c r="C6" s="1629">
        <v>2</v>
      </c>
      <c r="D6" s="1630">
        <v>3</v>
      </c>
      <c r="E6" s="1630">
        <v>4</v>
      </c>
      <c r="F6" s="1630">
        <v>5</v>
      </c>
      <c r="G6" s="1630">
        <v>6</v>
      </c>
      <c r="H6" s="1630">
        <v>7</v>
      </c>
      <c r="I6" s="1630">
        <v>8</v>
      </c>
      <c r="J6" s="1630">
        <v>9</v>
      </c>
      <c r="K6" s="1630">
        <v>10</v>
      </c>
      <c r="L6" s="1631">
        <v>11</v>
      </c>
      <c r="M6" s="1631">
        <v>11</v>
      </c>
      <c r="N6" s="2737"/>
      <c r="O6" s="2737"/>
      <c r="P6" s="1632"/>
      <c r="Q6" s="235"/>
      <c r="R6" s="235"/>
    </row>
    <row r="7" spans="1:19" s="1194" customFormat="1" ht="24.75" customHeight="1" thickBot="1">
      <c r="A7" s="3668" t="s">
        <v>178</v>
      </c>
      <c r="B7" s="3669"/>
      <c r="C7" s="1633">
        <f>'Tab. 6A -Drogi'!E35+'Tab. 6B Polit społ i rozwój prz'!E44+'Tab. 6B Polit społ i rozwój prz'!E85+'Tab. 6B Polit społ i rozwój prz'!E97+'Tab. 6E - Administracja'!E94-'Tab. 6E - Administracja'!E102+'Tab. 6E - Administracja'!E119-'Tab. 6E - Administracja'!E121+'Tab. 6E - Administracja'!E138++'Tab. 6H - Kultura fiz. i turyst'!E26+'Tab. 6H - Kultura fiz. i turyst'!E35+'Tab. 6H - Kultura fiz. i turyst'!E53+'Tab. 6H - Kultura fiz. i turyst'!E62+'Tab. 6H - Kultura fiz. i turyst'!E71+'Tab. 6H - Kultura fiz. i turyst'!E80+'Tab. 6H - Kultura fiz. i turyst'!E127+'Tab. 6H - Kultura fiz. i turyst'!E136+'Tab. 6B Polit społ i rozwój prz'!E109+'Tab. 6B Polit społ i rozwój prz'!E122+'Tab. 6B Polit społ i rozwój prz'!E134+'Tab. 6H - Kultura fiz. i turyst'!E44+'Tab. 6G - Roln i ochrona środ.'!E58+'Tab. 6G - Roln i ochrona środ.'!E67+'Tab. 6B Polit społ i rozwój prz'!E162+'Tab. 6B Polit społ i rozwój prz'!E144</f>
        <v>78160739</v>
      </c>
      <c r="D7" s="1633">
        <f>'Tab. 6A -Drogi'!F35+'Tab. 6B Polit społ i rozwój prz'!F44+'Tab. 6B Polit społ i rozwój prz'!F85+'Tab. 6B Polit społ i rozwój prz'!F97+'Tab. 6E - Administracja'!F94-'Tab. 6E - Administracja'!F102+'Tab. 6E - Administracja'!F119-'Tab. 6E - Administracja'!F121+'Tab. 6E - Administracja'!F138++'Tab. 6H - Kultura fiz. i turyst'!F26+'Tab. 6H - Kultura fiz. i turyst'!F35+'Tab. 6H - Kultura fiz. i turyst'!F53+'Tab. 6H - Kultura fiz. i turyst'!F62+'Tab. 6H - Kultura fiz. i turyst'!F71+'Tab. 6H - Kultura fiz. i turyst'!F80+'Tab. 6H - Kultura fiz. i turyst'!F127+'Tab. 6H - Kultura fiz. i turyst'!F136+'Tab. 6B Polit społ i rozwój prz'!F109+'Tab. 6B Polit społ i rozwój prz'!F122+'Tab. 6B Polit społ i rozwój prz'!F134+'Tab. 6H - Kultura fiz. i turyst'!F44+'Tab. 6G - Roln i ochrona środ.'!F58+'Tab. 6G - Roln i ochrona środ.'!F67+'Tab. 6B Polit społ i rozwój prz'!F162+'Tab. 6B Polit społ i rozwój prz'!F144</f>
        <v>274055596</v>
      </c>
      <c r="E7" s="1633">
        <f>'Tab. 6A -Drogi'!G35+'Tab. 6B Polit społ i rozwój prz'!G44+'Tab. 6B Polit społ i rozwój prz'!G85+'Tab. 6B Polit społ i rozwój prz'!G97+'Tab. 6E - Administracja'!G94-'Tab. 6E - Administracja'!G102+'Tab. 6E - Administracja'!G119-'Tab. 6E - Administracja'!G121+'Tab. 6E - Administracja'!G138++'Tab. 6H - Kultura fiz. i turyst'!G26+'Tab. 6H - Kultura fiz. i turyst'!G35+'Tab. 6H - Kultura fiz. i turyst'!G53+'Tab. 6H - Kultura fiz. i turyst'!G62+'Tab. 6H - Kultura fiz. i turyst'!G71+'Tab. 6H - Kultura fiz. i turyst'!G80+'Tab. 6H - Kultura fiz. i turyst'!G127+'Tab. 6H - Kultura fiz. i turyst'!G136+'Tab. 6B Polit społ i rozwój prz'!G109+'Tab. 6B Polit społ i rozwój prz'!G122+'Tab. 6B Polit społ i rozwój prz'!G134+'Tab. 6H - Kultura fiz. i turyst'!G44+'Tab. 6G - Roln i ochrona środ.'!G58+'Tab. 6G - Roln i ochrona środ.'!G67+'Tab. 6B Polit społ i rozwój prz'!G162+'Tab. 6B Polit społ i rozwój prz'!G144</f>
        <v>536741898</v>
      </c>
      <c r="F7" s="1633">
        <f>'Tab. 6A -Drogi'!H35+'Tab. 6B Polit społ i rozwój prz'!H44+'Tab. 6B Polit społ i rozwój prz'!H85+'Tab. 6B Polit społ i rozwój prz'!H97+'Tab. 6E - Administracja'!H94-'Tab. 6E - Administracja'!H102+'Tab. 6E - Administracja'!H119-'Tab. 6E - Administracja'!H121+'Tab. 6E - Administracja'!H138++'Tab. 6H - Kultura fiz. i turyst'!H26+'Tab. 6H - Kultura fiz. i turyst'!H35+'Tab. 6H - Kultura fiz. i turyst'!H53+'Tab. 6H - Kultura fiz. i turyst'!H62+'Tab. 6H - Kultura fiz. i turyst'!H71+'Tab. 6H - Kultura fiz. i turyst'!H80+'Tab. 6H - Kultura fiz. i turyst'!H127+'Tab. 6H - Kultura fiz. i turyst'!H136+'Tab. 6B Polit społ i rozwój prz'!H109+'Tab. 6B Polit społ i rozwój prz'!H122+'Tab. 6B Polit społ i rozwój prz'!H134+'Tab. 6H - Kultura fiz. i turyst'!H44+'Tab. 6G - Roln i ochrona środ.'!H58+'Tab. 6G - Roln i ochrona środ.'!H67+'Tab. 6B Polit społ i rozwój prz'!H162+'Tab. 6B Polit społ i rozwój prz'!H144</f>
        <v>134197351</v>
      </c>
      <c r="G7" s="1633">
        <f>'Tab. 6A -Drogi'!I35+'Tab. 6B Polit społ i rozwój prz'!I44+'Tab. 6B Polit społ i rozwój prz'!I85+'Tab. 6B Polit społ i rozwój prz'!I97+'Tab. 6E - Administracja'!I94-'Tab. 6E - Administracja'!I102+'Tab. 6E - Administracja'!I119-'Tab. 6E - Administracja'!I121+'Tab. 6E - Administracja'!I138++'Tab. 6H - Kultura fiz. i turyst'!I26+'Tab. 6H - Kultura fiz. i turyst'!I35+'Tab. 6H - Kultura fiz. i turyst'!I53+'Tab. 6H - Kultura fiz. i turyst'!I62+'Tab. 6H - Kultura fiz. i turyst'!I71+'Tab. 6H - Kultura fiz. i turyst'!I80+'Tab. 6H - Kultura fiz. i turyst'!I127+'Tab. 6H - Kultura fiz. i turyst'!I136+'Tab. 6B Polit społ i rozwój prz'!I109+'Tab. 6B Polit społ i rozwój prz'!I122+'Tab. 6B Polit społ i rozwój prz'!I134+'Tab. 6H - Kultura fiz. i turyst'!I44+'Tab. 6G - Roln i ochrona środ.'!I58+'Tab. 6G - Roln i ochrona środ.'!I67+'Tab. 6B Polit społ i rozwój prz'!I162+'Tab. 6B Polit społ i rozwój prz'!I144</f>
        <v>71377257</v>
      </c>
      <c r="H7" s="1633">
        <f>'Tab. 6A -Drogi'!J35+'Tab. 6B Polit społ i rozwój prz'!J44+'Tab. 6B Polit społ i rozwój prz'!J85+'Tab. 6B Polit społ i rozwój prz'!J97+'Tab. 6E - Administracja'!J94-'Tab. 6E - Administracja'!J102+'Tab. 6E - Administracja'!J119-'Tab. 6E - Administracja'!J121+'Tab. 6E - Administracja'!J138++'Tab. 6H - Kultura fiz. i turyst'!J26+'Tab. 6H - Kultura fiz. i turyst'!J35+'Tab. 6H - Kultura fiz. i turyst'!J53+'Tab. 6H - Kultura fiz. i turyst'!J62+'Tab. 6H - Kultura fiz. i turyst'!J71+'Tab. 6H - Kultura fiz. i turyst'!J80+'Tab. 6H - Kultura fiz. i turyst'!J127+'Tab. 6H - Kultura fiz. i turyst'!J136+'Tab. 6B Polit społ i rozwój prz'!J109+'Tab. 6B Polit społ i rozwój prz'!J122+'Tab. 6B Polit społ i rozwój prz'!J134+'Tab. 6H - Kultura fiz. i turyst'!J44+'Tab. 6G - Roln i ochrona środ.'!J58+'Tab. 6G - Roln i ochrona środ.'!J67+'Tab. 6B Polit społ i rozwój prz'!J162+'Tab. 6B Polit społ i rozwój prz'!J144</f>
        <v>36746034</v>
      </c>
      <c r="I7" s="1633">
        <f>'Tab. 6A -Drogi'!K35+'Tab. 6B Polit społ i rozwój prz'!K44+'Tab. 6B Polit społ i rozwój prz'!K85+'Tab. 6B Polit społ i rozwój prz'!K97+'Tab. 6E - Administracja'!K94-'Tab. 6E - Administracja'!K102+'Tab. 6E - Administracja'!K119-'Tab. 6E - Administracja'!K121+'Tab. 6E - Administracja'!K138++'Tab. 6H - Kultura fiz. i turyst'!K26+'Tab. 6H - Kultura fiz. i turyst'!K35+'Tab. 6H - Kultura fiz. i turyst'!K53+'Tab. 6H - Kultura fiz. i turyst'!K62+'Tab. 6H - Kultura fiz. i turyst'!K71+'Tab. 6H - Kultura fiz. i turyst'!K80+'Tab. 6H - Kultura fiz. i turyst'!K127+'Tab. 6H - Kultura fiz. i turyst'!K136+'Tab. 6B Polit społ i rozwój prz'!K109+'Tab. 6B Polit społ i rozwój prz'!K122+'Tab. 6B Polit społ i rozwój prz'!K134+'Tab. 6H - Kultura fiz. i turyst'!K44+'Tab. 6G - Roln i ochrona środ.'!K58+'Tab. 6G - Roln i ochrona środ.'!K67+'Tab. 6B Polit społ i rozwój prz'!K162+'Tab. 6B Polit społ i rozwój prz'!K144</f>
        <v>34520644</v>
      </c>
      <c r="J7" s="1633">
        <f>'Tab. 6A -Drogi'!L35+'Tab. 6B Polit społ i rozwój prz'!L44+'Tab. 6B Polit społ i rozwój prz'!L85+'Tab. 6B Polit społ i rozwój prz'!L97+'Tab. 6E - Administracja'!L94-'Tab. 6E - Administracja'!L102+'Tab. 6E - Administracja'!L119-'Tab. 6E - Administracja'!L121+'Tab. 6E - Administracja'!L138++'Tab. 6H - Kultura fiz. i turyst'!L26+'Tab. 6H - Kultura fiz. i turyst'!L35+'Tab. 6H - Kultura fiz. i turyst'!L53+'Tab. 6H - Kultura fiz. i turyst'!L62+'Tab. 6H - Kultura fiz. i turyst'!L71+'Tab. 6H - Kultura fiz. i turyst'!L80+'Tab. 6H - Kultura fiz. i turyst'!L127+'Tab. 6H - Kultura fiz. i turyst'!L136+'Tab. 6B Polit społ i rozwój prz'!L109+'Tab. 6B Polit społ i rozwój prz'!L122+'Tab. 6B Polit społ i rozwój prz'!L134+'Tab. 6H - Kultura fiz. i turyst'!L44+'Tab. 6G - Roln i ochrona środ.'!L58+'Tab. 6G - Roln i ochrona środ.'!L67+'Tab. 6B Polit społ i rozwój prz'!L162+'Tab. 6B Polit społ i rozwój prz'!L144</f>
        <v>33618488</v>
      </c>
      <c r="K7" s="1633">
        <f>C7+D7+E7+F7+G7+H7+I7+J7</f>
        <v>1199418007</v>
      </c>
      <c r="L7" s="1634">
        <f>+D7+E7+F7+G7+H7+I7+J7</f>
        <v>1121257268</v>
      </c>
      <c r="M7" s="1634">
        <f>+E7+F7+G7+H7+I7+J7</f>
        <v>847201672</v>
      </c>
      <c r="N7" s="2744">
        <f>E7/$E$45%</f>
        <v>91.208921222575597</v>
      </c>
      <c r="O7" s="2744">
        <f>E7/$O$48%</f>
        <v>44.859882094649073</v>
      </c>
      <c r="P7" s="1635">
        <f>'[1]projekty UE'!$K$7+'[1]projekty UE'!$N$7-C7</f>
        <v>161731681</v>
      </c>
      <c r="Q7" s="1218"/>
      <c r="R7" s="1218"/>
    </row>
    <row r="8" spans="1:19" s="1194" customFormat="1" ht="24.75" customHeight="1" thickBot="1">
      <c r="A8" s="3670" t="s">
        <v>179</v>
      </c>
      <c r="B8" s="3671"/>
      <c r="C8" s="1636">
        <f>'Tab. 6A -Drogi'!E43+'Tab. 6B Polit społ i rozwój prz'!E54+'Tab. 6B Polit społ i rozwój prz'!E91+'Tab. 6B Polit społ i rozwój prz'!E103+'Tab. 6E - Administracja'!E115+'Tab. 6E - Administracja'!E134+'Tab. 6E - Administracja'!E147+'Tab. 6H - Kultura fiz. i turyst'!E31+'Tab. 6H - Kultura fiz. i turyst'!E40+'Tab. 6H - Kultura fiz. i turyst'!E58+'Tab. 6H - Kultura fiz. i turyst'!E67+'Tab. 6H - Kultura fiz. i turyst'!E76+'Tab. 6H - Kultura fiz. i turyst'!E86+'Tab. 6H - Kultura fiz. i turyst'!E132+'Tab. 6H - Kultura fiz. i turyst'!E141+'Tab. 6B Polit społ i rozwój prz'!E118+'Tab. 6B Polit społ i rozwój prz'!E130+'Tab. 6B Polit społ i rozwój prz'!E140+'Tab. 6H - Kultura fiz. i turyst'!E49+'Tab. 6G - Roln i ochrona środ.'!E63+'Tab. 6G - Roln i ochrona środ.'!E72+'Tab. 6B Polit społ i rozwój prz'!E156+'Tab. 6B Polit społ i rozwój prz'!E168</f>
        <v>57218168</v>
      </c>
      <c r="D8" s="1636">
        <f>'Tab. 6A -Drogi'!F43+'Tab. 6B Polit społ i rozwój prz'!F54+'Tab. 6B Polit społ i rozwój prz'!F91+'Tab. 6B Polit społ i rozwój prz'!F103+'Tab. 6E - Administracja'!F115+'Tab. 6E - Administracja'!F134+'Tab. 6E - Administracja'!F147+'Tab. 6H - Kultura fiz. i turyst'!F31+'Tab. 6H - Kultura fiz. i turyst'!F40+'Tab. 6H - Kultura fiz. i turyst'!F58+'Tab. 6H - Kultura fiz. i turyst'!F67+'Tab. 6H - Kultura fiz. i turyst'!F76+'Tab. 6H - Kultura fiz. i turyst'!F86+'Tab. 6H - Kultura fiz. i turyst'!F132+'Tab. 6H - Kultura fiz. i turyst'!F141+'Tab. 6B Polit społ i rozwój prz'!F118+'Tab. 6B Polit społ i rozwój prz'!F130+'Tab. 6B Polit społ i rozwój prz'!F140+'Tab. 6H - Kultura fiz. i turyst'!F49+'Tab. 6G - Roln i ochrona środ.'!F63+'Tab. 6G - Roln i ochrona środ.'!F72+'Tab. 6B Polit społ i rozwój prz'!F156+'Tab. 6B Polit społ i rozwój prz'!F168</f>
        <v>217357297</v>
      </c>
      <c r="E8" s="1636">
        <f>'Tab. 6A -Drogi'!G43+'Tab. 6B Polit społ i rozwój prz'!G54+'Tab. 6B Polit społ i rozwój prz'!G91+'Tab. 6B Polit społ i rozwój prz'!G103+'Tab. 6E - Administracja'!G115+'Tab. 6E - Administracja'!G134+'Tab. 6E - Administracja'!G147+'Tab. 6H - Kultura fiz. i turyst'!G31+'Tab. 6H - Kultura fiz. i turyst'!G40+'Tab. 6H - Kultura fiz. i turyst'!G58+'Tab. 6H - Kultura fiz. i turyst'!G67+'Tab. 6H - Kultura fiz. i turyst'!G76+'Tab. 6H - Kultura fiz. i turyst'!G86+'Tab. 6H - Kultura fiz. i turyst'!G132+'Tab. 6H - Kultura fiz. i turyst'!G141+'Tab. 6B Polit społ i rozwój prz'!G118+'Tab. 6B Polit społ i rozwój prz'!G130+'Tab. 6B Polit społ i rozwój prz'!G140+'Tab. 6H - Kultura fiz. i turyst'!G49+'Tab. 6G - Roln i ochrona środ.'!G63+'Tab. 6G - Roln i ochrona środ.'!G72+'Tab. 6B Polit społ i rozwój prz'!G156+'Tab. 6B Polit społ i rozwój prz'!G168</f>
        <v>460133039</v>
      </c>
      <c r="F8" s="1636">
        <f>'Tab. 6A -Drogi'!H43+'Tab. 6B Polit społ i rozwój prz'!H54+'Tab. 6B Polit społ i rozwój prz'!H91+'Tab. 6B Polit społ i rozwój prz'!H103+'Tab. 6E - Administracja'!H115+'Tab. 6E - Administracja'!H134+'Tab. 6E - Administracja'!H147+'Tab. 6H - Kultura fiz. i turyst'!H31+'Tab. 6H - Kultura fiz. i turyst'!H40+'Tab. 6H - Kultura fiz. i turyst'!H58+'Tab. 6H - Kultura fiz. i turyst'!H67+'Tab. 6H - Kultura fiz. i turyst'!H76+'Tab. 6H - Kultura fiz. i turyst'!H86+'Tab. 6H - Kultura fiz. i turyst'!H132+'Tab. 6H - Kultura fiz. i turyst'!H141+'Tab. 6B Polit społ i rozwój prz'!H118+'Tab. 6B Polit społ i rozwój prz'!H130+'Tab. 6B Polit społ i rozwój prz'!H140+'Tab. 6H - Kultura fiz. i turyst'!H49+'Tab. 6G - Roln i ochrona środ.'!H63+'Tab. 6G - Roln i ochrona środ.'!H72+'Tab. 6B Polit społ i rozwój prz'!H156+'Tab. 6B Polit społ i rozwój prz'!H168</f>
        <v>120217841</v>
      </c>
      <c r="G8" s="1636">
        <f>'Tab. 6A -Drogi'!I43+'Tab. 6B Polit społ i rozwój prz'!I54+'Tab. 6B Polit społ i rozwój prz'!I91+'Tab. 6B Polit społ i rozwój prz'!I103+'Tab. 6E - Administracja'!I115+'Tab. 6E - Administracja'!I134+'Tab. 6E - Administracja'!I147+'Tab. 6H - Kultura fiz. i turyst'!I31+'Tab. 6H - Kultura fiz. i turyst'!I40+'Tab. 6H - Kultura fiz. i turyst'!I58+'Tab. 6H - Kultura fiz. i turyst'!I67+'Tab. 6H - Kultura fiz. i turyst'!I76+'Tab. 6H - Kultura fiz. i turyst'!I86+'Tab. 6H - Kultura fiz. i turyst'!I132+'Tab. 6H - Kultura fiz. i turyst'!I141+'Tab. 6B Polit społ i rozwój prz'!I118+'Tab. 6B Polit społ i rozwój prz'!I130+'Tab. 6B Polit społ i rozwój prz'!I140+'Tab. 6H - Kultura fiz. i turyst'!I49+'Tab. 6G - Roln i ochrona środ.'!I63+'Tab. 6G - Roln i ochrona środ.'!I72+'Tab. 6B Polit społ i rozwój prz'!I156+'Tab. 6B Polit społ i rozwój prz'!I168</f>
        <v>52662766</v>
      </c>
      <c r="H8" s="1636">
        <f>'Tab. 6A -Drogi'!J43+'Tab. 6B Polit społ i rozwój prz'!J54+'Tab. 6B Polit społ i rozwój prz'!J91+'Tab. 6B Polit społ i rozwój prz'!J103+'Tab. 6E - Administracja'!J115+'Tab. 6E - Administracja'!J134+'Tab. 6E - Administracja'!J147+'Tab. 6H - Kultura fiz. i turyst'!J31+'Tab. 6H - Kultura fiz. i turyst'!J40+'Tab. 6H - Kultura fiz. i turyst'!J58+'Tab. 6H - Kultura fiz. i turyst'!J67+'Tab. 6H - Kultura fiz. i turyst'!J76+'Tab. 6H - Kultura fiz. i turyst'!J86+'Tab. 6H - Kultura fiz. i turyst'!J132+'Tab. 6H - Kultura fiz. i turyst'!J141+'Tab. 6B Polit społ i rozwój prz'!J118+'Tab. 6B Polit społ i rozwój prz'!J130+'Tab. 6B Polit społ i rozwój prz'!J140+'Tab. 6H - Kultura fiz. i turyst'!J49+'Tab. 6G - Roln i ochrona środ.'!J63+'Tab. 6G - Roln i ochrona środ.'!J72+'Tab. 6B Polit społ i rozwój prz'!J156+'Tab. 6B Polit społ i rozwój prz'!J168</f>
        <v>30471862</v>
      </c>
      <c r="I8" s="1636">
        <f>'Tab. 6A -Drogi'!K43+'Tab. 6B Polit społ i rozwój prz'!K54+'Tab. 6B Polit społ i rozwój prz'!K91+'Tab. 6B Polit społ i rozwój prz'!K103+'Tab. 6E - Administracja'!K115+'Tab. 6E - Administracja'!K134+'Tab. 6E - Administracja'!K147+'Tab. 6H - Kultura fiz. i turyst'!K31+'Tab. 6H - Kultura fiz. i turyst'!K40+'Tab. 6H - Kultura fiz. i turyst'!K58+'Tab. 6H - Kultura fiz. i turyst'!K67+'Tab. 6H - Kultura fiz. i turyst'!K76+'Tab. 6H - Kultura fiz. i turyst'!K86+'Tab. 6H - Kultura fiz. i turyst'!K132+'Tab. 6H - Kultura fiz. i turyst'!K141+'Tab. 6B Polit społ i rozwój prz'!K118+'Tab. 6B Polit społ i rozwój prz'!K130+'Tab. 6B Polit społ i rozwój prz'!K140+'Tab. 6H - Kultura fiz. i turyst'!K49+'Tab. 6G - Roln i ochrona środ.'!K63+'Tab. 6G - Roln i ochrona środ.'!K72+'Tab. 6B Polit społ i rozwój prz'!K156+'Tab. 6B Polit społ i rozwój prz'!K168</f>
        <v>30200542</v>
      </c>
      <c r="J8" s="1636">
        <f>'Tab. 6A -Drogi'!L43+'Tab. 6B Polit społ i rozwój prz'!L54+'Tab. 6B Polit społ i rozwój prz'!L91+'Tab. 6B Polit społ i rozwój prz'!L103+'Tab. 6E - Administracja'!L115+'Tab. 6E - Administracja'!L134+'Tab. 6E - Administracja'!L147+'Tab. 6H - Kultura fiz. i turyst'!L31+'Tab. 6H - Kultura fiz. i turyst'!L40+'Tab. 6H - Kultura fiz. i turyst'!L58+'Tab. 6H - Kultura fiz. i turyst'!L67+'Tab. 6H - Kultura fiz. i turyst'!L76+'Tab. 6H - Kultura fiz. i turyst'!L86+'Tab. 6H - Kultura fiz. i turyst'!L132+'Tab. 6H - Kultura fiz. i turyst'!L141+'Tab. 6B Polit społ i rozwój prz'!L118+'Tab. 6B Polit społ i rozwój prz'!L130+'Tab. 6B Polit społ i rozwój prz'!L140+'Tab. 6H - Kultura fiz. i turyst'!L49+'Tab. 6G - Roln i ochrona środ.'!L63+'Tab. 6G - Roln i ochrona środ.'!L72+'Tab. 6B Polit społ i rozwój prz'!L156+'Tab. 6B Polit społ i rozwój prz'!L168</f>
        <v>29343698</v>
      </c>
      <c r="K8" s="1636">
        <f>+C8+D8+E8+F8+G8+H8+I8+J8+5028154+11590</f>
        <v>1002644957</v>
      </c>
      <c r="L8" s="1637" t="s">
        <v>61</v>
      </c>
      <c r="M8" s="1637" t="s">
        <v>61</v>
      </c>
      <c r="N8" s="2739"/>
      <c r="O8" s="2739"/>
      <c r="P8" s="1635">
        <f>'[1]projekty UE'!$K$8+'[1]projekty UE'!$N$8-C8</f>
        <v>147478664</v>
      </c>
      <c r="Q8" s="1218"/>
      <c r="R8" s="1218"/>
    </row>
    <row r="9" spans="1:19" s="1194" customFormat="1" ht="24.75" customHeight="1" thickBot="1">
      <c r="A9" s="2987" t="s">
        <v>180</v>
      </c>
      <c r="B9" s="2988"/>
      <c r="C9" s="1633"/>
      <c r="D9" s="1633"/>
      <c r="E9" s="1633"/>
      <c r="F9" s="1633"/>
      <c r="G9" s="1633"/>
      <c r="H9" s="1633"/>
      <c r="I9" s="1633"/>
      <c r="J9" s="1633"/>
      <c r="K9" s="1633"/>
      <c r="L9" s="1634">
        <f>+D9+E9+F9+G9+H9+I9+J9</f>
        <v>0</v>
      </c>
      <c r="M9" s="1634">
        <f>+E9+F9+G9+H9+I9+J9</f>
        <v>0</v>
      </c>
      <c r="N9" s="2738"/>
      <c r="O9" s="2738"/>
      <c r="P9" s="1635"/>
      <c r="Q9" s="1218"/>
      <c r="R9" s="1218"/>
      <c r="S9" s="1635"/>
    </row>
    <row r="10" spans="1:19" s="1194" customFormat="1" ht="24.75" customHeight="1" thickBot="1">
      <c r="A10" s="3670" t="s">
        <v>181</v>
      </c>
      <c r="B10" s="3671"/>
      <c r="C10" s="1636"/>
      <c r="D10" s="1636"/>
      <c r="E10" s="1636"/>
      <c r="F10" s="1636"/>
      <c r="G10" s="1636"/>
      <c r="H10" s="1636"/>
      <c r="I10" s="1636"/>
      <c r="J10" s="1636"/>
      <c r="K10" s="1636"/>
      <c r="L10" s="1637" t="s">
        <v>61</v>
      </c>
      <c r="M10" s="1637" t="s">
        <v>61</v>
      </c>
      <c r="N10" s="2739"/>
      <c r="O10" s="2739"/>
      <c r="P10" s="1635"/>
      <c r="Q10" s="1218"/>
      <c r="R10" s="1218"/>
    </row>
    <row r="11" spans="1:19" s="1194" customFormat="1" ht="24.75" customHeight="1" thickBot="1">
      <c r="A11" s="3668" t="s">
        <v>182</v>
      </c>
      <c r="B11" s="3669"/>
      <c r="C11" s="1633"/>
      <c r="D11" s="1633"/>
      <c r="E11" s="1633"/>
      <c r="F11" s="1633"/>
      <c r="G11" s="1633"/>
      <c r="H11" s="1633"/>
      <c r="I11" s="1633"/>
      <c r="J11" s="1633"/>
      <c r="K11" s="1633"/>
      <c r="L11" s="1634">
        <f>+D11+E11+F11+G11+H11+I11+J11</f>
        <v>0</v>
      </c>
      <c r="M11" s="1634">
        <f>+E11+F11+G11+H11+I11+J11</f>
        <v>0</v>
      </c>
      <c r="N11" s="2738"/>
      <c r="O11" s="2738"/>
      <c r="P11" s="1635"/>
      <c r="Q11" s="1218"/>
      <c r="R11" s="1218"/>
    </row>
    <row r="12" spans="1:19" s="1194" customFormat="1" ht="24.75" customHeight="1" thickBot="1">
      <c r="A12" s="3670" t="s">
        <v>183</v>
      </c>
      <c r="B12" s="3671"/>
      <c r="C12" s="1636"/>
      <c r="D12" s="1636"/>
      <c r="E12" s="1636"/>
      <c r="F12" s="1636"/>
      <c r="G12" s="1636"/>
      <c r="H12" s="1636"/>
      <c r="I12" s="1636"/>
      <c r="J12" s="1636"/>
      <c r="K12" s="1636"/>
      <c r="L12" s="1637" t="s">
        <v>61</v>
      </c>
      <c r="M12" s="1637" t="s">
        <v>61</v>
      </c>
      <c r="N12" s="2739"/>
      <c r="O12" s="2739"/>
      <c r="P12" s="1635"/>
      <c r="Q12" s="1218"/>
      <c r="R12" s="1218"/>
    </row>
    <row r="13" spans="1:19" s="1194" customFormat="1" ht="24.75" customHeight="1" thickBot="1">
      <c r="A13" s="3668" t="s">
        <v>184</v>
      </c>
      <c r="B13" s="3669"/>
      <c r="C13" s="1633">
        <f>+'Tab. 6G - Roln i ochrona środ.'!E44</f>
        <v>5960282</v>
      </c>
      <c r="D13" s="1633">
        <f>+'Tab. 6G - Roln i ochrona środ.'!F44</f>
        <v>3900000</v>
      </c>
      <c r="E13" s="1633">
        <f>+'Tab. 6G - Roln i ochrona środ.'!G44</f>
        <v>5500000</v>
      </c>
      <c r="F13" s="1633">
        <f>+'Tab. 6G - Roln i ochrona środ.'!H44</f>
        <v>2500000</v>
      </c>
      <c r="G13" s="1633">
        <f>+'Tab. 6G - Roln i ochrona środ.'!I44</f>
        <v>2720411</v>
      </c>
      <c r="H13" s="1633">
        <f>+'Tab. 6G - Roln i ochrona środ.'!J44</f>
        <v>1607579</v>
      </c>
      <c r="I13" s="1633">
        <f>+'Tab. 6G - Roln i ochrona środ.'!K44</f>
        <v>1607578</v>
      </c>
      <c r="J13" s="1633">
        <f>+'Tab. 6G - Roln i ochrona środ.'!L44</f>
        <v>1360206</v>
      </c>
      <c r="K13" s="1633">
        <f>C13+D13+E13+F13+G13+H13+I13+J13</f>
        <v>25156056</v>
      </c>
      <c r="L13" s="1634">
        <f>+D13+E13+F13+G13+H13+I13+J13</f>
        <v>19195774</v>
      </c>
      <c r="M13" s="1634">
        <f>+E13+F13+G13+H13+I13+J13</f>
        <v>15295774</v>
      </c>
      <c r="N13" s="2744">
        <f>E13/$E$45%</f>
        <v>0.93461879647071222</v>
      </c>
      <c r="O13" s="2744">
        <f>E13/$O$48%</f>
        <v>0.45967969416944959</v>
      </c>
      <c r="P13" s="1635">
        <f>'[1]projekty UE'!$K$13+'[1]projekty UE'!$N$13-C13</f>
        <v>0</v>
      </c>
      <c r="Q13" s="1218"/>
      <c r="R13" s="1218"/>
    </row>
    <row r="14" spans="1:19" s="1194" customFormat="1" ht="24.75" customHeight="1" thickBot="1">
      <c r="A14" s="3670" t="s">
        <v>185</v>
      </c>
      <c r="B14" s="3671"/>
      <c r="C14" s="1636">
        <f>+'Tab. 6G - Roln i ochrona środ.'!E50</f>
        <v>5960282</v>
      </c>
      <c r="D14" s="1636">
        <f>+'Tab. 6G - Roln i ochrona środ.'!F50</f>
        <v>3900000</v>
      </c>
      <c r="E14" s="1636">
        <f>+'Tab. 6G - Roln i ochrona środ.'!G50</f>
        <v>5500000</v>
      </c>
      <c r="F14" s="1636">
        <f>+'Tab. 6G - Roln i ochrona środ.'!H50</f>
        <v>2500000</v>
      </c>
      <c r="G14" s="1636">
        <f>+'Tab. 6G - Roln i ochrona środ.'!I50</f>
        <v>2720411</v>
      </c>
      <c r="H14" s="1636">
        <f>+'Tab. 6G - Roln i ochrona środ.'!J50</f>
        <v>1607579</v>
      </c>
      <c r="I14" s="1636">
        <f>+'Tab. 6G - Roln i ochrona środ.'!K50</f>
        <v>1607578</v>
      </c>
      <c r="J14" s="1636">
        <f>+'Tab. 6G - Roln i ochrona środ.'!L50</f>
        <v>1360206</v>
      </c>
      <c r="K14" s="1636">
        <f>+C14+D14+E14+F14+G14+H14+I14+J14</f>
        <v>25156056</v>
      </c>
      <c r="L14" s="1637" t="s">
        <v>61</v>
      </c>
      <c r="M14" s="1637" t="s">
        <v>61</v>
      </c>
      <c r="N14" s="2739"/>
      <c r="O14" s="2739"/>
      <c r="P14" s="1635">
        <f>'[1]projekty UE'!$K$14+'[1]projekty UE'!$N$14-C14</f>
        <v>0</v>
      </c>
      <c r="Q14" s="1218"/>
      <c r="R14" s="1218"/>
    </row>
    <row r="15" spans="1:19" s="1194" customFormat="1" ht="24.75" customHeight="1" thickBot="1">
      <c r="A15" s="2987" t="s">
        <v>186</v>
      </c>
      <c r="B15" s="2988"/>
      <c r="C15" s="1633"/>
      <c r="D15" s="1633"/>
      <c r="E15" s="1633"/>
      <c r="F15" s="1633"/>
      <c r="G15" s="1633"/>
      <c r="H15" s="1633"/>
      <c r="I15" s="1633"/>
      <c r="J15" s="1633"/>
      <c r="K15" s="1633">
        <f>C15+D15+E15+F15+G15+H15+I15+J15</f>
        <v>0</v>
      </c>
      <c r="L15" s="1634">
        <f>+D15+E15+F15+G15+H15+I15+J15</f>
        <v>0</v>
      </c>
      <c r="M15" s="1634">
        <f>+E15+F15+G15+H15+I15+J15</f>
        <v>0</v>
      </c>
      <c r="N15" s="2738"/>
      <c r="O15" s="2738"/>
      <c r="P15" s="1635"/>
      <c r="Q15" s="1218"/>
      <c r="R15" s="1218"/>
    </row>
    <row r="16" spans="1:19" s="1194" customFormat="1" ht="24.75" customHeight="1" thickBot="1">
      <c r="A16" s="3670" t="s">
        <v>187</v>
      </c>
      <c r="B16" s="3671"/>
      <c r="C16" s="1636"/>
      <c r="D16" s="1636"/>
      <c r="E16" s="1636"/>
      <c r="F16" s="1636"/>
      <c r="G16" s="1636"/>
      <c r="H16" s="1636"/>
      <c r="I16" s="1636"/>
      <c r="J16" s="1636"/>
      <c r="K16" s="1636"/>
      <c r="L16" s="1637" t="s">
        <v>61</v>
      </c>
      <c r="M16" s="1637" t="s">
        <v>61</v>
      </c>
      <c r="N16" s="2739"/>
      <c r="O16" s="2739"/>
      <c r="P16" s="1635"/>
      <c r="Q16" s="1218"/>
      <c r="R16" s="1218"/>
    </row>
    <row r="17" spans="1:19" s="1194" customFormat="1" ht="24.75" customHeight="1" thickBot="1">
      <c r="A17" s="3676" t="s">
        <v>188</v>
      </c>
      <c r="B17" s="3677"/>
      <c r="C17" s="1633">
        <f>+'Tab. 6G - Roln i ochrona środ.'!E33</f>
        <v>8982580</v>
      </c>
      <c r="D17" s="1633">
        <f>+'Tab. 6G - Roln i ochrona środ.'!F33</f>
        <v>3422125</v>
      </c>
      <c r="E17" s="1633">
        <f>+'Tab. 6G - Roln i ochrona środ.'!G33</f>
        <v>4297849</v>
      </c>
      <c r="F17" s="1633">
        <f>+'Tab. 6G - Roln i ochrona środ.'!H33</f>
        <v>3020669</v>
      </c>
      <c r="G17" s="1633">
        <f>+'Tab. 6G - Roln i ochrona środ.'!I33</f>
        <v>0</v>
      </c>
      <c r="H17" s="1633">
        <f>+'Tab. 6G - Roln i ochrona środ.'!J33</f>
        <v>0</v>
      </c>
      <c r="I17" s="1633">
        <f>+'Tab. 6G - Roln i ochrona środ.'!K33</f>
        <v>0</v>
      </c>
      <c r="J17" s="1633">
        <f>+'Tab. 6G - Roln i ochrona środ.'!L33</f>
        <v>0</v>
      </c>
      <c r="K17" s="1633">
        <f>C17+D17+E17+F17+G17+H17+I17+J17</f>
        <v>19723223</v>
      </c>
      <c r="L17" s="1634">
        <f>+D17+E17+F17+G17+H17+I17+J17</f>
        <v>10740643</v>
      </c>
      <c r="M17" s="1634">
        <f>+E17+F17+G17+H17+I17+J17</f>
        <v>7318518</v>
      </c>
      <c r="N17" s="2744">
        <f>E17/$E$45%</f>
        <v>0.73033644723506441</v>
      </c>
      <c r="O17" s="2744">
        <f>E17/$O$48%</f>
        <v>0.3592061661648136</v>
      </c>
      <c r="P17" s="1635">
        <f>'[1]projekty UE'!$K$17+'[1]projekty UE'!$N$17-C17</f>
        <v>0</v>
      </c>
      <c r="Q17" s="1218"/>
      <c r="R17" s="1218"/>
    </row>
    <row r="18" spans="1:19" s="1194" customFormat="1" ht="24.75" customHeight="1" thickBot="1">
      <c r="A18" s="3670" t="s">
        <v>189</v>
      </c>
      <c r="B18" s="3671"/>
      <c r="C18" s="1636">
        <f>+'Tab. 6G - Roln i ochrona środ.'!E38</f>
        <v>11297151</v>
      </c>
      <c r="D18" s="1636">
        <f>+'Tab. 6G - Roln i ochrona środ.'!F38</f>
        <v>3224125</v>
      </c>
      <c r="E18" s="1636">
        <f>+'Tab. 6G - Roln i ochrona środ.'!G38</f>
        <v>218416</v>
      </c>
      <c r="F18" s="1636">
        <f>+'Tab. 6G - Roln i ochrona środ.'!H38</f>
        <v>4983531</v>
      </c>
      <c r="G18" s="1636">
        <f>+'Tab. 6G - Roln i ochrona środ.'!I38</f>
        <v>0</v>
      </c>
      <c r="H18" s="1636">
        <f>+'Tab. 6G - Roln i ochrona środ.'!J38</f>
        <v>0</v>
      </c>
      <c r="I18" s="1636">
        <f>+'Tab. 6G - Roln i ochrona środ.'!K38</f>
        <v>0</v>
      </c>
      <c r="J18" s="1636">
        <f>+'Tab. 6G - Roln i ochrona środ.'!L38</f>
        <v>0</v>
      </c>
      <c r="K18" s="1636">
        <f>+C18+D18+E18+F18+G18+H18+I18+J18</f>
        <v>19723223</v>
      </c>
      <c r="L18" s="1637" t="s">
        <v>61</v>
      </c>
      <c r="M18" s="1637" t="s">
        <v>61</v>
      </c>
      <c r="N18" s="2739"/>
      <c r="O18" s="2739"/>
      <c r="P18" s="1635">
        <f>'[1]projekty UE'!$K$18+'[1]projekty UE'!$N$18-C18</f>
        <v>0</v>
      </c>
      <c r="Q18" s="1218"/>
      <c r="R18" s="1218"/>
    </row>
    <row r="19" spans="1:19" s="1194" customFormat="1" ht="24.75" customHeight="1" thickBot="1">
      <c r="A19" s="3672" t="s">
        <v>190</v>
      </c>
      <c r="B19" s="3673"/>
      <c r="C19" s="1633">
        <f>+'Tab. 6E - Administracja'!E72+'Tab. 6E - Administracja'!E83+'Tab. 6E - Administracja'!E215+'Tab. 6E - Administracja'!E216+'Tab. 6E - Administracja'!E219+'Tab. 6E - Administracja'!E226</f>
        <v>2763981</v>
      </c>
      <c r="D19" s="1633">
        <f>+'Tab. 6E - Administracja'!F72+'Tab. 6E - Administracja'!F83+'Tab. 6E - Administracja'!F215+'Tab. 6E - Administracja'!F216+'Tab. 6E - Administracja'!F219+'Tab. 6E - Administracja'!F226</f>
        <v>3125961</v>
      </c>
      <c r="E19" s="1633">
        <f>+'Tab. 6E - Administracja'!G72+'Tab. 6E - Administracja'!G83+'Tab. 6E - Administracja'!G215+'Tab. 6E - Administracja'!G216+'Tab. 6E - Administracja'!G219+'Tab. 6E - Administracja'!G226</f>
        <v>6043338</v>
      </c>
      <c r="F19" s="1633">
        <f>+'Tab. 6E - Administracja'!H72+'Tab. 6E - Administracja'!H83+'Tab. 6E - Administracja'!H215+'Tab. 6E - Administracja'!H216+'Tab. 6E - Administracja'!H219+'Tab. 6E - Administracja'!H226</f>
        <v>1500000</v>
      </c>
      <c r="G19" s="1633">
        <f>+'Tab. 6E - Administracja'!I72+'Tab. 6E - Administracja'!I83+'Tab. 6E - Administracja'!I215+'Tab. 6E - Administracja'!I216+'Tab. 6E - Administracja'!I219+'Tab. 6E - Administracja'!I226</f>
        <v>1400000</v>
      </c>
      <c r="H19" s="1633">
        <f>+'Tab. 6E - Administracja'!J72+'Tab. 6E - Administracja'!J83+'Tab. 6E - Administracja'!J215+'Tab. 6E - Administracja'!J216+'Tab. 6E - Administracja'!J219+'Tab. 6E - Administracja'!J226</f>
        <v>0</v>
      </c>
      <c r="I19" s="1633">
        <f>+'Tab. 6E - Administracja'!K72+'Tab. 6E - Administracja'!K83+'Tab. 6E - Administracja'!K215+'Tab. 6E - Administracja'!K216+'Tab. 6E - Administracja'!K219+'Tab. 6E - Administracja'!K226</f>
        <v>0</v>
      </c>
      <c r="J19" s="1633">
        <f>+'Tab. 6E - Administracja'!L72+'Tab. 6E - Administracja'!L83+'Tab. 6E - Administracja'!L215+'Tab. 6E - Administracja'!L216+'Tab. 6E - Administracja'!L219+'Tab. 6E - Administracja'!L226</f>
        <v>0</v>
      </c>
      <c r="K19" s="1633">
        <f>C19+D19+E19+F19+G19+H19+I19+J19</f>
        <v>14833280</v>
      </c>
      <c r="L19" s="1634">
        <f>+D19+E19+F19+G19+H19+I19+J19</f>
        <v>12069299</v>
      </c>
      <c r="M19" s="1634">
        <f>+E19+F19+G19+H19+I19+J19</f>
        <v>8943338</v>
      </c>
      <c r="N19" s="2744">
        <f>E19/$E$45%</f>
        <v>1.0269485978592221</v>
      </c>
      <c r="O19" s="2744">
        <f>E19/$O$48%</f>
        <v>0.50509086610956599</v>
      </c>
      <c r="P19" s="1635">
        <f>'[1]projekty UE'!$K$19+'[1]projekty UE'!$N$19-C19</f>
        <v>0</v>
      </c>
      <c r="Q19" s="1218"/>
      <c r="R19" s="1218"/>
    </row>
    <row r="20" spans="1:19" s="1194" customFormat="1" ht="24.75" customHeight="1" thickBot="1">
      <c r="A20" s="3670" t="s">
        <v>191</v>
      </c>
      <c r="B20" s="3671"/>
      <c r="C20" s="1636">
        <f>+'Tab. 6E - Administracja'!E77+'Tab. 6E - Administracja'!E88+'Tab. 6E - Administracja'!E220+'Tab. 6E - Administracja'!E231</f>
        <v>2753370</v>
      </c>
      <c r="D20" s="1636">
        <f>+'Tab. 6E - Administracja'!F77+'Tab. 6E - Administracja'!F88+'Tab. 6E - Administracja'!F220+'Tab. 6E - Administracja'!F231</f>
        <v>3096317</v>
      </c>
      <c r="E20" s="1636">
        <f>+'Tab. 6E - Administracja'!G77+'Tab. 6E - Administracja'!G88+'Tab. 6E - Administracja'!G220+'Tab. 6E - Administracja'!G231</f>
        <v>5983593</v>
      </c>
      <c r="F20" s="1636">
        <f>+'Tab. 6E - Administracja'!H77+'Tab. 6E - Administracja'!H88+'Tab. 6E - Administracja'!H220+'Tab. 6E - Administracja'!H231</f>
        <v>1500000</v>
      </c>
      <c r="G20" s="1636">
        <f>+'Tab. 6E - Administracja'!I77+'Tab. 6E - Administracja'!I88+'Tab. 6E - Administracja'!I220+'Tab. 6E - Administracja'!I231</f>
        <v>1400000</v>
      </c>
      <c r="H20" s="1636">
        <f>+'Tab. 6E - Administracja'!J77+'Tab. 6E - Administracja'!J88+'Tab. 6E - Administracja'!J220+'Tab. 6E - Administracja'!J231</f>
        <v>0</v>
      </c>
      <c r="I20" s="1636">
        <f>+'Tab. 6E - Administracja'!K77+'Tab. 6E - Administracja'!K88+'Tab. 6E - Administracja'!K220+'Tab. 6E - Administracja'!K231</f>
        <v>0</v>
      </c>
      <c r="J20" s="1636">
        <f>+'Tab. 6E - Administracja'!L77+'Tab. 6E - Administracja'!L88+'Tab. 6E - Administracja'!L220+'Tab. 6E - Administracja'!L231</f>
        <v>0</v>
      </c>
      <c r="K20" s="1636">
        <f>+C20+D20+E20+F20+G20+H20+I20+J20</f>
        <v>14733280</v>
      </c>
      <c r="L20" s="1637" t="s">
        <v>61</v>
      </c>
      <c r="M20" s="1637" t="s">
        <v>61</v>
      </c>
      <c r="N20" s="2739"/>
      <c r="O20" s="2739"/>
      <c r="P20" s="1635">
        <f>'[1]projekty UE'!$K$20+'[1]projekty UE'!$N$20-C20</f>
        <v>0</v>
      </c>
      <c r="Q20" s="1218"/>
      <c r="R20" s="1218"/>
    </row>
    <row r="21" spans="1:19" s="1194" customFormat="1" ht="24.75" customHeight="1" thickBot="1">
      <c r="A21" s="3672" t="s">
        <v>192</v>
      </c>
      <c r="B21" s="3673"/>
      <c r="C21" s="1633"/>
      <c r="D21" s="1633"/>
      <c r="E21" s="1633"/>
      <c r="F21" s="1633"/>
      <c r="G21" s="1633"/>
      <c r="H21" s="1633"/>
      <c r="I21" s="1633"/>
      <c r="J21" s="1633"/>
      <c r="K21" s="1633">
        <f>C21+D21+E21+F21+G21+H21+I21+J21</f>
        <v>0</v>
      </c>
      <c r="L21" s="1634">
        <f>+D21+E21+F21+G21+H21+I21+J21</f>
        <v>0</v>
      </c>
      <c r="M21" s="1634">
        <f>+E21+F21+G21+H21+I21+J21</f>
        <v>0</v>
      </c>
      <c r="N21" s="2744">
        <f>E21/$E$45%</f>
        <v>0</v>
      </c>
      <c r="O21" s="2744">
        <f>E21/$O$48%</f>
        <v>0</v>
      </c>
      <c r="P21" s="1635"/>
      <c r="Q21" s="1218"/>
      <c r="R21" s="1218"/>
    </row>
    <row r="22" spans="1:19" s="1194" customFormat="1" ht="22.5" customHeight="1" thickBot="1">
      <c r="A22" s="3674" t="s">
        <v>193</v>
      </c>
      <c r="B22" s="3675"/>
      <c r="C22" s="1636"/>
      <c r="D22" s="1636"/>
      <c r="E22" s="1636"/>
      <c r="F22" s="1636"/>
      <c r="G22" s="1636"/>
      <c r="H22" s="1636"/>
      <c r="I22" s="1636"/>
      <c r="J22" s="1636"/>
      <c r="K22" s="1636"/>
      <c r="L22" s="1637" t="s">
        <v>61</v>
      </c>
      <c r="M22" s="1637" t="s">
        <v>61</v>
      </c>
      <c r="N22" s="2739"/>
      <c r="O22" s="2739"/>
      <c r="P22" s="1635"/>
      <c r="Q22" s="1218"/>
      <c r="R22" s="1218"/>
    </row>
    <row r="23" spans="1:19" s="1194" customFormat="1" ht="23.25" customHeight="1" thickBot="1">
      <c r="A23" s="3672" t="s">
        <v>216</v>
      </c>
      <c r="B23" s="3673"/>
      <c r="C23" s="1633">
        <f>'Tab. 6B Polit społ i rozwój prz'!E61+'Tab. 6B Polit społ i rozwój prz'!E73</f>
        <v>1759846</v>
      </c>
      <c r="D23" s="1633">
        <f>'Tab. 6B Polit społ i rozwój prz'!F61+'Tab. 6B Polit społ i rozwój prz'!F73</f>
        <v>1471286</v>
      </c>
      <c r="E23" s="1633">
        <f>'Tab. 6B Polit społ i rozwój prz'!G61+'Tab. 6B Polit społ i rozwój prz'!G73</f>
        <v>1842854</v>
      </c>
      <c r="F23" s="1633">
        <f>'Tab. 6B Polit społ i rozwój prz'!H61+'Tab. 6B Polit społ i rozwój prz'!H73</f>
        <v>2254390</v>
      </c>
      <c r="G23" s="1633">
        <f>'Tab. 6B Polit społ i rozwój prz'!I61+'Tab. 6B Polit społ i rozwój prz'!I73</f>
        <v>2254390</v>
      </c>
      <c r="H23" s="1633">
        <f>'Tab. 6B Polit społ i rozwój prz'!J61</f>
        <v>0</v>
      </c>
      <c r="I23" s="1633">
        <f>'Tab. 6B Polit społ i rozwój prz'!K61</f>
        <v>0</v>
      </c>
      <c r="J23" s="1633">
        <f>'Tab. 6B Polit społ i rozwój prz'!L61</f>
        <v>0</v>
      </c>
      <c r="K23" s="1633">
        <f>C23+D23+E23+F23+G23+H23+I23+J23</f>
        <v>9582766</v>
      </c>
      <c r="L23" s="1634">
        <f>+D23+E23+F23+G23+H23+I23+J23</f>
        <v>7822920</v>
      </c>
      <c r="M23" s="1634">
        <f>+E23+F23+G23+H23+I23+J23</f>
        <v>6351634</v>
      </c>
      <c r="N23" s="2744">
        <f>E23/$E$45%</f>
        <v>0.31315745228204328</v>
      </c>
      <c r="O23" s="2744">
        <f>E23/$O$48%</f>
        <v>0.15402228420344488</v>
      </c>
      <c r="P23" s="1635">
        <f>'[1]projekty UE'!$K$23+'[1]projekty UE'!$N$23-C23</f>
        <v>0</v>
      </c>
      <c r="Q23" s="1218"/>
      <c r="R23" s="1218"/>
    </row>
    <row r="24" spans="1:19" s="1194" customFormat="1" ht="25.5" customHeight="1" thickBot="1">
      <c r="A24" s="3670" t="s">
        <v>217</v>
      </c>
      <c r="B24" s="3671"/>
      <c r="C24" s="1636">
        <f>'Tab. 6B Polit społ i rozwój prz'!E67+'Tab. 6B Polit społ i rozwój prz'!E79</f>
        <v>1483198</v>
      </c>
      <c r="D24" s="1636">
        <f>'Tab. 6B Polit społ i rozwój prz'!F67+'Tab. 6B Polit społ i rozwój prz'!F79</f>
        <v>1240000</v>
      </c>
      <c r="E24" s="1636">
        <f>'Tab. 6B Polit społ i rozwój prz'!G67+'Tab. 6B Polit społ i rozwój prz'!G79</f>
        <v>1553157</v>
      </c>
      <c r="F24" s="1636">
        <f>'Tab. 6B Polit społ i rozwój prz'!H67</f>
        <v>1900000</v>
      </c>
      <c r="G24" s="1636">
        <f>'Tab. 6B Polit społ i rozwój prz'!I67</f>
        <v>1900000</v>
      </c>
      <c r="H24" s="1636">
        <f>'Tab. 6B Polit społ i rozwój prz'!J67</f>
        <v>0</v>
      </c>
      <c r="I24" s="1636">
        <f>'Tab. 6B Polit społ i rozwój prz'!K67</f>
        <v>0</v>
      </c>
      <c r="J24" s="1636">
        <f>'Tab. 6B Polit społ i rozwój prz'!L67</f>
        <v>0</v>
      </c>
      <c r="K24" s="1636">
        <f>+C24+D24+E24+F24+G24+H24+I24+J24</f>
        <v>8076355</v>
      </c>
      <c r="L24" s="1637" t="s">
        <v>61</v>
      </c>
      <c r="M24" s="1637" t="s">
        <v>61</v>
      </c>
      <c r="N24" s="2739"/>
      <c r="O24" s="2739"/>
      <c r="P24" s="1635">
        <f>'[1]projekty UE'!$K$24+'[1]projekty UE'!$N$24-C24</f>
        <v>0</v>
      </c>
      <c r="Q24" s="1218"/>
      <c r="R24" s="1218"/>
    </row>
    <row r="25" spans="1:19" s="1246" customFormat="1" ht="24" customHeight="1" thickBot="1">
      <c r="A25" s="3672" t="s">
        <v>194</v>
      </c>
      <c r="B25" s="3673"/>
      <c r="C25" s="1633">
        <f>C28+C30+C32+C34+C36+C38</f>
        <v>2085603</v>
      </c>
      <c r="D25" s="1633">
        <f t="shared" ref="D25:J25" si="0">D28+D30+D32+D34+D36+D38</f>
        <v>10977147</v>
      </c>
      <c r="E25" s="1633">
        <f t="shared" si="0"/>
        <v>33828317</v>
      </c>
      <c r="F25" s="1633">
        <f t="shared" si="0"/>
        <v>16634523</v>
      </c>
      <c r="G25" s="1633">
        <f t="shared" si="0"/>
        <v>6011329</v>
      </c>
      <c r="H25" s="1633">
        <f t="shared" si="0"/>
        <v>280970</v>
      </c>
      <c r="I25" s="1633">
        <f t="shared" si="0"/>
        <v>430035</v>
      </c>
      <c r="J25" s="1633">
        <f t="shared" si="0"/>
        <v>0</v>
      </c>
      <c r="K25" s="1633">
        <f>C25+D25+E25+F25+G25+H25+I25+J25</f>
        <v>70247924</v>
      </c>
      <c r="L25" s="1634">
        <f>+D25+E25+F25+G25+H25+I25+J25</f>
        <v>68162321</v>
      </c>
      <c r="M25" s="1634">
        <f>+E25+F25+G25+H25+I25+J25</f>
        <v>57185174</v>
      </c>
      <c r="N25" s="2744">
        <f>E25/$E$45%</f>
        <v>5.748469258394497</v>
      </c>
      <c r="O25" s="2744">
        <f>E25/$O$48%</f>
        <v>2.8273073477867623</v>
      </c>
      <c r="P25" s="1638"/>
      <c r="Q25" s="1245"/>
      <c r="R25" s="1245"/>
    </row>
    <row r="26" spans="1:19" s="1246" customFormat="1" ht="24" customHeight="1" thickBot="1">
      <c r="A26" s="3674" t="s">
        <v>195</v>
      </c>
      <c r="B26" s="3675"/>
      <c r="C26" s="1636">
        <f>C29+C31+C33+C35+C37+C39</f>
        <v>177003</v>
      </c>
      <c r="D26" s="1636">
        <f t="shared" ref="D26:J26" si="1">D29+D31+D33+D35+D37+D39</f>
        <v>568819</v>
      </c>
      <c r="E26" s="1636">
        <f t="shared" si="1"/>
        <v>20830392</v>
      </c>
      <c r="F26" s="1636">
        <f t="shared" si="1"/>
        <v>16746320</v>
      </c>
      <c r="G26" s="1636">
        <f t="shared" si="1"/>
        <v>10676686</v>
      </c>
      <c r="H26" s="1636">
        <f t="shared" si="1"/>
        <v>3854351</v>
      </c>
      <c r="I26" s="1636">
        <f t="shared" si="1"/>
        <v>280770</v>
      </c>
      <c r="J26" s="1636">
        <f t="shared" si="1"/>
        <v>361035</v>
      </c>
      <c r="K26" s="1636">
        <f>+C26+D26+E26+F26+G26+H26+I26+J26</f>
        <v>53495376</v>
      </c>
      <c r="L26" s="1637" t="s">
        <v>61</v>
      </c>
      <c r="M26" s="1637" t="s">
        <v>61</v>
      </c>
      <c r="N26" s="2739"/>
      <c r="O26" s="2739"/>
      <c r="P26" s="1638"/>
      <c r="Q26" s="1245"/>
      <c r="R26" s="1245"/>
      <c r="S26" s="1638"/>
    </row>
    <row r="27" spans="1:19" s="1246" customFormat="1" ht="15">
      <c r="A27" s="3680" t="s">
        <v>150</v>
      </c>
      <c r="B27" s="3681"/>
      <c r="C27" s="1639"/>
      <c r="D27" s="1639"/>
      <c r="E27" s="1639"/>
      <c r="F27" s="1639"/>
      <c r="G27" s="1639"/>
      <c r="H27" s="1639"/>
      <c r="I27" s="1639"/>
      <c r="J27" s="1639"/>
      <c r="K27" s="1639"/>
      <c r="L27" s="1640"/>
      <c r="M27" s="1640"/>
      <c r="N27" s="2740"/>
      <c r="O27" s="2740"/>
      <c r="P27" s="1635"/>
      <c r="Q27" s="1245"/>
      <c r="R27" s="1245"/>
    </row>
    <row r="28" spans="1:19" s="1246" customFormat="1" ht="17.25" customHeight="1">
      <c r="A28" s="3682" t="s">
        <v>373</v>
      </c>
      <c r="B28" s="3683"/>
      <c r="C28" s="1641">
        <f>'Tab. 6A -Drogi'!E315-'Tab. 6A -Drogi'!E394-'Tab. 6A -Drogi'!E409</f>
        <v>794741</v>
      </c>
      <c r="D28" s="1641">
        <f>'Tab. 6A -Drogi'!F315-'Tab. 6A -Drogi'!F394-'Tab. 6A -Drogi'!F409</f>
        <v>8746670</v>
      </c>
      <c r="E28" s="1641">
        <f>'Tab. 6A -Drogi'!G315-'Tab. 6A -Drogi'!G394-'Tab. 6A -Drogi'!G409</f>
        <v>28850447</v>
      </c>
      <c r="F28" s="1641">
        <f>'Tab. 6A -Drogi'!H315-'Tab. 6A -Drogi'!H394-'Tab. 6A -Drogi'!H409</f>
        <v>7699860</v>
      </c>
      <c r="G28" s="1641">
        <f>'Tab. 6A -Drogi'!I315-'Tab. 6A -Drogi'!I394-'Tab. 6A -Drogi'!I409</f>
        <v>0</v>
      </c>
      <c r="H28" s="1641">
        <f>'Tab. 6A -Drogi'!J315-'Tab. 6A -Drogi'!J394</f>
        <v>0</v>
      </c>
      <c r="I28" s="1641">
        <f>'Tab. 6A -Drogi'!K315-'Tab. 6A -Drogi'!K394</f>
        <v>0</v>
      </c>
      <c r="J28" s="1641">
        <f>'Tab. 6A -Drogi'!L315-'Tab. 6A -Drogi'!L394</f>
        <v>0</v>
      </c>
      <c r="K28" s="1641">
        <f>C28+D28+E28+F28+G28+H28+I28+J28</f>
        <v>46091718</v>
      </c>
      <c r="L28" s="1642">
        <f>+D28+E28+F28+G28+H28+I28</f>
        <v>45296977</v>
      </c>
      <c r="M28" s="1642">
        <f>+E28+F28+G28+H28+I28+J28</f>
        <v>36550307</v>
      </c>
      <c r="N28" s="2741"/>
      <c r="O28" s="2741"/>
      <c r="P28" s="1635"/>
      <c r="Q28" s="1245"/>
      <c r="R28" s="1245"/>
    </row>
    <row r="29" spans="1:19" s="1246" customFormat="1" ht="17.25" customHeight="1">
      <c r="A29" s="3684" t="s">
        <v>374</v>
      </c>
      <c r="B29" s="3685"/>
      <c r="C29" s="1643">
        <f>'Tab. 6A -Drogi'!E321-'Tab. 6A -Drogi'!E405-'Tab. 6A -Drogi'!E420</f>
        <v>57003</v>
      </c>
      <c r="D29" s="1643">
        <f>'Tab. 6A -Drogi'!F321-'Tab. 6A -Drogi'!F405-'Tab. 6A -Drogi'!F420</f>
        <v>0</v>
      </c>
      <c r="E29" s="1643">
        <f>'Tab. 6A -Drogi'!G321-'Tab. 6A -Drogi'!G405-'Tab. 6A -Drogi'!G420</f>
        <v>17548333</v>
      </c>
      <c r="F29" s="1643">
        <f>'Tab. 6A -Drogi'!H321-'Tab. 6A -Drogi'!H405-'Tab. 6A -Drogi'!H420</f>
        <v>11986823</v>
      </c>
      <c r="G29" s="1643">
        <f>'Tab. 6A -Drogi'!I321-'Tab. 6A -Drogi'!I405-'Tab. 6A -Drogi'!I420</f>
        <v>2981558</v>
      </c>
      <c r="H29" s="1643">
        <f>'Tab. 6A -Drogi'!J321-'Tab. 6A -Drogi'!J405-'Tab. 6A -Drogi'!J420</f>
        <v>0</v>
      </c>
      <c r="I29" s="1643">
        <f>'Tab. 6A -Drogi'!K321-'Tab. 6A -Drogi'!K405-'Tab. 6A -Drogi'!K420</f>
        <v>0</v>
      </c>
      <c r="J29" s="1643">
        <f>'Tab. 6A -Drogi'!L321-'Tab. 6A -Drogi'!L405-'Tab. 6A -Drogi'!L420</f>
        <v>0</v>
      </c>
      <c r="K29" s="1643">
        <f>+C29+D29+E29+F29+G29+H29+I29+J29</f>
        <v>32573717</v>
      </c>
      <c r="L29" s="1644" t="s">
        <v>61</v>
      </c>
      <c r="M29" s="1644" t="s">
        <v>61</v>
      </c>
      <c r="N29" s="2742"/>
      <c r="O29" s="2742"/>
      <c r="P29" s="1635"/>
      <c r="Q29" s="1245"/>
      <c r="R29" s="1245"/>
    </row>
    <row r="30" spans="1:19" s="1246" customFormat="1" ht="24" customHeight="1">
      <c r="A30" s="3686" t="s">
        <v>428</v>
      </c>
      <c r="B30" s="3687"/>
      <c r="C30" s="1645">
        <f>'Tab. 6E - Administracja'!E27+'Tab.6I - Planow. przestrz.'!E54+'Tab.6I - Planow. przestrz.'!E72+'Tab. 6E - Administracja'!E39+'Tab. 6E - Administracja'!E60</f>
        <v>362988</v>
      </c>
      <c r="D30" s="1645">
        <f>'Tab. 6E - Administracja'!F27+'Tab.6I - Planow. przestrz.'!F54+'Tab.6I - Planow. przestrz.'!F72+'Tab. 6E - Administracja'!F39+'Tab. 6E - Administracja'!F60</f>
        <v>777542</v>
      </c>
      <c r="E30" s="1645">
        <f>'Tab. 6E - Administracja'!G27+'Tab.6I - Planow. przestrz.'!G54+'Tab.6I - Planow. przestrz.'!G72+'Tab. 6E - Administracja'!G39+'Tab. 6E - Administracja'!G60</f>
        <v>624871</v>
      </c>
      <c r="F30" s="1645">
        <f>'Tab. 6E - Administracja'!H27+'Tab.6I - Planow. przestrz.'!H54+'Tab.6I - Planow. przestrz.'!H72+'Tab. 6E - Administracja'!H39+'Tab. 6E - Administracja'!H60</f>
        <v>617328</v>
      </c>
      <c r="G30" s="1645">
        <f>'Tab. 6E - Administracja'!I27+'Tab.6I - Planow. przestrz.'!I54+'Tab.6I - Planow. przestrz.'!I72+'Tab. 6E - Administracja'!I39+'Tab. 6E - Administracja'!I60</f>
        <v>617218</v>
      </c>
      <c r="H30" s="1645">
        <f>'Tab. 6E - Administracja'!J27+'Tab.6I - Planow. przestrz.'!J54+'Tab.6I - Planow. przestrz.'!J72+'Tab. 6E - Administracja'!J39+'Tab. 6E - Administracja'!J60</f>
        <v>280970</v>
      </c>
      <c r="I30" s="1645">
        <f>'Tab. 6E - Administracja'!K27+'Tab.6I - Planow. przestrz.'!K54+'Tab.6I - Planow. przestrz.'!K72+'Tab. 6E - Administracja'!K39+'Tab. 6E - Administracja'!K60</f>
        <v>430035</v>
      </c>
      <c r="J30" s="1645">
        <f>'Tab. 6E - Administracja'!L27+'Tab.6I - Planow. przestrz.'!L54+'Tab.6I - Planow. przestrz.'!L72+'Tab. 6E - Administracja'!L39+'Tab. 6E - Administracja'!L60</f>
        <v>0</v>
      </c>
      <c r="K30" s="1641">
        <f>C30+D30+E30+F30+G30+H30+I30+J30</f>
        <v>3710952</v>
      </c>
      <c r="L30" s="1642">
        <f>+D30+E30+F30+G30+H30+I30</f>
        <v>3347964</v>
      </c>
      <c r="M30" s="1642">
        <f>+E30+F30+G30+H30+I30+J30</f>
        <v>2570422</v>
      </c>
      <c r="N30" s="2741"/>
      <c r="O30" s="2741"/>
      <c r="P30" s="1635"/>
      <c r="Q30" s="1245"/>
      <c r="R30" s="1245"/>
    </row>
    <row r="31" spans="1:19" s="1246" customFormat="1" ht="24" customHeight="1">
      <c r="A31" s="3688" t="s">
        <v>429</v>
      </c>
      <c r="B31" s="3689"/>
      <c r="C31" s="1643">
        <f>'Tab. 6E - Administracja'!E35+'Tab.6I - Planow. przestrz.'!E66+'Tab.6I - Planow. przestrz.'!E77+'Tab. 6E - Administracja'!E54+'Tab. 6E - Administracja'!E66</f>
        <v>0</v>
      </c>
      <c r="D31" s="1643">
        <f>'Tab. 6E - Administracja'!F35+'Tab.6I - Planow. przestrz.'!F66+'Tab.6I - Planow. przestrz.'!F77+'Tab. 6E - Administracja'!F54+'Tab. 6E - Administracja'!F66</f>
        <v>113638</v>
      </c>
      <c r="E31" s="1643">
        <f>'Tab. 6E - Administracja'!G35+'Tab.6I - Planow. przestrz.'!G66+'Tab.6I - Planow. przestrz.'!G77+'Tab. 6E - Administracja'!G54+'Tab. 6E - Administracja'!G66</f>
        <v>1211015</v>
      </c>
      <c r="F31" s="1643">
        <f>'Tab. 6E - Administracja'!H35+'Tab.6I - Planow. przestrz.'!H66+'Tab.6I - Planow. przestrz.'!H77+'Tab. 6E - Administracja'!H54+'Tab. 6E - Administracja'!H66</f>
        <v>610467</v>
      </c>
      <c r="G31" s="1643">
        <f>'Tab. 6E - Administracja'!I35+'Tab.6I - Planow. przestrz.'!I66+'Tab.6I - Planow. przestrz.'!I77+'Tab. 6E - Administracja'!I54+'Tab. 6E - Administracja'!I66</f>
        <v>603014</v>
      </c>
      <c r="H31" s="1643">
        <f>'Tab. 6E - Administracja'!J35+'Tab.6I - Planow. przestrz.'!J66+'Tab.6I - Planow. przestrz.'!J77+'Tab. 6E - Administracja'!J54+'Tab. 6E - Administracja'!J66</f>
        <v>459211</v>
      </c>
      <c r="I31" s="1643">
        <f>'Tab. 6E - Administracja'!K35+'Tab.6I - Planow. przestrz.'!K66+'Tab.6I - Planow. przestrz.'!K77+'Tab. 6E - Administracja'!K54+'Tab. 6E - Administracja'!K66</f>
        <v>280770</v>
      </c>
      <c r="J31" s="1643">
        <f>'Tab. 6E - Administracja'!L35+'Tab.6I - Planow. przestrz.'!L66+'Tab.6I - Planow. przestrz.'!L77+'Tab. 6E - Administracja'!L54+'Tab. 6E - Administracja'!L66</f>
        <v>361035</v>
      </c>
      <c r="K31" s="1643">
        <f>+C31+D31+E31+F31+G31+H31+I31+J31</f>
        <v>3639150</v>
      </c>
      <c r="L31" s="1644" t="s">
        <v>61</v>
      </c>
      <c r="M31" s="1644" t="s">
        <v>61</v>
      </c>
      <c r="N31" s="2742"/>
      <c r="O31" s="2742"/>
      <c r="P31" s="1635"/>
      <c r="Q31" s="1245"/>
      <c r="R31" s="1245"/>
    </row>
    <row r="32" spans="1:19" s="1246" customFormat="1" ht="24" customHeight="1">
      <c r="A32" s="3686" t="s">
        <v>425</v>
      </c>
      <c r="B32" s="3687"/>
      <c r="C32" s="1645">
        <f>'Tab. 6A -Drogi'!E394+'Tab. 6A -Drogi'!E409</f>
        <v>48374</v>
      </c>
      <c r="D32" s="1645">
        <f>'Tab. 6A -Drogi'!F394+'Tab. 6A -Drogi'!F409</f>
        <v>336730</v>
      </c>
      <c r="E32" s="1645">
        <f>'Tab. 6A -Drogi'!G394+'Tab. 6A -Drogi'!G409</f>
        <v>281076</v>
      </c>
      <c r="F32" s="1645">
        <f>'Tab. 6A -Drogi'!H394+'Tab. 6A -Drogi'!H409</f>
        <v>196235</v>
      </c>
      <c r="G32" s="1645">
        <f>'Tab. 6A -Drogi'!I394+'Tab. 6A -Drogi'!I409</f>
        <v>82172</v>
      </c>
      <c r="H32" s="1645">
        <f>'Tab. 6A -Drogi'!J394+'Tab. 6A -Drogi'!J409</f>
        <v>0</v>
      </c>
      <c r="I32" s="1645">
        <f>'Tab. 6A -Drogi'!K394+'Tab. 6A -Drogi'!K409</f>
        <v>0</v>
      </c>
      <c r="J32" s="1645">
        <f>'Tab. 6A -Drogi'!L394</f>
        <v>0</v>
      </c>
      <c r="K32" s="1641">
        <f>C32+D32+E32+F32+G32+H32+I32+J32</f>
        <v>944587</v>
      </c>
      <c r="L32" s="1642">
        <f>+D32+E32+F32+G32+H32+I32</f>
        <v>896213</v>
      </c>
      <c r="M32" s="1642">
        <f>+E32+F32+G32+H32+I32+J32</f>
        <v>559483</v>
      </c>
      <c r="N32" s="2741"/>
      <c r="O32" s="2741"/>
      <c r="P32" s="1638"/>
      <c r="Q32" s="1245"/>
      <c r="R32" s="1245"/>
      <c r="S32" s="1259"/>
    </row>
    <row r="33" spans="1:18" s="1246" customFormat="1" ht="28.5" customHeight="1">
      <c r="A33" s="3688" t="s">
        <v>426</v>
      </c>
      <c r="B33" s="3689"/>
      <c r="C33" s="1643">
        <f>'Tab. 6A -Drogi'!E405+'Tab. 6A -Drogi'!E420</f>
        <v>0</v>
      </c>
      <c r="D33" s="1643">
        <f>'Tab. 6A -Drogi'!F405+'Tab. 6A -Drogi'!F420</f>
        <v>45897</v>
      </c>
      <c r="E33" s="1643">
        <f>'Tab. 6A -Drogi'!G405+'Tab. 6A -Drogi'!G420</f>
        <v>360442</v>
      </c>
      <c r="F33" s="1643">
        <f>'Tab. 6A -Drogi'!H405+'Tab. 6A -Drogi'!H420</f>
        <v>240279</v>
      </c>
      <c r="G33" s="1643">
        <f>'Tab. 6A -Drogi'!I405+'Tab. 6A -Drogi'!I420</f>
        <v>152504</v>
      </c>
      <c r="H33" s="1643">
        <f>'Tab. 6A -Drogi'!J405+'Tab. 6A -Drogi'!J420</f>
        <v>0</v>
      </c>
      <c r="I33" s="1643">
        <f>'Tab. 6A -Drogi'!K405+'Tab. 6A -Drogi'!K420</f>
        <v>0</v>
      </c>
      <c r="J33" s="1643">
        <f>'Tab. 6A -Drogi'!L405</f>
        <v>0</v>
      </c>
      <c r="K33" s="1643">
        <f>+C33+D33+E33+F33+G33+H33+I33+J33</f>
        <v>799122</v>
      </c>
      <c r="L33" s="1644" t="s">
        <v>61</v>
      </c>
      <c r="M33" s="1644" t="s">
        <v>61</v>
      </c>
      <c r="N33" s="2742"/>
      <c r="O33" s="2742"/>
      <c r="P33" s="1638"/>
      <c r="Q33" s="1245"/>
      <c r="R33" s="1245"/>
    </row>
    <row r="34" spans="1:18" s="1246" customFormat="1" ht="17.25" customHeight="1">
      <c r="A34" s="3690" t="s">
        <v>375</v>
      </c>
      <c r="B34" s="3691"/>
      <c r="C34" s="1645">
        <f>'Tab. 6B Polit społ i rozwój prz'!E24</f>
        <v>53431</v>
      </c>
      <c r="D34" s="1645">
        <f>'Tab. 6B Polit społ i rozwój prz'!F24</f>
        <v>247808</v>
      </c>
      <c r="E34" s="1645">
        <f>'Tab. 6B Polit społ i rozwój prz'!G24</f>
        <v>127787</v>
      </c>
      <c r="F34" s="1645">
        <f>'Tab. 6B Polit społ i rozwój prz'!H24</f>
        <v>53703</v>
      </c>
      <c r="G34" s="1645">
        <f>'Tab. 6B Polit społ i rozwój prz'!I24</f>
        <v>16350</v>
      </c>
      <c r="H34" s="1645">
        <f>'Tab. 6B Polit społ i rozwój prz'!J24</f>
        <v>0</v>
      </c>
      <c r="I34" s="1645">
        <f>'Tab. 6B Polit społ i rozwój prz'!K24</f>
        <v>0</v>
      </c>
      <c r="J34" s="1645">
        <f>'Tab. 6B Polit społ i rozwój prz'!L24</f>
        <v>0</v>
      </c>
      <c r="K34" s="1641">
        <f>C34+D34+E34+F34+G34+H34+I34+J34</f>
        <v>499079</v>
      </c>
      <c r="L34" s="1642">
        <f>+D34+E34+F34+G34+H34+I34</f>
        <v>445648</v>
      </c>
      <c r="M34" s="1642">
        <f>+E34+F34+G34+H34+I34+J34</f>
        <v>197840</v>
      </c>
      <c r="N34" s="2741"/>
      <c r="O34" s="2741"/>
      <c r="P34" s="1638"/>
      <c r="Q34" s="1245"/>
      <c r="R34" s="1245"/>
    </row>
    <row r="35" spans="1:18" s="1246" customFormat="1" ht="17.25" customHeight="1">
      <c r="A35" s="3692" t="s">
        <v>376</v>
      </c>
      <c r="B35" s="3693"/>
      <c r="C35" s="1643">
        <f>'Tab. 6B Polit społ i rozwój prz'!E37</f>
        <v>0</v>
      </c>
      <c r="D35" s="1643">
        <f>'Tab. 6B Polit społ i rozwój prz'!F37</f>
        <v>84212</v>
      </c>
      <c r="E35" s="1643">
        <f>'Tab. 6B Polit społ i rozwój prz'!G37</f>
        <v>237792</v>
      </c>
      <c r="F35" s="1643">
        <f>'Tab. 6B Polit społ i rozwój prz'!H37</f>
        <v>47618</v>
      </c>
      <c r="G35" s="1643">
        <f>'Tab. 6B Polit społ i rozwój prz'!I37</f>
        <v>51195</v>
      </c>
      <c r="H35" s="1643">
        <f>'Tab. 6B Polit społ i rozwój prz'!J37</f>
        <v>0</v>
      </c>
      <c r="I35" s="1643">
        <f>'Tab. 6B Polit społ i rozwój prz'!K37</f>
        <v>0</v>
      </c>
      <c r="J35" s="1643">
        <f>'Tab. 6B Polit społ i rozwój prz'!L37</f>
        <v>0</v>
      </c>
      <c r="K35" s="1643">
        <f>+C35+D35+E35+F35+G35+H35+I35+J35</f>
        <v>420817</v>
      </c>
      <c r="L35" s="1644" t="s">
        <v>61</v>
      </c>
      <c r="M35" s="1644" t="s">
        <v>61</v>
      </c>
      <c r="N35" s="2742"/>
      <c r="O35" s="2742"/>
      <c r="P35" s="1638"/>
      <c r="Q35" s="1245"/>
      <c r="R35" s="1245"/>
    </row>
    <row r="36" spans="1:18" s="1667" customFormat="1" ht="23.25" customHeight="1">
      <c r="A36" s="3686" t="s">
        <v>427</v>
      </c>
      <c r="B36" s="3687"/>
      <c r="C36" s="1645">
        <f>'Tab. 6H - Kultura fiz. i turyst'!E92+'Tab. 6H - Kultura fiz. i turyst'!E105+'Tab. 6H - Kultura fiz. i turyst'!E114+'Tab.6I - Planow. przestrz.'!E25+'Tab.6I - Planow. przestrz.'!E34+'Tab. 6H - Kultura fiz. i turyst'!E145+'Tab. 6H - Kultura fiz. i turyst'!E158+'Tab. 6H - Kultura fiz. i turyst'!E167</f>
        <v>349775</v>
      </c>
      <c r="D36" s="1645">
        <f>'Tab. 6H - Kultura fiz. i turyst'!F92+'Tab. 6H - Kultura fiz. i turyst'!F105+'Tab. 6H - Kultura fiz. i turyst'!F114+'Tab.6I - Planow. przestrz.'!F25+'Tab.6I - Planow. przestrz.'!F34+'Tab. 6H - Kultura fiz. i turyst'!F145+'Tab. 6H - Kultura fiz. i turyst'!F158+'Tab. 6H - Kultura fiz. i turyst'!F167</f>
        <v>838397</v>
      </c>
      <c r="E36" s="1645">
        <f>'Tab. 6H - Kultura fiz. i turyst'!G92+'Tab. 6H - Kultura fiz. i turyst'!G105+'Tab. 6H - Kultura fiz. i turyst'!G114+'Tab.6I - Planow. przestrz.'!G25+'Tab.6I - Planow. przestrz.'!G34+'Tab. 6H - Kultura fiz. i turyst'!G145+'Tab. 6H - Kultura fiz. i turyst'!G158+'Tab. 6H - Kultura fiz. i turyst'!G167</f>
        <v>2138294</v>
      </c>
      <c r="F36" s="1645">
        <f>'Tab. 6H - Kultura fiz. i turyst'!H92+'Tab. 6H - Kultura fiz. i turyst'!H105+'Tab. 6H - Kultura fiz. i turyst'!H114+'Tab.6I - Planow. przestrz.'!H25+'Tab.6I - Planow. przestrz.'!H34+'Tab. 6H - Kultura fiz. i turyst'!H145+'Tab. 6H - Kultura fiz. i turyst'!H158+'Tab. 6H - Kultura fiz. i turyst'!H167</f>
        <v>1667718</v>
      </c>
      <c r="G36" s="1645">
        <f>'Tab. 6H - Kultura fiz. i turyst'!I92+'Tab. 6H - Kultura fiz. i turyst'!I105+'Tab. 6H - Kultura fiz. i turyst'!I114+'Tab.6I - Planow. przestrz.'!I25+'Tab.6I - Planow. przestrz.'!I34+'Tab. 6H - Kultura fiz. i turyst'!I145+'Tab. 6H - Kultura fiz. i turyst'!I158+'Tab. 6H - Kultura fiz. i turyst'!I167</f>
        <v>156028</v>
      </c>
      <c r="H36" s="1645">
        <f>'Tab. 6H - Kultura fiz. i turyst'!J92+'Tab. 6H - Kultura fiz. i turyst'!J105+'Tab. 6H - Kultura fiz. i turyst'!J114+'Tab.6I - Planow. przestrz.'!J25+'Tab.6I - Planow. przestrz.'!J34+'Tab. 6H - Kultura fiz. i turyst'!J145+'Tab. 6H - Kultura fiz. i turyst'!J158+'Tab. 6H - Kultura fiz. i turyst'!J167</f>
        <v>0</v>
      </c>
      <c r="I36" s="1645">
        <f>'Tab. 6H - Kultura fiz. i turyst'!K92+'Tab. 6H - Kultura fiz. i turyst'!K105+'Tab. 6H - Kultura fiz. i turyst'!K114+'Tab.6I - Planow. przestrz.'!K25+'Tab.6I - Planow. przestrz.'!K34+'Tab. 6H - Kultura fiz. i turyst'!K145+'Tab. 6H - Kultura fiz. i turyst'!K158+'Tab. 6H - Kultura fiz. i turyst'!K167</f>
        <v>0</v>
      </c>
      <c r="J36" s="1645">
        <f>'Tab. 6H - Kultura fiz. i turyst'!L92+'Tab. 6H - Kultura fiz. i turyst'!L105+'Tab. 6H - Kultura fiz. i turyst'!L114+'Tab.6I - Planow. przestrz.'!L25+'Tab.6I - Planow. przestrz.'!L34+'Tab. 6H - Kultura fiz. i turyst'!L145+'Tab. 6H - Kultura fiz. i turyst'!L158+'Tab. 6H - Kultura fiz. i turyst'!L167</f>
        <v>0</v>
      </c>
      <c r="K36" s="1641">
        <f>C36+D36+E36+F36+G36+H36+I36+J36</f>
        <v>5150212</v>
      </c>
      <c r="L36" s="1642">
        <f>+D36+E36+F36+G36+H36+I36</f>
        <v>4800437</v>
      </c>
      <c r="M36" s="1642">
        <f>+E36+F36+G36+H36+I36+J36</f>
        <v>3962040</v>
      </c>
      <c r="N36" s="2741"/>
      <c r="O36" s="2741"/>
      <c r="P36" s="1665"/>
      <c r="Q36" s="1666"/>
      <c r="R36" s="1666"/>
    </row>
    <row r="37" spans="1:18" s="1667" customFormat="1" ht="26.25" customHeight="1">
      <c r="A37" s="3688" t="s">
        <v>430</v>
      </c>
      <c r="B37" s="3689"/>
      <c r="C37" s="1643">
        <f>'Tab. 6H - Kultura fiz. i turyst'!E101+'Tab. 6H - Kultura fiz. i turyst'!E110+'Tab. 6H - Kultura fiz. i turyst'!E123+'Tab.6I - Planow. przestrz.'!E30+'Tab.6I - Planow. przestrz.'!E39+'Tab. 6H - Kultura fiz. i turyst'!E154+'Tab. 6H - Kultura fiz. i turyst'!E163+'Tab. 6H - Kultura fiz. i turyst'!E176</f>
        <v>0</v>
      </c>
      <c r="D37" s="1643">
        <f>'Tab. 6H - Kultura fiz. i turyst'!F101+'Tab. 6H - Kultura fiz. i turyst'!F110+'Tab. 6H - Kultura fiz. i turyst'!F123+'Tab.6I - Planow. przestrz.'!F30+'Tab.6I - Planow. przestrz.'!F39+'Tab. 6H - Kultura fiz. i turyst'!F154+'Tab. 6H - Kultura fiz. i turyst'!F163+'Tab. 6H - Kultura fiz. i turyst'!F176</f>
        <v>295072</v>
      </c>
      <c r="E37" s="1643">
        <f>'Tab. 6H - Kultura fiz. i turyst'!G101+'Tab. 6H - Kultura fiz. i turyst'!G110+'Tab. 6H - Kultura fiz. i turyst'!G123+'Tab.6I - Planow. przestrz.'!G30+'Tab.6I - Planow. przestrz.'!G39+'Tab. 6H - Kultura fiz. i turyst'!G154+'Tab. 6H - Kultura fiz. i turyst'!G163+'Tab. 6H - Kultura fiz. i turyst'!G176</f>
        <v>1253407</v>
      </c>
      <c r="F37" s="1643">
        <f>'Tab. 6H - Kultura fiz. i turyst'!H101+'Tab. 6H - Kultura fiz. i turyst'!H110+'Tab. 6H - Kultura fiz. i turyst'!H123+'Tab.6I - Planow. przestrz.'!H30+'Tab.6I - Planow. przestrz.'!H39+'Tab. 6H - Kultura fiz. i turyst'!H154+'Tab. 6H - Kultura fiz. i turyst'!H163+'Tab. 6H - Kultura fiz. i turyst'!H176</f>
        <v>2062125</v>
      </c>
      <c r="G37" s="1643">
        <f>'Tab. 6H - Kultura fiz. i turyst'!I101+'Tab. 6H - Kultura fiz. i turyst'!I110+'Tab. 6H - Kultura fiz. i turyst'!I123+'Tab.6I - Planow. przestrz.'!I30+'Tab.6I - Planow. przestrz.'!I39+'Tab. 6H - Kultura fiz. i turyst'!I154+'Tab. 6H - Kultura fiz. i turyst'!I163+'Tab. 6H - Kultura fiz. i turyst'!I176</f>
        <v>703929</v>
      </c>
      <c r="H37" s="1643">
        <f>'Tab. 6H - Kultura fiz. i turyst'!J101+'Tab. 6H - Kultura fiz. i turyst'!J110+'Tab. 6H - Kultura fiz. i turyst'!J123+'Tab.6I - Planow. przestrz.'!J30+'Tab.6I - Planow. przestrz.'!J39+'Tab. 6H - Kultura fiz. i turyst'!J154+'Tab. 6H - Kultura fiz. i turyst'!J163+'Tab. 6H - Kultura fiz. i turyst'!J176</f>
        <v>47352</v>
      </c>
      <c r="I37" s="1643">
        <f>'Tab. 6H - Kultura fiz. i turyst'!K101+'Tab. 6H - Kultura fiz. i turyst'!K110+'Tab. 6H - Kultura fiz. i turyst'!K123+'Tab.6I - Planow. przestrz.'!K30+'Tab.6I - Planow. przestrz.'!K39+'Tab. 6H - Kultura fiz. i turyst'!K154+'Tab. 6H - Kultura fiz. i turyst'!K163+'Tab. 6H - Kultura fiz. i turyst'!K176</f>
        <v>0</v>
      </c>
      <c r="J37" s="1643">
        <f>'Tab. 6H - Kultura fiz. i turyst'!L101+'Tab. 6H - Kultura fiz. i turyst'!L110+'Tab. 6H - Kultura fiz. i turyst'!L123+'Tab.6I - Planow. przestrz.'!L30+'Tab.6I - Planow. przestrz.'!L39+'Tab. 6H - Kultura fiz. i turyst'!L154+'Tab. 6H - Kultura fiz. i turyst'!L163+'Tab. 6H - Kultura fiz. i turyst'!L176</f>
        <v>0</v>
      </c>
      <c r="K37" s="1926">
        <f>+C37+D37+E37+F37+G37+H37+I37+J37</f>
        <v>4361885</v>
      </c>
      <c r="L37" s="1646" t="s">
        <v>61</v>
      </c>
      <c r="M37" s="1646" t="s">
        <v>61</v>
      </c>
      <c r="N37" s="2743"/>
      <c r="O37" s="2743"/>
      <c r="P37" s="1665"/>
      <c r="Q37" s="1666"/>
      <c r="R37" s="1666"/>
    </row>
    <row r="38" spans="1:18" s="1667" customFormat="1" ht="26.25" customHeight="1">
      <c r="A38" s="3686" t="s">
        <v>515</v>
      </c>
      <c r="B38" s="3687"/>
      <c r="C38" s="1645">
        <f>'Tab. 6H - Kultura fiz. i turyst'!E180+'Tab. 6H - Kultura fiz. i turyst'!E189+'Tab. 6H - Kultura fiz. i turyst'!E201+'Tab. 6H - Kultura fiz. i turyst'!E210</f>
        <v>476294</v>
      </c>
      <c r="D38" s="1645">
        <f>'Tab. 6H - Kultura fiz. i turyst'!F180+'Tab. 6H - Kultura fiz. i turyst'!F189+'Tab. 6H - Kultura fiz. i turyst'!F201+'Tab. 6H - Kultura fiz. i turyst'!F210</f>
        <v>30000</v>
      </c>
      <c r="E38" s="1645">
        <f>'Tab. 6H - Kultura fiz. i turyst'!G180+'Tab. 6H - Kultura fiz. i turyst'!G189+'Tab. 6H - Kultura fiz. i turyst'!G201+'Tab. 6H - Kultura fiz. i turyst'!G210</f>
        <v>1805842</v>
      </c>
      <c r="F38" s="1645">
        <f>'Tab. 6H - Kultura fiz. i turyst'!H180+'Tab. 6H - Kultura fiz. i turyst'!H189+'Tab. 6H - Kultura fiz. i turyst'!H201+'Tab. 6H - Kultura fiz. i turyst'!H210</f>
        <v>6399679</v>
      </c>
      <c r="G38" s="1645">
        <f>'Tab. 6H - Kultura fiz. i turyst'!I180+'Tab. 6H - Kultura fiz. i turyst'!I189+'Tab. 6H - Kultura fiz. i turyst'!I201+'Tab. 6H - Kultura fiz. i turyst'!I210</f>
        <v>5139561</v>
      </c>
      <c r="H38" s="1645">
        <f>'Tab. 6H - Kultura fiz. i turyst'!J180+'Tab. 6H - Kultura fiz. i turyst'!J189+'Tab. 6H - Kultura fiz. i turyst'!J201+'Tab. 6H - Kultura fiz. i turyst'!J210</f>
        <v>0</v>
      </c>
      <c r="I38" s="1645">
        <f>'Tab. 6H - Kultura fiz. i turyst'!K180+'Tab. 6H - Kultura fiz. i turyst'!K189+'Tab. 6H - Kultura fiz. i turyst'!K201+'Tab. 6H - Kultura fiz. i turyst'!K210</f>
        <v>0</v>
      </c>
      <c r="J38" s="1645">
        <f>'Tab. 6H - Kultura fiz. i turyst'!L180+'Tab. 6H - Kultura fiz. i turyst'!L189+'Tab. 6H - Kultura fiz. i turyst'!L201+'Tab. 6H - Kultura fiz. i turyst'!L210</f>
        <v>0</v>
      </c>
      <c r="K38" s="1641">
        <f>C38+D38+E38+F38+G38+H38+I38+J38</f>
        <v>13851376</v>
      </c>
      <c r="L38" s="1642">
        <f>+D38+E38+F38+G38+H38+I38</f>
        <v>13375082</v>
      </c>
      <c r="M38" s="1642">
        <f>+E38+F38+G38+H38+I38+J38</f>
        <v>13345082</v>
      </c>
      <c r="N38" s="2741"/>
      <c r="O38" s="2741"/>
      <c r="P38" s="1665"/>
      <c r="Q38" s="1666"/>
      <c r="R38" s="1666"/>
    </row>
    <row r="39" spans="1:18" s="1667" customFormat="1" ht="26.25" customHeight="1" thickBot="1">
      <c r="A39" s="3688" t="s">
        <v>516</v>
      </c>
      <c r="B39" s="3689"/>
      <c r="C39" s="1643">
        <f>'Tab. 6H - Kultura fiz. i turyst'!E185+'Tab. 6H - Kultura fiz. i turyst'!E195+'Tab. 6H - Kultura fiz. i turyst'!E206+'Tab. 6H - Kultura fiz. i turyst'!E216</f>
        <v>120000</v>
      </c>
      <c r="D39" s="1643">
        <f>'Tab. 6H - Kultura fiz. i turyst'!F185+'Tab. 6H - Kultura fiz. i turyst'!F195+'Tab. 6H - Kultura fiz. i turyst'!F206+'Tab. 6H - Kultura fiz. i turyst'!F216</f>
        <v>30000</v>
      </c>
      <c r="E39" s="1643">
        <f>'Tab. 6H - Kultura fiz. i turyst'!G185+'Tab. 6H - Kultura fiz. i turyst'!G195+'Tab. 6H - Kultura fiz. i turyst'!G206+'Tab. 6H - Kultura fiz. i turyst'!G216</f>
        <v>219403</v>
      </c>
      <c r="F39" s="1643">
        <f>'Tab. 6H - Kultura fiz. i turyst'!H185+'Tab. 6H - Kultura fiz. i turyst'!H195+'Tab. 6H - Kultura fiz. i turyst'!H206+'Tab. 6H - Kultura fiz. i turyst'!H216</f>
        <v>1799008</v>
      </c>
      <c r="G39" s="1643">
        <f>'Tab. 6H - Kultura fiz. i turyst'!I185+'Tab. 6H - Kultura fiz. i turyst'!I195+'Tab. 6H - Kultura fiz. i turyst'!I206+'Tab. 6H - Kultura fiz. i turyst'!I216</f>
        <v>6184486</v>
      </c>
      <c r="H39" s="1643">
        <f>'Tab. 6H - Kultura fiz. i turyst'!J185+'Tab. 6H - Kultura fiz. i turyst'!J195+'Tab. 6H - Kultura fiz. i turyst'!J206+'Tab. 6H - Kultura fiz. i turyst'!J216</f>
        <v>3347788</v>
      </c>
      <c r="I39" s="1643">
        <f>'Tab. 6H - Kultura fiz. i turyst'!K185+'Tab. 6H - Kultura fiz. i turyst'!K195+'Tab. 6H - Kultura fiz. i turyst'!K206+'Tab. 6H - Kultura fiz. i turyst'!K216</f>
        <v>0</v>
      </c>
      <c r="J39" s="1643">
        <f>'Tab. 6H - Kultura fiz. i turyst'!L185+'Tab. 6H - Kultura fiz. i turyst'!L195+'Tab. 6H - Kultura fiz. i turyst'!L206+'Tab. 6H - Kultura fiz. i turyst'!L216</f>
        <v>0</v>
      </c>
      <c r="K39" s="1926">
        <f>+C39+D39+E39+F39+G39+H39+I39+J39</f>
        <v>11700685</v>
      </c>
      <c r="L39" s="1646" t="s">
        <v>61</v>
      </c>
      <c r="M39" s="1646" t="s">
        <v>61</v>
      </c>
      <c r="N39" s="2743"/>
      <c r="O39" s="2743"/>
      <c r="P39" s="1665"/>
      <c r="Q39" s="1666"/>
      <c r="R39" s="1666"/>
    </row>
    <row r="40" spans="1:18" s="1194" customFormat="1" ht="48" customHeight="1" thickBot="1">
      <c r="A40" s="3678" t="s">
        <v>417</v>
      </c>
      <c r="B40" s="3679"/>
      <c r="C40" s="1647">
        <f>+'Tab. 6D - Oświata'!E22+'Tab. 6D - Oświata'!E33+'Tab. 6D - Oświata'!E44</f>
        <v>593887</v>
      </c>
      <c r="D40" s="1647">
        <f>+'Tab. 6D - Oświata'!F22+'Tab. 6D - Oświata'!F33+'Tab. 6D - Oświata'!F44</f>
        <v>152213</v>
      </c>
      <c r="E40" s="1647">
        <f>+'Tab. 6D - Oświata'!G22+'Tab. 6D - Oświata'!G33+'Tab. 6D - Oświata'!G44</f>
        <v>199080</v>
      </c>
      <c r="F40" s="1647">
        <f>+'Tab. 6D - Oświata'!H22+'Tab. 6D - Oświata'!H33+'Tab. 6D - Oświata'!H44</f>
        <v>199080</v>
      </c>
      <c r="G40" s="1647">
        <f>+'Tab. 6D - Oświata'!I22+'Tab. 6D - Oświata'!I33+'Tab. 6D - Oświata'!I44</f>
        <v>199080</v>
      </c>
      <c r="H40" s="1647">
        <f>+'Tab. 6D - Oświata'!J22+'Tab. 6D - Oświata'!J33+'Tab. 6D - Oświata'!J44</f>
        <v>0</v>
      </c>
      <c r="I40" s="1647">
        <f>+'Tab. 6D - Oświata'!K22+'Tab. 6D - Oświata'!K33+'Tab. 6D - Oświata'!K44</f>
        <v>0</v>
      </c>
      <c r="J40" s="1647">
        <f>+'Tab. 6D - Oświata'!L22+'Tab. 6D - Oświata'!L33+'Tab. 6D - Oświata'!L44</f>
        <v>0</v>
      </c>
      <c r="K40" s="1633">
        <f>C40+D40+E40+F40+G40+H40+I40+J40</f>
        <v>1343340</v>
      </c>
      <c r="L40" s="1634">
        <f>+D40+E40+F40+G40+H40+I40+J40</f>
        <v>749453</v>
      </c>
      <c r="M40" s="1634">
        <f>+E40+F40+G40+H40+I40+J40</f>
        <v>597240</v>
      </c>
      <c r="N40" s="2744">
        <f>E40/$E$45%</f>
        <v>3.3829801818434438E-2</v>
      </c>
      <c r="O40" s="2744">
        <f>E40/$O$48%</f>
        <v>1.6638733366409822E-2</v>
      </c>
      <c r="P40" s="1635"/>
      <c r="Q40" s="1218"/>
      <c r="R40" s="1218"/>
    </row>
    <row r="41" spans="1:18" s="1194" customFormat="1" ht="48" customHeight="1" thickBot="1">
      <c r="A41" s="3674" t="s">
        <v>418</v>
      </c>
      <c r="B41" s="3675"/>
      <c r="C41" s="1636">
        <f>+'Tab. 6D - Oświata'!E27+'Tab. 6D - Oświata'!E38+'Tab. 6D - Oświata'!E47</f>
        <v>291312</v>
      </c>
      <c r="D41" s="1636">
        <f>+'Tab. 6D - Oświata'!F27+'Tab. 6D - Oświata'!F38+'Tab. 6D - Oświata'!F47</f>
        <v>80296</v>
      </c>
      <c r="E41" s="1636">
        <f>+'Tab. 6D - Oświata'!G27+'Tab. 6D - Oświata'!G38+'Tab. 6D - Oświata'!G47</f>
        <v>94755</v>
      </c>
      <c r="F41" s="1636">
        <f>+'Tab. 6D - Oświata'!H27+'Tab. 6D - Oświata'!H38+'Tab. 6D - Oświata'!H47</f>
        <v>99540</v>
      </c>
      <c r="G41" s="1636">
        <f>+'Tab. 6D - Oświata'!I27+'Tab. 6D - Oświata'!I38+'Tab. 6D - Oświata'!I47</f>
        <v>99540</v>
      </c>
      <c r="H41" s="1636">
        <f>+'Tab. 6D - Oświata'!J27+'Tab. 6D - Oświata'!J38+'Tab. 6D - Oświata'!J47</f>
        <v>29862</v>
      </c>
      <c r="I41" s="1636">
        <f>+'Tab. 6D - Oświata'!K27+'Tab. 6D - Oświata'!K38+'Tab. 6D - Oświata'!K47</f>
        <v>0</v>
      </c>
      <c r="J41" s="1636">
        <f>+'Tab. 6D - Oświata'!L27+'Tab. 6D - Oświata'!L38+'Tab. 6D - Oświata'!L47</f>
        <v>0</v>
      </c>
      <c r="K41" s="1636">
        <f>+C41+D41+E41+F41+G41+H41+I41+J41</f>
        <v>695305</v>
      </c>
      <c r="L41" s="1637" t="s">
        <v>61</v>
      </c>
      <c r="M41" s="1637" t="s">
        <v>61</v>
      </c>
      <c r="N41" s="2739"/>
      <c r="O41" s="2739"/>
      <c r="P41" s="1635"/>
      <c r="Q41" s="1218"/>
      <c r="R41" s="1218"/>
    </row>
    <row r="42" spans="1:18" s="1194" customFormat="1" ht="35.25" customHeight="1" thickBot="1">
      <c r="A42" s="3678" t="s">
        <v>222</v>
      </c>
      <c r="B42" s="3679"/>
      <c r="C42" s="1647">
        <f>'Tab. 6D - Oświata'!E51+'Tab. 6A -Drogi'!E467+'Tab. 6D - Oświata'!E65+'Tab. 6D - Oświata'!E60</f>
        <v>803</v>
      </c>
      <c r="D42" s="1647">
        <f>'Tab. 6D - Oświata'!F51+'Tab. 6A -Drogi'!F467+'Tab. 6D - Oświata'!F65+'Tab. 6D - Oświata'!F60</f>
        <v>29479</v>
      </c>
      <c r="E42" s="1647">
        <f>'Tab. 6D - Oświata'!G51+'Tab. 6A -Drogi'!G467+'Tab. 6D - Oświata'!G65+'Tab. 6D - Oświata'!G60</f>
        <v>21882</v>
      </c>
      <c r="F42" s="1647">
        <f>'Tab. 6D - Oświata'!H51+'Tab. 6A -Drogi'!H467+'Tab. 6D - Oświata'!H65+'Tab. 6D - Oświata'!H60</f>
        <v>0</v>
      </c>
      <c r="G42" s="1647">
        <f>'Tab. 6D - Oświata'!I51+'Tab. 6A -Drogi'!I467+'Tab. 6D - Oświata'!I65+'Tab. 6D - Oświata'!I60</f>
        <v>0</v>
      </c>
      <c r="H42" s="1647">
        <f>'Tab. 6D - Oświata'!J51+'Tab. 6A -Drogi'!J467+'Tab. 6D - Oświata'!J65+'Tab. 6D - Oświata'!J60</f>
        <v>0</v>
      </c>
      <c r="I42" s="1647">
        <f>'Tab. 6D - Oświata'!K51+'Tab. 6A -Drogi'!K467+'Tab. 6D - Oświata'!K65+'Tab. 6D - Oświata'!K60</f>
        <v>0</v>
      </c>
      <c r="J42" s="1647">
        <f>'Tab. 6D - Oświata'!L51+'Tab. 6A -Drogi'!L467+'Tab. 6D - Oświata'!L65+'Tab. 6D - Oświata'!L60</f>
        <v>0</v>
      </c>
      <c r="K42" s="1633">
        <f>C42+D42+E42+F42+G42+H42+I42+J42</f>
        <v>52164</v>
      </c>
      <c r="L42" s="1634">
        <f>+D42+E42+F42+G42+H42+I42+J42</f>
        <v>51361</v>
      </c>
      <c r="M42" s="1634">
        <f>+E42+F42+G42+H42+I42+J42</f>
        <v>21882</v>
      </c>
      <c r="N42" s="2744">
        <f>E42/$E$45%</f>
        <v>3.7184233644312957E-3</v>
      </c>
      <c r="O42" s="2744">
        <f>E42/$O$48%</f>
        <v>1.8288565577847082E-3</v>
      </c>
      <c r="P42" s="1635"/>
      <c r="Q42" s="1218"/>
      <c r="R42" s="1218"/>
    </row>
    <row r="43" spans="1:18" s="1194" customFormat="1" ht="35.25" customHeight="1" thickBot="1">
      <c r="A43" s="3674" t="s">
        <v>223</v>
      </c>
      <c r="B43" s="3675"/>
      <c r="C43" s="1636">
        <f>'Tab. 6D - Oświata'!E54+'Tab. 6A -Drogi'!E472+'Tab. 6D - Oświata'!E68+'Tab. 6D - Oświata'!E61</f>
        <v>803</v>
      </c>
      <c r="D43" s="1636">
        <f>'Tab. 6D - Oświata'!F54+'Tab. 6A -Drogi'!F472+'Tab. 6D - Oświata'!F68+'Tab. 6D - Oświata'!F61</f>
        <v>29479</v>
      </c>
      <c r="E43" s="1636">
        <f>'Tab. 6D - Oświata'!G54+'Tab. 6A -Drogi'!G472+'Tab. 6D - Oświata'!G68+'Tab. 6D - Oświata'!G61</f>
        <v>21882</v>
      </c>
      <c r="F43" s="1636">
        <f>'Tab. 6D - Oświata'!H54+'Tab. 6A -Drogi'!H472+'Tab. 6D - Oświata'!H68+'Tab. 6D - Oświata'!H61</f>
        <v>0</v>
      </c>
      <c r="G43" s="1636">
        <f>'Tab. 6D - Oświata'!I54+'Tab. 6A -Drogi'!I472+'Tab. 6D - Oświata'!I68+'Tab. 6D - Oświata'!I61</f>
        <v>0</v>
      </c>
      <c r="H43" s="1636">
        <f>'Tab. 6D - Oświata'!J54+'Tab. 6A -Drogi'!J472+'Tab. 6D - Oświata'!J68+'Tab. 6D - Oświata'!J61</f>
        <v>0</v>
      </c>
      <c r="I43" s="1636">
        <f>'Tab. 6D - Oświata'!K54+'Tab. 6A -Drogi'!K472+'Tab. 6D - Oświata'!K68+'Tab. 6D - Oświata'!K61</f>
        <v>0</v>
      </c>
      <c r="J43" s="1636">
        <f>'Tab. 6D - Oświata'!L54+'Tab. 6A -Drogi'!L472+'Tab. 6D - Oświata'!L68+'Tab. 6D - Oświata'!L61</f>
        <v>0</v>
      </c>
      <c r="K43" s="1636">
        <f>+C43+D43+E43+F43+G43+H43+I43+J43</f>
        <v>52164</v>
      </c>
      <c r="L43" s="1637" t="s">
        <v>61</v>
      </c>
      <c r="M43" s="1637" t="s">
        <v>61</v>
      </c>
      <c r="N43" s="2739"/>
      <c r="O43" s="2739"/>
      <c r="P43" s="1635"/>
      <c r="Q43" s="1218"/>
      <c r="R43" s="1218"/>
    </row>
    <row r="44" spans="1:18" ht="13.5" thickBot="1">
      <c r="B44" s="1160"/>
      <c r="K44" s="1160"/>
      <c r="L44" s="1160"/>
      <c r="M44" s="1160"/>
      <c r="N44" s="1160"/>
      <c r="O44" s="1160"/>
    </row>
    <row r="45" spans="1:18" s="1194" customFormat="1" ht="21.75" customHeight="1" thickBot="1">
      <c r="A45" s="3672" t="s">
        <v>196</v>
      </c>
      <c r="B45" s="3673"/>
      <c r="C45" s="1633">
        <f t="shared" ref="C45:J45" si="2">C7+C9+C11+C13+C15+C17+C19+C21+C25+C40+C23+C42</f>
        <v>100307721</v>
      </c>
      <c r="D45" s="1633">
        <f t="shared" si="2"/>
        <v>297133807</v>
      </c>
      <c r="E45" s="1633">
        <f t="shared" si="2"/>
        <v>588475218</v>
      </c>
      <c r="F45" s="1633">
        <f t="shared" si="2"/>
        <v>160306013</v>
      </c>
      <c r="G45" s="1633">
        <f t="shared" si="2"/>
        <v>83962467</v>
      </c>
      <c r="H45" s="1633">
        <f t="shared" si="2"/>
        <v>38634583</v>
      </c>
      <c r="I45" s="1633">
        <f t="shared" si="2"/>
        <v>36558257</v>
      </c>
      <c r="J45" s="1633">
        <f t="shared" si="2"/>
        <v>34978694</v>
      </c>
      <c r="K45" s="1633">
        <f>K7+K9+K11+K13+K15+K17+K19+K21+K25+K40+K23+K42</f>
        <v>1340356760</v>
      </c>
      <c r="L45" s="1634">
        <f>+D45+E45+F45+G45+H45+I45+J45</f>
        <v>1240049039</v>
      </c>
      <c r="M45" s="1634">
        <f>+E45+F45+G45+H45+I45+J45</f>
        <v>942915232</v>
      </c>
      <c r="N45" s="2744">
        <f>E45/$E$45%</f>
        <v>100</v>
      </c>
      <c r="O45" s="2744"/>
      <c r="P45" s="1219"/>
      <c r="Q45" s="1218"/>
      <c r="R45" s="1218"/>
    </row>
    <row r="46" spans="1:18" s="1194" customFormat="1" ht="21.75" customHeight="1" thickBot="1">
      <c r="A46" s="3674" t="s">
        <v>197</v>
      </c>
      <c r="B46" s="3675"/>
      <c r="C46" s="1636">
        <f t="shared" ref="C46:I46" si="3">C8+C10+C12+C14+C16+C18+C20+C22+C26+C41+C24+C43</f>
        <v>79181287</v>
      </c>
      <c r="D46" s="1636">
        <f t="shared" si="3"/>
        <v>229496333</v>
      </c>
      <c r="E46" s="1636">
        <f t="shared" si="3"/>
        <v>494335234</v>
      </c>
      <c r="F46" s="1636">
        <f t="shared" si="3"/>
        <v>147947232</v>
      </c>
      <c r="G46" s="1636">
        <f t="shared" si="3"/>
        <v>69459403</v>
      </c>
      <c r="H46" s="1636">
        <f t="shared" si="3"/>
        <v>35963654</v>
      </c>
      <c r="I46" s="1636">
        <f t="shared" si="3"/>
        <v>32088890</v>
      </c>
      <c r="J46" s="1636">
        <f>J8+J10+J12+J14+J16+J18+J20+J22+J26+J41+J24+J43</f>
        <v>31064939</v>
      </c>
      <c r="K46" s="1636">
        <f>K8+K10+K12+K14+K16+K18+K20+K22+K26+K41+K24+K43</f>
        <v>1124576716</v>
      </c>
      <c r="L46" s="1637" t="s">
        <v>61</v>
      </c>
      <c r="M46" s="1637" t="s">
        <v>61</v>
      </c>
      <c r="N46" s="2739"/>
      <c r="O46" s="2739"/>
      <c r="P46" s="1219"/>
      <c r="Q46" s="1218"/>
      <c r="R46" s="1218"/>
    </row>
    <row r="47" spans="1:18">
      <c r="B47" s="1160"/>
      <c r="K47" s="1160"/>
      <c r="L47" s="1160"/>
      <c r="M47" s="1160"/>
      <c r="N47" s="1160"/>
      <c r="O47" s="1160"/>
    </row>
    <row r="48" spans="1:18" hidden="1">
      <c r="A48" s="1160" t="s">
        <v>198</v>
      </c>
      <c r="C48" s="1650">
        <f>+'Tabela nr 6'!B48</f>
        <v>100307721.3</v>
      </c>
      <c r="D48" s="1167">
        <f>+'Tabela nr 6'!C48</f>
        <v>297133807</v>
      </c>
      <c r="E48" s="1167">
        <f>+'Tabela nr 6'!D48</f>
        <v>588475218</v>
      </c>
      <c r="F48" s="1167">
        <f>+'Tabela nr 6'!E48</f>
        <v>160306013</v>
      </c>
      <c r="G48" s="1167">
        <f>+'Tabela nr 6'!F48</f>
        <v>83962467</v>
      </c>
      <c r="H48" s="1167">
        <f>+'Tabela nr 6'!G48</f>
        <v>38634583</v>
      </c>
      <c r="I48" s="1167">
        <f>+'Tabela nr 6'!H48</f>
        <v>36558257</v>
      </c>
      <c r="J48" s="1167">
        <f>+'Tabela nr 6'!I48</f>
        <v>34978694</v>
      </c>
      <c r="K48" s="1167">
        <f>+'Tabela nr 6'!J48</f>
        <v>1340356760.3</v>
      </c>
      <c r="L48" s="1167">
        <f>'Tabela nr 6'!K12</f>
        <v>1240049039</v>
      </c>
      <c r="M48" s="1167">
        <f>'Tabela nr 6'!L12</f>
        <v>942915232</v>
      </c>
      <c r="N48" s="2745">
        <f>E45/O48%</f>
        <v>49.183656043007304</v>
      </c>
      <c r="O48" s="1167">
        <v>1196485307</v>
      </c>
    </row>
    <row r="49" spans="1:18" hidden="1">
      <c r="A49" s="1160" t="s">
        <v>199</v>
      </c>
      <c r="C49" s="1650">
        <f>+'Tabela nr 6'!B49</f>
        <v>79181287</v>
      </c>
      <c r="D49" s="1167">
        <f>+'Tabela nr 6'!C49</f>
        <v>229496333</v>
      </c>
      <c r="E49" s="1167">
        <f>+'Tabela nr 6'!D49</f>
        <v>494335234</v>
      </c>
      <c r="F49" s="1167">
        <f>+'Tabela nr 6'!E49</f>
        <v>147947232</v>
      </c>
      <c r="G49" s="1167">
        <f>+'Tabela nr 6'!F49</f>
        <v>69459403</v>
      </c>
      <c r="H49" s="1167">
        <f>+'Tabela nr 6'!G49</f>
        <v>35963654</v>
      </c>
      <c r="I49" s="1167">
        <f>+'Tabela nr 6'!H49</f>
        <v>32088890</v>
      </c>
      <c r="J49" s="1167">
        <f>+'Tabela nr 6'!I49</f>
        <v>31064939</v>
      </c>
      <c r="K49" s="1167">
        <f>+'Tabela nr 6'!J49</f>
        <v>1124576716</v>
      </c>
      <c r="L49" s="1651"/>
      <c r="M49" s="1651"/>
      <c r="N49" s="1167"/>
      <c r="O49" s="1167"/>
    </row>
    <row r="50" spans="1:18" hidden="1">
      <c r="B50" s="1885" t="s">
        <v>200</v>
      </c>
      <c r="K50" s="1160"/>
      <c r="L50" s="1160"/>
      <c r="M50" s="1160"/>
      <c r="N50" s="1160"/>
      <c r="O50" s="1160"/>
    </row>
    <row r="51" spans="1:18" hidden="1">
      <c r="B51" s="1883" t="s">
        <v>455</v>
      </c>
      <c r="C51" s="1650">
        <f>+C45-C48</f>
        <v>-0.29999999701976776</v>
      </c>
      <c r="D51" s="1167">
        <f t="shared" ref="D51:M51" si="4">+D45-D48</f>
        <v>0</v>
      </c>
      <c r="E51" s="1167">
        <f t="shared" si="4"/>
        <v>0</v>
      </c>
      <c r="F51" s="1167">
        <f t="shared" si="4"/>
        <v>0</v>
      </c>
      <c r="G51" s="1167">
        <f t="shared" si="4"/>
        <v>0</v>
      </c>
      <c r="H51" s="1167">
        <f t="shared" si="4"/>
        <v>0</v>
      </c>
      <c r="I51" s="1167">
        <f t="shared" si="4"/>
        <v>0</v>
      </c>
      <c r="J51" s="1167">
        <f t="shared" si="4"/>
        <v>0</v>
      </c>
      <c r="K51" s="1167">
        <f>+K45-K48</f>
        <v>-0.29999995231628418</v>
      </c>
      <c r="L51" s="1167">
        <f>+L45-L48</f>
        <v>0</v>
      </c>
      <c r="M51" s="1167">
        <f t="shared" si="4"/>
        <v>0</v>
      </c>
      <c r="N51" s="1167"/>
      <c r="O51" s="1167"/>
    </row>
    <row r="52" spans="1:18" hidden="1">
      <c r="B52" s="1884" t="s">
        <v>456</v>
      </c>
      <c r="C52" s="1650">
        <f>+C46-C49</f>
        <v>0</v>
      </c>
      <c r="D52" s="1167">
        <f t="shared" ref="D52:J52" si="5">+D46-D49</f>
        <v>0</v>
      </c>
      <c r="E52" s="1167">
        <f t="shared" si="5"/>
        <v>0</v>
      </c>
      <c r="F52" s="1167">
        <f t="shared" si="5"/>
        <v>0</v>
      </c>
      <c r="G52" s="1167">
        <f t="shared" si="5"/>
        <v>0</v>
      </c>
      <c r="H52" s="1167">
        <f t="shared" si="5"/>
        <v>0</v>
      </c>
      <c r="I52" s="1167">
        <f t="shared" si="5"/>
        <v>0</v>
      </c>
      <c r="J52" s="1167">
        <f t="shared" si="5"/>
        <v>0</v>
      </c>
      <c r="K52" s="1167">
        <f>+K46-K49</f>
        <v>0</v>
      </c>
      <c r="L52" s="1167">
        <v>0</v>
      </c>
      <c r="M52" s="1167">
        <v>0</v>
      </c>
      <c r="N52" s="1167"/>
      <c r="O52" s="1167"/>
    </row>
    <row r="53" spans="1:18">
      <c r="B53" s="1160"/>
      <c r="C53" s="1650"/>
      <c r="K53" s="1160"/>
      <c r="L53" s="1160"/>
      <c r="M53" s="1160"/>
      <c r="N53" s="1160"/>
      <c r="O53" s="1160"/>
      <c r="P53" s="1159"/>
      <c r="Q53" s="1159"/>
      <c r="R53" s="1159"/>
    </row>
    <row r="54" spans="1:18">
      <c r="B54" s="1160"/>
      <c r="C54" s="1650"/>
      <c r="K54" s="1160"/>
      <c r="L54" s="1160"/>
      <c r="M54" s="1160"/>
      <c r="N54" s="1160"/>
      <c r="O54" s="1160"/>
      <c r="P54" s="1159"/>
      <c r="Q54" s="1159"/>
      <c r="R54" s="1159"/>
    </row>
    <row r="55" spans="1:18">
      <c r="A55" s="1652"/>
      <c r="B55" s="1160"/>
      <c r="C55" s="1650"/>
      <c r="F55" s="1167"/>
      <c r="K55" s="1160"/>
      <c r="L55" s="1160"/>
      <c r="M55" s="1160"/>
      <c r="N55" s="1160"/>
      <c r="O55" s="1160"/>
      <c r="P55" s="1159"/>
      <c r="Q55" s="1159"/>
      <c r="R55" s="1159"/>
    </row>
    <row r="56" spans="1:18" ht="23.25" customHeight="1">
      <c r="B56" s="1653"/>
      <c r="C56" s="1650"/>
      <c r="E56" s="1167"/>
      <c r="K56" s="1160"/>
      <c r="L56" s="1160"/>
      <c r="M56" s="1160"/>
      <c r="N56" s="1160"/>
      <c r="O56" s="1160"/>
      <c r="P56" s="1159"/>
      <c r="Q56" s="1159"/>
      <c r="R56" s="1159"/>
    </row>
    <row r="57" spans="1:18">
      <c r="B57" s="1160"/>
      <c r="C57" s="1650"/>
      <c r="K57" s="1160"/>
      <c r="L57" s="1160"/>
      <c r="M57" s="1160"/>
      <c r="N57" s="1160"/>
      <c r="O57" s="1160"/>
      <c r="P57" s="1159"/>
      <c r="Q57" s="1159"/>
      <c r="R57" s="1159"/>
    </row>
    <row r="58" spans="1:18">
      <c r="A58" s="1654"/>
      <c r="B58" s="1160"/>
      <c r="C58" s="1650"/>
      <c r="K58" s="1160"/>
      <c r="L58" s="1160"/>
      <c r="M58" s="1160"/>
      <c r="N58" s="1160"/>
      <c r="O58" s="1160"/>
      <c r="P58" s="1159"/>
      <c r="Q58" s="1159"/>
      <c r="R58" s="1159"/>
    </row>
    <row r="59" spans="1:18">
      <c r="B59" s="1160"/>
      <c r="C59" s="1650"/>
      <c r="K59" s="1160"/>
      <c r="L59" s="1160"/>
      <c r="M59" s="1160"/>
      <c r="N59" s="1160"/>
      <c r="O59" s="1160"/>
      <c r="P59" s="1159"/>
      <c r="Q59" s="1159"/>
      <c r="R59" s="1159"/>
    </row>
    <row r="60" spans="1:18">
      <c r="B60" s="1160"/>
      <c r="K60" s="1160"/>
      <c r="L60" s="1160"/>
      <c r="M60" s="1160"/>
      <c r="N60" s="1160"/>
      <c r="O60" s="1160"/>
      <c r="P60" s="1159"/>
      <c r="Q60" s="1159"/>
      <c r="R60" s="1159"/>
    </row>
    <row r="61" spans="1:18">
      <c r="B61" s="1160"/>
      <c r="K61" s="1160"/>
      <c r="L61" s="1160"/>
      <c r="M61" s="1160"/>
      <c r="N61" s="1160"/>
      <c r="O61" s="1160"/>
      <c r="P61" s="1159"/>
      <c r="Q61" s="1159"/>
      <c r="R61" s="1159"/>
    </row>
    <row r="62" spans="1:18">
      <c r="B62" s="1160"/>
      <c r="K62" s="1160"/>
      <c r="L62" s="1160"/>
      <c r="M62" s="1160"/>
      <c r="N62" s="1160"/>
      <c r="O62" s="1160"/>
      <c r="P62" s="1159"/>
      <c r="Q62" s="1159"/>
      <c r="R62" s="1159"/>
    </row>
    <row r="63" spans="1:18">
      <c r="A63" s="1654"/>
      <c r="B63" s="1160"/>
      <c r="K63" s="1160"/>
      <c r="L63" s="1160"/>
      <c r="M63" s="1160"/>
      <c r="N63" s="1160"/>
      <c r="O63" s="1160"/>
      <c r="P63" s="1159"/>
      <c r="Q63" s="1159"/>
      <c r="R63" s="1159"/>
    </row>
    <row r="64" spans="1:18">
      <c r="B64" s="1653"/>
      <c r="K64" s="1160"/>
      <c r="L64" s="1160"/>
      <c r="M64" s="1160"/>
      <c r="N64" s="1160"/>
      <c r="O64" s="1160"/>
      <c r="P64" s="1159"/>
      <c r="Q64" s="1159"/>
      <c r="R64" s="1159"/>
    </row>
    <row r="65" spans="1:18">
      <c r="B65" s="1160"/>
      <c r="K65" s="1160"/>
      <c r="L65" s="1160"/>
      <c r="M65" s="1160"/>
      <c r="N65" s="1160"/>
      <c r="O65" s="1160"/>
      <c r="P65" s="1159"/>
      <c r="Q65" s="1159"/>
      <c r="R65" s="1159"/>
    </row>
    <row r="66" spans="1:18">
      <c r="B66" s="1160"/>
      <c r="K66" s="1160"/>
      <c r="L66" s="1160"/>
      <c r="M66" s="1160"/>
      <c r="N66" s="1160"/>
      <c r="O66" s="1160"/>
      <c r="P66" s="1159"/>
      <c r="Q66" s="1159"/>
      <c r="R66" s="1159"/>
    </row>
    <row r="67" spans="1:18">
      <c r="A67" s="1159"/>
      <c r="B67" s="1160"/>
      <c r="K67" s="1160"/>
      <c r="L67" s="1160"/>
      <c r="M67" s="1160"/>
      <c r="N67" s="1160"/>
      <c r="O67" s="1160"/>
      <c r="P67" s="1159"/>
      <c r="Q67" s="1159"/>
      <c r="R67" s="1159"/>
    </row>
    <row r="68" spans="1:18">
      <c r="A68" s="1159"/>
      <c r="B68" s="1160"/>
      <c r="K68" s="1160"/>
      <c r="L68" s="1160"/>
      <c r="M68" s="1160"/>
      <c r="N68" s="1160"/>
      <c r="O68" s="1160"/>
      <c r="P68" s="1159"/>
      <c r="Q68" s="1159"/>
      <c r="R68" s="1159"/>
    </row>
    <row r="69" spans="1:18">
      <c r="A69" s="1159"/>
      <c r="B69" s="1160"/>
      <c r="K69" s="1160"/>
      <c r="L69" s="1160"/>
      <c r="M69" s="1160"/>
      <c r="N69" s="1160"/>
      <c r="O69" s="1160"/>
      <c r="P69" s="1159"/>
      <c r="Q69" s="1159"/>
      <c r="R69" s="1159"/>
    </row>
    <row r="70" spans="1:18">
      <c r="A70" s="1159"/>
      <c r="B70" s="1160"/>
      <c r="K70" s="1160"/>
      <c r="L70" s="1160"/>
      <c r="M70" s="1160"/>
      <c r="N70" s="1160"/>
      <c r="O70" s="1160"/>
      <c r="P70" s="1159"/>
      <c r="Q70" s="1159"/>
      <c r="R70" s="1159"/>
    </row>
    <row r="71" spans="1:18">
      <c r="A71" s="1159"/>
      <c r="B71" s="1160"/>
      <c r="K71" s="1160"/>
      <c r="L71" s="1160"/>
      <c r="M71" s="1160"/>
      <c r="N71" s="1160"/>
      <c r="O71" s="1160"/>
      <c r="P71" s="1159"/>
      <c r="Q71" s="1159"/>
      <c r="R71" s="1159"/>
    </row>
    <row r="72" spans="1:18">
      <c r="A72" s="1159"/>
      <c r="B72" s="1160"/>
      <c r="K72" s="1160"/>
      <c r="L72" s="1160"/>
      <c r="M72" s="1160"/>
      <c r="N72" s="1160"/>
      <c r="O72" s="1160"/>
      <c r="P72" s="1159"/>
      <c r="Q72" s="1159"/>
      <c r="R72" s="1159"/>
    </row>
    <row r="73" spans="1:18">
      <c r="A73" s="1159"/>
      <c r="B73" s="1160"/>
      <c r="K73" s="1160"/>
      <c r="L73" s="1160"/>
      <c r="M73" s="1160"/>
      <c r="N73" s="1160"/>
      <c r="O73" s="1160"/>
      <c r="P73" s="1159"/>
      <c r="Q73" s="1159"/>
      <c r="R73" s="1159"/>
    </row>
    <row r="74" spans="1:18">
      <c r="A74" s="1159"/>
      <c r="B74" s="1160"/>
      <c r="K74" s="1160"/>
      <c r="L74" s="1160"/>
      <c r="M74" s="1160"/>
      <c r="N74" s="1160"/>
      <c r="O74" s="1160"/>
      <c r="P74" s="1159"/>
      <c r="Q74" s="1159"/>
      <c r="R74" s="1159"/>
    </row>
    <row r="75" spans="1:18">
      <c r="A75" s="1159"/>
      <c r="B75" s="1160"/>
      <c r="K75" s="1160"/>
      <c r="L75" s="1160"/>
      <c r="M75" s="1160"/>
      <c r="N75" s="1160"/>
      <c r="O75" s="1160"/>
      <c r="P75" s="1159"/>
      <c r="Q75" s="1159"/>
      <c r="R75" s="1159"/>
    </row>
    <row r="76" spans="1:18">
      <c r="A76" s="1159"/>
      <c r="B76" s="1160"/>
      <c r="K76" s="1160"/>
      <c r="L76" s="1160"/>
      <c r="M76" s="1160"/>
      <c r="N76" s="1160"/>
      <c r="O76" s="1160"/>
      <c r="P76" s="1159"/>
      <c r="Q76" s="1159"/>
      <c r="R76" s="1159"/>
    </row>
    <row r="77" spans="1:18" ht="13.5" customHeight="1">
      <c r="A77" s="1159"/>
      <c r="B77" s="1160"/>
      <c r="K77" s="1160"/>
      <c r="L77" s="1160"/>
      <c r="M77" s="1160"/>
      <c r="N77" s="1160"/>
      <c r="O77" s="1160"/>
      <c r="P77" s="1159"/>
      <c r="Q77" s="1159"/>
      <c r="R77" s="1159"/>
    </row>
    <row r="78" spans="1:18">
      <c r="A78" s="1159"/>
      <c r="B78" s="1160"/>
      <c r="K78" s="1160"/>
      <c r="L78" s="1160"/>
      <c r="M78" s="1160"/>
      <c r="N78" s="1160"/>
      <c r="O78" s="1160"/>
      <c r="P78" s="1159"/>
      <c r="Q78" s="1159"/>
      <c r="R78" s="1159"/>
    </row>
    <row r="79" spans="1:18">
      <c r="A79" s="1159"/>
      <c r="B79" s="1160"/>
      <c r="K79" s="1160"/>
      <c r="L79" s="1160"/>
      <c r="M79" s="1160"/>
      <c r="N79" s="1160"/>
      <c r="O79" s="1160"/>
      <c r="P79" s="1159"/>
      <c r="Q79" s="1159"/>
      <c r="R79" s="1159"/>
    </row>
    <row r="80" spans="1:18">
      <c r="A80" s="1159"/>
      <c r="B80" s="1160"/>
      <c r="K80" s="1160"/>
      <c r="L80" s="1160"/>
      <c r="M80" s="1160"/>
      <c r="N80" s="1160"/>
      <c r="O80" s="1160"/>
      <c r="P80" s="1159"/>
      <c r="Q80" s="1159"/>
      <c r="R80" s="1159"/>
    </row>
    <row r="81" spans="1:18">
      <c r="A81" s="1159"/>
      <c r="B81" s="1160"/>
      <c r="K81" s="1160"/>
      <c r="L81" s="1160"/>
      <c r="M81" s="1160"/>
      <c r="N81" s="1160"/>
      <c r="O81" s="1160"/>
      <c r="P81" s="1159"/>
      <c r="Q81" s="1159"/>
      <c r="R81" s="1159"/>
    </row>
    <row r="82" spans="1:18">
      <c r="A82" s="1159"/>
      <c r="B82" s="1160"/>
      <c r="K82" s="1160"/>
      <c r="L82" s="1160"/>
      <c r="M82" s="1160"/>
      <c r="N82" s="1160"/>
      <c r="O82" s="1160"/>
      <c r="P82" s="1159"/>
      <c r="Q82" s="1159"/>
      <c r="R82" s="1159"/>
    </row>
    <row r="83" spans="1:18">
      <c r="A83" s="1159"/>
      <c r="B83" s="1160"/>
      <c r="K83" s="1160"/>
      <c r="L83" s="1160"/>
      <c r="M83" s="1160"/>
      <c r="N83" s="1160"/>
      <c r="O83" s="1160"/>
      <c r="P83" s="1159"/>
      <c r="Q83" s="1159"/>
      <c r="R83" s="1159"/>
    </row>
    <row r="84" spans="1:18">
      <c r="A84" s="1159"/>
      <c r="B84" s="1160"/>
      <c r="K84" s="1160"/>
      <c r="L84" s="1160"/>
      <c r="M84" s="1160"/>
      <c r="N84" s="1160"/>
      <c r="O84" s="1160"/>
      <c r="P84" s="1159"/>
      <c r="Q84" s="1159"/>
      <c r="R84" s="1159"/>
    </row>
    <row r="85" spans="1:18">
      <c r="A85" s="1159"/>
      <c r="B85" s="1160"/>
      <c r="K85" s="1160"/>
      <c r="L85" s="1160"/>
      <c r="M85" s="1160"/>
      <c r="N85" s="1160"/>
      <c r="O85" s="1160"/>
      <c r="P85" s="1159"/>
      <c r="Q85" s="1159"/>
      <c r="R85" s="1159"/>
    </row>
    <row r="86" spans="1:18">
      <c r="A86" s="1159"/>
      <c r="B86" s="1160"/>
      <c r="K86" s="1160"/>
      <c r="L86" s="1160"/>
      <c r="M86" s="1160"/>
      <c r="N86" s="1160"/>
      <c r="O86" s="1160"/>
      <c r="P86" s="1159"/>
      <c r="Q86" s="1159"/>
      <c r="R86" s="1159"/>
    </row>
    <row r="87" spans="1:18">
      <c r="A87" s="1159"/>
      <c r="B87" s="1160"/>
      <c r="K87" s="1160"/>
      <c r="L87" s="1160"/>
      <c r="M87" s="1160"/>
      <c r="N87" s="1160"/>
      <c r="O87" s="1160"/>
      <c r="P87" s="1159"/>
      <c r="Q87" s="1159"/>
      <c r="R87" s="1159"/>
    </row>
    <row r="88" spans="1:18">
      <c r="A88" s="1159"/>
      <c r="B88" s="1160"/>
      <c r="K88" s="1160"/>
      <c r="L88" s="1160"/>
      <c r="M88" s="1160"/>
      <c r="N88" s="1160"/>
      <c r="O88" s="1160"/>
      <c r="P88" s="1159"/>
      <c r="Q88" s="1159"/>
      <c r="R88" s="1159"/>
    </row>
    <row r="89" spans="1:18">
      <c r="A89" s="1159"/>
      <c r="B89" s="1160"/>
      <c r="K89" s="1160"/>
      <c r="L89" s="1160"/>
      <c r="M89" s="1160"/>
      <c r="N89" s="1160"/>
      <c r="O89" s="1160"/>
      <c r="P89" s="1159"/>
      <c r="Q89" s="1159"/>
      <c r="R89" s="1159"/>
    </row>
    <row r="90" spans="1:18">
      <c r="A90" s="1159"/>
      <c r="B90" s="1160"/>
      <c r="K90" s="1160"/>
      <c r="L90" s="1160"/>
      <c r="M90" s="1160"/>
      <c r="N90" s="1160"/>
      <c r="O90" s="1160"/>
      <c r="P90" s="1159"/>
      <c r="Q90" s="1159"/>
      <c r="R90" s="1159"/>
    </row>
    <row r="91" spans="1:18">
      <c r="A91" s="1159"/>
      <c r="B91" s="1160"/>
      <c r="K91" s="1160"/>
      <c r="L91" s="1160"/>
      <c r="M91" s="1160"/>
      <c r="N91" s="1160"/>
      <c r="O91" s="1160"/>
      <c r="P91" s="1159"/>
      <c r="Q91" s="1159"/>
      <c r="R91" s="1159"/>
    </row>
    <row r="92" spans="1:18">
      <c r="A92" s="1159"/>
      <c r="B92" s="1160"/>
      <c r="K92" s="1160"/>
      <c r="L92" s="1160"/>
      <c r="M92" s="1160"/>
      <c r="N92" s="1160"/>
      <c r="O92" s="1160"/>
      <c r="P92" s="1159"/>
      <c r="Q92" s="1159"/>
      <c r="R92" s="1159"/>
    </row>
    <row r="93" spans="1:18">
      <c r="A93" s="1159"/>
      <c r="B93" s="1160"/>
      <c r="K93" s="1160"/>
      <c r="L93" s="1160"/>
      <c r="M93" s="1160"/>
      <c r="N93" s="1160"/>
      <c r="O93" s="1160"/>
      <c r="P93" s="1159"/>
      <c r="Q93" s="1159"/>
      <c r="R93" s="1159"/>
    </row>
    <row r="94" spans="1:18">
      <c r="A94" s="1159"/>
      <c r="B94" s="1160"/>
      <c r="K94" s="1160"/>
      <c r="L94" s="1160"/>
      <c r="M94" s="1160"/>
      <c r="N94" s="1160"/>
      <c r="O94" s="1160"/>
      <c r="P94" s="1159"/>
      <c r="Q94" s="1159"/>
      <c r="R94" s="1159"/>
    </row>
    <row r="95" spans="1:18">
      <c r="A95" s="1159"/>
      <c r="B95" s="1160"/>
      <c r="K95" s="1160"/>
      <c r="L95" s="1160"/>
      <c r="M95" s="1160"/>
      <c r="N95" s="1160"/>
      <c r="O95" s="1160"/>
      <c r="P95" s="1159"/>
      <c r="Q95" s="1159"/>
      <c r="R95" s="1159"/>
    </row>
    <row r="96" spans="1:18">
      <c r="A96" s="1159"/>
      <c r="B96" s="1160"/>
      <c r="K96" s="1160"/>
      <c r="L96" s="1160"/>
      <c r="M96" s="1160"/>
      <c r="N96" s="1160"/>
      <c r="O96" s="1160"/>
      <c r="P96" s="1159"/>
      <c r="Q96" s="1159"/>
      <c r="R96" s="1159"/>
    </row>
    <row r="97" spans="1:18">
      <c r="A97" s="1159"/>
      <c r="B97" s="1160"/>
      <c r="K97" s="1160"/>
      <c r="L97" s="1160"/>
      <c r="M97" s="1160"/>
      <c r="N97" s="1160"/>
      <c r="O97" s="1160"/>
      <c r="P97" s="1159"/>
      <c r="Q97" s="1159"/>
      <c r="R97" s="1159"/>
    </row>
    <row r="98" spans="1:18">
      <c r="A98" s="1159"/>
      <c r="B98" s="1160"/>
      <c r="K98" s="1160"/>
      <c r="L98" s="1160"/>
      <c r="M98" s="1160"/>
      <c r="N98" s="1160"/>
      <c r="O98" s="1160"/>
      <c r="P98" s="1159"/>
      <c r="Q98" s="1159"/>
      <c r="R98" s="1159"/>
    </row>
    <row r="99" spans="1:18">
      <c r="A99" s="1159"/>
      <c r="B99" s="1160"/>
      <c r="K99" s="1160"/>
      <c r="L99" s="1160"/>
      <c r="M99" s="1160"/>
      <c r="N99" s="1160"/>
      <c r="O99" s="1160"/>
      <c r="P99" s="1159"/>
      <c r="Q99" s="1159"/>
      <c r="R99" s="1159"/>
    </row>
    <row r="100" spans="1:18">
      <c r="A100" s="1159"/>
      <c r="B100" s="1160"/>
      <c r="K100" s="1160"/>
      <c r="L100" s="1160"/>
      <c r="M100" s="1160"/>
      <c r="N100" s="1160"/>
      <c r="O100" s="1160"/>
      <c r="P100" s="1159"/>
      <c r="Q100" s="1159"/>
      <c r="R100" s="1159"/>
    </row>
    <row r="101" spans="1:18">
      <c r="A101" s="1159"/>
      <c r="B101" s="1160"/>
      <c r="K101" s="1160"/>
      <c r="L101" s="1160"/>
      <c r="M101" s="1160"/>
      <c r="N101" s="1160"/>
      <c r="O101" s="1160"/>
      <c r="P101" s="1159"/>
      <c r="Q101" s="1159"/>
      <c r="R101" s="1159"/>
    </row>
    <row r="102" spans="1:18">
      <c r="A102" s="1159"/>
      <c r="B102" s="1160"/>
      <c r="K102" s="1160"/>
      <c r="L102" s="1160"/>
      <c r="M102" s="1160"/>
      <c r="N102" s="1160"/>
      <c r="O102" s="1160"/>
      <c r="P102" s="1159"/>
      <c r="Q102" s="1159"/>
      <c r="R102" s="1159"/>
    </row>
    <row r="103" spans="1:18">
      <c r="A103" s="1159"/>
      <c r="B103" s="1160"/>
      <c r="K103" s="1160"/>
      <c r="L103" s="1160"/>
      <c r="M103" s="1160"/>
      <c r="N103" s="1160"/>
      <c r="O103" s="1160"/>
      <c r="P103" s="1159"/>
      <c r="Q103" s="1159"/>
      <c r="R103" s="1159"/>
    </row>
    <row r="104" spans="1:18">
      <c r="A104" s="1159"/>
      <c r="B104" s="1160"/>
      <c r="K104" s="1160"/>
      <c r="L104" s="1160"/>
      <c r="M104" s="1160"/>
      <c r="N104" s="1160"/>
      <c r="O104" s="1160"/>
      <c r="P104" s="1159"/>
      <c r="Q104" s="1159"/>
      <c r="R104" s="1159"/>
    </row>
    <row r="105" spans="1:18">
      <c r="A105" s="1159"/>
      <c r="B105" s="1160"/>
      <c r="K105" s="1160"/>
      <c r="L105" s="1160"/>
      <c r="M105" s="1160"/>
      <c r="N105" s="1160"/>
      <c r="O105" s="1160"/>
      <c r="P105" s="1159"/>
      <c r="Q105" s="1159"/>
      <c r="R105" s="1159"/>
    </row>
    <row r="106" spans="1:18">
      <c r="A106" s="1159"/>
      <c r="B106" s="1160"/>
      <c r="K106" s="1160"/>
      <c r="L106" s="1160"/>
      <c r="M106" s="1160"/>
      <c r="N106" s="1160"/>
      <c r="O106" s="1160"/>
      <c r="P106" s="1159"/>
      <c r="Q106" s="1159"/>
      <c r="R106" s="1159"/>
    </row>
    <row r="107" spans="1:18">
      <c r="A107" s="1159"/>
      <c r="B107" s="1160"/>
      <c r="K107" s="1160"/>
      <c r="L107" s="1160"/>
      <c r="M107" s="1160"/>
      <c r="N107" s="1160"/>
      <c r="O107" s="1160"/>
      <c r="P107" s="1159"/>
      <c r="Q107" s="1159"/>
      <c r="R107" s="1159"/>
    </row>
    <row r="108" spans="1:18">
      <c r="A108" s="1159"/>
      <c r="B108" s="1160"/>
      <c r="K108" s="1160"/>
      <c r="L108" s="1160"/>
      <c r="M108" s="1160"/>
      <c r="N108" s="1160"/>
      <c r="O108" s="1160"/>
      <c r="P108" s="1159"/>
      <c r="Q108" s="1159"/>
      <c r="R108" s="1159"/>
    </row>
    <row r="109" spans="1:18">
      <c r="A109" s="1159"/>
      <c r="B109" s="1160"/>
      <c r="K109" s="1160"/>
      <c r="L109" s="1160"/>
      <c r="M109" s="1160"/>
      <c r="N109" s="1160"/>
      <c r="O109" s="1160"/>
      <c r="P109" s="1159"/>
      <c r="Q109" s="1159"/>
      <c r="R109" s="1159"/>
    </row>
    <row r="110" spans="1:18">
      <c r="A110" s="1159"/>
      <c r="B110" s="1160"/>
      <c r="K110" s="1160"/>
      <c r="L110" s="1160"/>
      <c r="M110" s="1160"/>
      <c r="N110" s="1160"/>
      <c r="O110" s="1160"/>
      <c r="P110" s="1159"/>
      <c r="Q110" s="1159"/>
      <c r="R110" s="1159"/>
    </row>
    <row r="111" spans="1:18">
      <c r="A111" s="1159"/>
      <c r="B111" s="1160"/>
      <c r="K111" s="1160"/>
      <c r="L111" s="1160"/>
      <c r="M111" s="1160"/>
      <c r="N111" s="1160"/>
      <c r="O111" s="1160"/>
      <c r="P111" s="1159"/>
      <c r="Q111" s="1159"/>
      <c r="R111" s="1159"/>
    </row>
    <row r="112" spans="1:18">
      <c r="A112" s="1159"/>
      <c r="B112" s="1160"/>
      <c r="K112" s="1160"/>
      <c r="L112" s="1160"/>
      <c r="M112" s="1160"/>
      <c r="N112" s="1160"/>
      <c r="O112" s="1160"/>
      <c r="P112" s="1159"/>
      <c r="Q112" s="1159"/>
      <c r="R112" s="1159"/>
    </row>
    <row r="113" spans="1:18">
      <c r="A113" s="1159"/>
      <c r="B113" s="1160"/>
      <c r="K113" s="1160"/>
      <c r="L113" s="1160"/>
      <c r="M113" s="1160"/>
      <c r="N113" s="1160"/>
      <c r="O113" s="1160"/>
      <c r="P113" s="1159"/>
      <c r="Q113" s="1159"/>
      <c r="R113" s="1159"/>
    </row>
    <row r="114" spans="1:18">
      <c r="A114" s="1159"/>
      <c r="B114" s="1160"/>
      <c r="K114" s="1160"/>
      <c r="L114" s="1160"/>
      <c r="M114" s="1160"/>
      <c r="N114" s="1160"/>
      <c r="O114" s="1160"/>
      <c r="P114" s="1159"/>
      <c r="Q114" s="1159"/>
      <c r="R114" s="1159"/>
    </row>
    <row r="115" spans="1:18">
      <c r="A115" s="1159"/>
      <c r="B115" s="1160"/>
      <c r="K115" s="1160"/>
      <c r="L115" s="1160"/>
      <c r="M115" s="1160"/>
      <c r="N115" s="1160"/>
      <c r="O115" s="1160"/>
      <c r="P115" s="1159"/>
      <c r="Q115" s="1159"/>
      <c r="R115" s="1159"/>
    </row>
    <row r="116" spans="1:18">
      <c r="A116" s="1159"/>
      <c r="B116" s="1160"/>
      <c r="K116" s="1160"/>
      <c r="L116" s="1160"/>
      <c r="M116" s="1160"/>
      <c r="N116" s="1160"/>
      <c r="O116" s="1160"/>
      <c r="P116" s="1159"/>
      <c r="Q116" s="1159"/>
      <c r="R116" s="1159"/>
    </row>
    <row r="117" spans="1:18">
      <c r="A117" s="1159"/>
      <c r="B117" s="1160"/>
      <c r="K117" s="1160"/>
      <c r="L117" s="1160"/>
      <c r="M117" s="1160"/>
      <c r="N117" s="1160"/>
      <c r="O117" s="1160"/>
      <c r="P117" s="1159"/>
      <c r="Q117" s="1159"/>
      <c r="R117" s="1159"/>
    </row>
    <row r="118" spans="1:18">
      <c r="A118" s="1159"/>
      <c r="B118" s="1160"/>
      <c r="K118" s="1160"/>
      <c r="L118" s="1160"/>
      <c r="M118" s="1160"/>
      <c r="N118" s="1160"/>
      <c r="O118" s="1160"/>
      <c r="P118" s="1159"/>
      <c r="Q118" s="1159"/>
      <c r="R118" s="1159"/>
    </row>
    <row r="119" spans="1:18">
      <c r="A119" s="1159"/>
      <c r="B119" s="1160"/>
      <c r="K119" s="1160"/>
      <c r="L119" s="1160"/>
      <c r="M119" s="1160"/>
      <c r="N119" s="1160"/>
      <c r="O119" s="1160"/>
      <c r="P119" s="1159"/>
      <c r="Q119" s="1159"/>
      <c r="R119" s="1159"/>
    </row>
    <row r="120" spans="1:18">
      <c r="A120" s="1159"/>
      <c r="B120" s="1160"/>
      <c r="K120" s="1160"/>
      <c r="L120" s="1160"/>
      <c r="M120" s="1160"/>
      <c r="N120" s="1160"/>
      <c r="O120" s="1160"/>
      <c r="P120" s="1159"/>
      <c r="Q120" s="1159"/>
      <c r="R120" s="1159"/>
    </row>
    <row r="121" spans="1:18">
      <c r="A121" s="1159"/>
      <c r="B121" s="1160"/>
      <c r="K121" s="1160"/>
      <c r="L121" s="1160"/>
      <c r="M121" s="1160"/>
      <c r="N121" s="1160"/>
      <c r="O121" s="1160"/>
      <c r="P121" s="1159"/>
      <c r="Q121" s="1159"/>
      <c r="R121" s="1159"/>
    </row>
    <row r="122" spans="1:18">
      <c r="A122" s="1159"/>
      <c r="B122" s="1160"/>
      <c r="K122" s="1160"/>
      <c r="L122" s="1160"/>
      <c r="M122" s="1160"/>
      <c r="N122" s="1160"/>
      <c r="O122" s="1160"/>
      <c r="P122" s="1159"/>
      <c r="Q122" s="1159"/>
      <c r="R122" s="1159"/>
    </row>
    <row r="123" spans="1:18">
      <c r="A123" s="1159"/>
      <c r="B123" s="1160"/>
      <c r="K123" s="1160"/>
      <c r="L123" s="1160"/>
      <c r="M123" s="1160"/>
      <c r="N123" s="1160"/>
      <c r="O123" s="1160"/>
      <c r="P123" s="1159"/>
      <c r="Q123" s="1159"/>
      <c r="R123" s="1159"/>
    </row>
    <row r="124" spans="1:18">
      <c r="A124" s="1159"/>
      <c r="B124" s="1160"/>
      <c r="K124" s="1160"/>
      <c r="L124" s="1160"/>
      <c r="M124" s="1160"/>
      <c r="N124" s="1160"/>
      <c r="O124" s="1160"/>
      <c r="P124" s="1159"/>
      <c r="Q124" s="1159"/>
      <c r="R124" s="1159"/>
    </row>
    <row r="125" spans="1:18">
      <c r="A125" s="1159"/>
      <c r="B125" s="1160"/>
      <c r="K125" s="1160"/>
      <c r="L125" s="1160"/>
      <c r="M125" s="1160"/>
      <c r="N125" s="1160"/>
      <c r="O125" s="1160"/>
      <c r="P125" s="1159"/>
      <c r="Q125" s="1159"/>
      <c r="R125" s="1159"/>
    </row>
    <row r="126" spans="1:18">
      <c r="A126" s="1159"/>
      <c r="B126" s="1160"/>
      <c r="K126" s="1160"/>
      <c r="L126" s="1160"/>
      <c r="M126" s="1160"/>
      <c r="N126" s="1160"/>
      <c r="O126" s="1160"/>
      <c r="P126" s="1159"/>
      <c r="Q126" s="1159"/>
      <c r="R126" s="1159"/>
    </row>
    <row r="127" spans="1:18">
      <c r="A127" s="1159"/>
      <c r="B127" s="1160"/>
      <c r="K127" s="1160"/>
      <c r="L127" s="1160"/>
      <c r="M127" s="1160"/>
      <c r="N127" s="1160"/>
      <c r="O127" s="1160"/>
      <c r="P127" s="1159"/>
      <c r="Q127" s="1159"/>
      <c r="R127" s="1159"/>
    </row>
    <row r="128" spans="1:18">
      <c r="A128" s="1159"/>
      <c r="B128" s="1160"/>
      <c r="K128" s="1160"/>
      <c r="L128" s="1160"/>
      <c r="M128" s="1160"/>
      <c r="N128" s="1160"/>
      <c r="O128" s="1160"/>
      <c r="P128" s="1159"/>
      <c r="Q128" s="1159"/>
      <c r="R128" s="1159"/>
    </row>
    <row r="129" spans="1:18">
      <c r="A129" s="1159"/>
      <c r="B129" s="1160"/>
      <c r="K129" s="1160"/>
      <c r="L129" s="1160"/>
      <c r="M129" s="1160"/>
      <c r="N129" s="1160"/>
      <c r="O129" s="1160"/>
      <c r="P129" s="1159"/>
      <c r="Q129" s="1159"/>
      <c r="R129" s="1159"/>
    </row>
    <row r="130" spans="1:18">
      <c r="A130" s="1159"/>
      <c r="B130" s="1160"/>
      <c r="K130" s="1160"/>
      <c r="L130" s="1160"/>
      <c r="M130" s="1160"/>
      <c r="N130" s="1160"/>
      <c r="O130" s="1160"/>
      <c r="P130" s="1159"/>
      <c r="Q130" s="1159"/>
      <c r="R130" s="1159"/>
    </row>
    <row r="131" spans="1:18">
      <c r="A131" s="1159"/>
      <c r="B131" s="1160"/>
      <c r="K131" s="1160"/>
      <c r="L131" s="1160"/>
      <c r="M131" s="1160"/>
      <c r="N131" s="1160"/>
      <c r="O131" s="1160"/>
      <c r="P131" s="1159"/>
      <c r="Q131" s="1159"/>
      <c r="R131" s="1159"/>
    </row>
    <row r="132" spans="1:18">
      <c r="A132" s="1159"/>
      <c r="B132" s="1160"/>
      <c r="K132" s="1160"/>
      <c r="L132" s="1160"/>
      <c r="M132" s="1160"/>
      <c r="N132" s="1160"/>
      <c r="O132" s="1160"/>
      <c r="P132" s="1159"/>
      <c r="Q132" s="1159"/>
      <c r="R132" s="1159"/>
    </row>
    <row r="133" spans="1:18">
      <c r="A133" s="1159"/>
      <c r="B133" s="1160"/>
      <c r="K133" s="1160"/>
      <c r="L133" s="1160"/>
      <c r="M133" s="1160"/>
      <c r="N133" s="1160"/>
      <c r="O133" s="1160"/>
      <c r="P133" s="1159"/>
      <c r="Q133" s="1159"/>
      <c r="R133" s="1159"/>
    </row>
    <row r="134" spans="1:18">
      <c r="A134" s="1159"/>
      <c r="B134" s="1160"/>
      <c r="K134" s="1160"/>
      <c r="L134" s="1160"/>
      <c r="M134" s="1160"/>
      <c r="N134" s="1160"/>
      <c r="O134" s="1160"/>
      <c r="P134" s="1159"/>
      <c r="Q134" s="1159"/>
      <c r="R134" s="1159"/>
    </row>
    <row r="135" spans="1:18">
      <c r="A135" s="1159"/>
      <c r="B135" s="1160"/>
      <c r="K135" s="1160"/>
      <c r="L135" s="1160"/>
      <c r="M135" s="1160"/>
      <c r="N135" s="1160"/>
      <c r="O135" s="1160"/>
      <c r="P135" s="1159"/>
      <c r="Q135" s="1159"/>
      <c r="R135" s="1159"/>
    </row>
    <row r="136" spans="1:18">
      <c r="A136" s="1159"/>
      <c r="B136" s="1160"/>
      <c r="K136" s="1160"/>
      <c r="L136" s="1160"/>
      <c r="M136" s="1160"/>
      <c r="N136" s="1160"/>
      <c r="O136" s="1160"/>
      <c r="P136" s="1159"/>
      <c r="Q136" s="1159"/>
      <c r="R136" s="1159"/>
    </row>
    <row r="137" spans="1:18">
      <c r="A137" s="1159"/>
      <c r="B137" s="1160"/>
      <c r="K137" s="1160"/>
      <c r="L137" s="1160"/>
      <c r="M137" s="1160"/>
      <c r="N137" s="1160"/>
      <c r="O137" s="1160"/>
      <c r="P137" s="1159"/>
      <c r="Q137" s="1159"/>
      <c r="R137" s="1159"/>
    </row>
    <row r="138" spans="1:18">
      <c r="A138" s="1159"/>
      <c r="B138" s="1160"/>
      <c r="K138" s="1160"/>
      <c r="L138" s="1160"/>
      <c r="M138" s="1160"/>
      <c r="N138" s="1160"/>
      <c r="O138" s="1160"/>
      <c r="P138" s="1159"/>
      <c r="Q138" s="1159"/>
      <c r="R138" s="1159"/>
    </row>
    <row r="139" spans="1:18">
      <c r="A139" s="1159"/>
      <c r="B139" s="1160"/>
      <c r="K139" s="1160"/>
      <c r="L139" s="1160"/>
      <c r="M139" s="1160"/>
      <c r="N139" s="1160"/>
      <c r="O139" s="1160"/>
      <c r="P139" s="1159"/>
      <c r="Q139" s="1159"/>
      <c r="R139" s="1159"/>
    </row>
    <row r="140" spans="1:18">
      <c r="A140" s="1159"/>
      <c r="B140" s="1160"/>
      <c r="K140" s="1160"/>
      <c r="L140" s="1160"/>
      <c r="M140" s="1160"/>
      <c r="N140" s="1160"/>
      <c r="O140" s="1160"/>
      <c r="P140" s="1159"/>
      <c r="Q140" s="1159"/>
      <c r="R140" s="1159"/>
    </row>
    <row r="141" spans="1:18">
      <c r="A141" s="1159"/>
      <c r="B141" s="1160"/>
      <c r="K141" s="1160"/>
      <c r="L141" s="1160"/>
      <c r="M141" s="1160"/>
      <c r="N141" s="1160"/>
      <c r="O141" s="1160"/>
      <c r="P141" s="1159"/>
      <c r="Q141" s="1159"/>
      <c r="R141" s="1159"/>
    </row>
    <row r="142" spans="1:18">
      <c r="A142" s="1159"/>
      <c r="B142" s="1160"/>
      <c r="K142" s="1160"/>
      <c r="L142" s="1160"/>
      <c r="M142" s="1160"/>
      <c r="N142" s="1160"/>
      <c r="O142" s="1160"/>
      <c r="P142" s="1159"/>
      <c r="Q142" s="1159"/>
      <c r="R142" s="1159"/>
    </row>
    <row r="143" spans="1:18">
      <c r="A143" s="1159"/>
      <c r="B143" s="1160"/>
      <c r="K143" s="1160"/>
      <c r="L143" s="1160"/>
      <c r="M143" s="1160"/>
      <c r="N143" s="1160"/>
      <c r="O143" s="1160"/>
      <c r="P143" s="1159"/>
      <c r="Q143" s="1159"/>
      <c r="R143" s="1159"/>
    </row>
    <row r="144" spans="1:18">
      <c r="A144" s="1159"/>
      <c r="B144" s="1160"/>
      <c r="K144" s="1160"/>
      <c r="L144" s="1160"/>
      <c r="M144" s="1160"/>
      <c r="N144" s="1160"/>
      <c r="O144" s="1160"/>
      <c r="P144" s="1159"/>
      <c r="Q144" s="1159"/>
      <c r="R144" s="1159"/>
    </row>
    <row r="145" spans="1:18">
      <c r="A145" s="1159"/>
      <c r="B145" s="1160"/>
      <c r="K145" s="1160"/>
      <c r="L145" s="1160"/>
      <c r="M145" s="1160"/>
      <c r="N145" s="1160"/>
      <c r="O145" s="1160"/>
      <c r="P145" s="1159"/>
      <c r="Q145" s="1159"/>
      <c r="R145" s="1159"/>
    </row>
    <row r="146" spans="1:18">
      <c r="A146" s="1159"/>
      <c r="B146" s="1160"/>
      <c r="K146" s="1160"/>
      <c r="L146" s="1160"/>
      <c r="M146" s="1160"/>
      <c r="N146" s="1160"/>
      <c r="O146" s="1160"/>
      <c r="P146" s="1159"/>
      <c r="Q146" s="1159"/>
      <c r="R146" s="1159"/>
    </row>
    <row r="147" spans="1:18">
      <c r="A147" s="1159"/>
      <c r="B147" s="1160"/>
      <c r="K147" s="1160"/>
      <c r="L147" s="1160"/>
      <c r="M147" s="1160"/>
      <c r="N147" s="1160"/>
      <c r="O147" s="1160"/>
      <c r="P147" s="1159"/>
      <c r="Q147" s="1159"/>
      <c r="R147" s="1159"/>
    </row>
    <row r="148" spans="1:18">
      <c r="A148" s="1159"/>
      <c r="B148" s="1160"/>
      <c r="K148" s="1160"/>
      <c r="L148" s="1160"/>
      <c r="M148" s="1160"/>
      <c r="N148" s="1160"/>
      <c r="O148" s="1160"/>
      <c r="P148" s="1159"/>
      <c r="Q148" s="1159"/>
      <c r="R148" s="1159"/>
    </row>
    <row r="149" spans="1:18">
      <c r="A149" s="1159"/>
      <c r="B149" s="1160"/>
      <c r="K149" s="1160"/>
      <c r="L149" s="1160"/>
      <c r="M149" s="1160"/>
      <c r="N149" s="1160"/>
      <c r="O149" s="1160"/>
      <c r="P149" s="1159"/>
      <c r="Q149" s="1159"/>
      <c r="R149" s="1159"/>
    </row>
    <row r="150" spans="1:18">
      <c r="A150" s="1159"/>
      <c r="B150" s="1160"/>
      <c r="K150" s="1160"/>
      <c r="L150" s="1160"/>
      <c r="M150" s="1160"/>
      <c r="N150" s="1160"/>
      <c r="O150" s="1160"/>
      <c r="P150" s="1159"/>
      <c r="Q150" s="1159"/>
      <c r="R150" s="1159"/>
    </row>
    <row r="151" spans="1:18">
      <c r="A151" s="1159"/>
      <c r="B151" s="1160"/>
      <c r="K151" s="1160"/>
      <c r="L151" s="1160"/>
      <c r="M151" s="1160"/>
      <c r="N151" s="1160"/>
      <c r="O151" s="1160"/>
      <c r="P151" s="1159"/>
      <c r="Q151" s="1159"/>
      <c r="R151" s="1159"/>
    </row>
    <row r="152" spans="1:18">
      <c r="A152" s="1159"/>
      <c r="B152" s="1160"/>
      <c r="K152" s="1160"/>
      <c r="L152" s="1160"/>
      <c r="M152" s="1160"/>
      <c r="N152" s="1160"/>
      <c r="O152" s="1160"/>
      <c r="P152" s="1159"/>
      <c r="Q152" s="1159"/>
      <c r="R152" s="1159"/>
    </row>
    <row r="153" spans="1:18">
      <c r="A153" s="1159"/>
      <c r="B153" s="1160"/>
      <c r="K153" s="1160"/>
      <c r="L153" s="1160"/>
      <c r="M153" s="1160"/>
      <c r="N153" s="1160"/>
      <c r="O153" s="1160"/>
      <c r="P153" s="1159"/>
      <c r="Q153" s="1159"/>
      <c r="R153" s="1159"/>
    </row>
    <row r="154" spans="1:18">
      <c r="A154" s="1159"/>
      <c r="B154" s="1160"/>
      <c r="K154" s="1160"/>
      <c r="L154" s="1160"/>
      <c r="M154" s="1160"/>
      <c r="N154" s="1160"/>
      <c r="O154" s="1160"/>
      <c r="P154" s="1159"/>
      <c r="Q154" s="1159"/>
      <c r="R154" s="1159"/>
    </row>
    <row r="155" spans="1:18">
      <c r="A155" s="1159"/>
      <c r="B155" s="1160"/>
      <c r="K155" s="1160"/>
      <c r="L155" s="1160"/>
      <c r="M155" s="1160"/>
      <c r="N155" s="1160"/>
      <c r="O155" s="1160"/>
      <c r="P155" s="1159"/>
      <c r="Q155" s="1159"/>
      <c r="R155" s="1159"/>
    </row>
    <row r="156" spans="1:18">
      <c r="A156" s="1159"/>
      <c r="B156" s="1160"/>
      <c r="K156" s="1160"/>
      <c r="L156" s="1160"/>
      <c r="M156" s="1160"/>
      <c r="N156" s="1160"/>
      <c r="O156" s="1160"/>
      <c r="P156" s="1159"/>
      <c r="Q156" s="1159"/>
      <c r="R156" s="1159"/>
    </row>
    <row r="157" spans="1:18">
      <c r="A157" s="1159"/>
      <c r="B157" s="1160"/>
      <c r="K157" s="1160"/>
      <c r="L157" s="1160"/>
      <c r="M157" s="1160"/>
      <c r="N157" s="1160"/>
      <c r="O157" s="1160"/>
      <c r="P157" s="1159"/>
      <c r="Q157" s="1159"/>
      <c r="R157" s="1159"/>
    </row>
    <row r="158" spans="1:18">
      <c r="A158" s="1159"/>
      <c r="B158" s="1160"/>
      <c r="K158" s="1160"/>
      <c r="L158" s="1160"/>
      <c r="M158" s="1160"/>
      <c r="N158" s="1160"/>
      <c r="O158" s="1160"/>
      <c r="P158" s="1159"/>
      <c r="Q158" s="1159"/>
      <c r="R158" s="1159"/>
    </row>
    <row r="159" spans="1:18">
      <c r="A159" s="1159"/>
      <c r="B159" s="1160"/>
      <c r="K159" s="1160"/>
      <c r="L159" s="1160"/>
      <c r="M159" s="1160"/>
      <c r="N159" s="1160"/>
      <c r="O159" s="1160"/>
      <c r="P159" s="1159"/>
      <c r="Q159" s="1159"/>
      <c r="R159" s="1159"/>
    </row>
    <row r="160" spans="1:18">
      <c r="A160" s="1159"/>
      <c r="B160" s="1160"/>
      <c r="K160" s="1160"/>
      <c r="L160" s="1160"/>
      <c r="M160" s="1160"/>
      <c r="N160" s="1160"/>
      <c r="O160" s="1160"/>
      <c r="P160" s="1159"/>
      <c r="Q160" s="1159"/>
      <c r="R160" s="1159"/>
    </row>
    <row r="161" spans="1:18">
      <c r="A161" s="1159"/>
      <c r="B161" s="1160"/>
      <c r="K161" s="1160"/>
      <c r="L161" s="1160"/>
      <c r="M161" s="1160"/>
      <c r="N161" s="1160"/>
      <c r="O161" s="1160"/>
      <c r="P161" s="1159"/>
      <c r="Q161" s="1159"/>
      <c r="R161" s="1159"/>
    </row>
    <row r="162" spans="1:18">
      <c r="A162" s="1159"/>
      <c r="B162" s="1160"/>
      <c r="K162" s="1160"/>
      <c r="L162" s="1160"/>
      <c r="M162" s="1160"/>
      <c r="N162" s="1160"/>
      <c r="O162" s="1160"/>
      <c r="P162" s="1159"/>
      <c r="Q162" s="1159"/>
      <c r="R162" s="1159"/>
    </row>
    <row r="163" spans="1:18">
      <c r="A163" s="1159"/>
      <c r="B163" s="1160"/>
      <c r="K163" s="1160"/>
      <c r="L163" s="1160"/>
      <c r="M163" s="1160"/>
      <c r="N163" s="1160"/>
      <c r="O163" s="1160"/>
      <c r="P163" s="1159"/>
      <c r="Q163" s="1159"/>
      <c r="R163" s="1159"/>
    </row>
    <row r="164" spans="1:18">
      <c r="A164" s="1159"/>
      <c r="B164" s="1160"/>
      <c r="K164" s="1160"/>
      <c r="L164" s="1160"/>
      <c r="M164" s="1160"/>
      <c r="N164" s="1160"/>
      <c r="O164" s="1160"/>
      <c r="P164" s="1159"/>
      <c r="Q164" s="1159"/>
      <c r="R164" s="1159"/>
    </row>
    <row r="165" spans="1:18">
      <c r="A165" s="1159"/>
      <c r="B165" s="1160"/>
      <c r="K165" s="1160"/>
      <c r="L165" s="1160"/>
      <c r="M165" s="1160"/>
      <c r="N165" s="1160"/>
      <c r="O165" s="1160"/>
      <c r="P165" s="1159"/>
      <c r="Q165" s="1159"/>
      <c r="R165" s="1159"/>
    </row>
    <row r="166" spans="1:18">
      <c r="A166" s="1159"/>
      <c r="B166" s="1160"/>
      <c r="K166" s="1160"/>
      <c r="L166" s="1160"/>
      <c r="M166" s="1160"/>
      <c r="N166" s="1160"/>
      <c r="O166" s="1160"/>
      <c r="P166" s="1159"/>
      <c r="Q166" s="1159"/>
      <c r="R166" s="1159"/>
    </row>
    <row r="167" spans="1:18">
      <c r="A167" s="1159"/>
      <c r="B167" s="1160"/>
      <c r="K167" s="1160"/>
      <c r="L167" s="1160"/>
      <c r="M167" s="1160"/>
      <c r="N167" s="1160"/>
      <c r="O167" s="1160"/>
      <c r="P167" s="1159"/>
      <c r="Q167" s="1159"/>
      <c r="R167" s="1159"/>
    </row>
    <row r="168" spans="1:18">
      <c r="A168" s="1159"/>
      <c r="B168" s="1160"/>
      <c r="K168" s="1160"/>
      <c r="L168" s="1160"/>
      <c r="M168" s="1160"/>
      <c r="N168" s="1160"/>
      <c r="O168" s="1160"/>
      <c r="P168" s="1159"/>
      <c r="Q168" s="1159"/>
      <c r="R168" s="1159"/>
    </row>
    <row r="169" spans="1:18">
      <c r="A169" s="1159"/>
      <c r="B169" s="1160"/>
      <c r="K169" s="1160"/>
      <c r="L169" s="1160"/>
      <c r="M169" s="1160"/>
      <c r="N169" s="1160"/>
      <c r="O169" s="1160"/>
      <c r="P169" s="1159"/>
      <c r="Q169" s="1159"/>
      <c r="R169" s="1159"/>
    </row>
    <row r="170" spans="1:18">
      <c r="A170" s="1159"/>
      <c r="B170" s="1160"/>
      <c r="K170" s="1160"/>
      <c r="L170" s="1160"/>
      <c r="M170" s="1160"/>
      <c r="N170" s="1160"/>
      <c r="O170" s="1160"/>
      <c r="P170" s="1159"/>
      <c r="Q170" s="1159"/>
      <c r="R170" s="1159"/>
    </row>
    <row r="171" spans="1:18">
      <c r="A171" s="1159"/>
      <c r="B171" s="1160"/>
      <c r="K171" s="1160"/>
      <c r="L171" s="1160"/>
      <c r="M171" s="1160"/>
      <c r="N171" s="1160"/>
      <c r="O171" s="1160"/>
      <c r="P171" s="1159"/>
      <c r="Q171" s="1159"/>
      <c r="R171" s="1159"/>
    </row>
    <row r="172" spans="1:18">
      <c r="A172" s="1159"/>
      <c r="B172" s="1160"/>
      <c r="K172" s="1160"/>
      <c r="L172" s="1160"/>
      <c r="M172" s="1160"/>
      <c r="N172" s="1160"/>
      <c r="O172" s="1160"/>
      <c r="P172" s="1159"/>
      <c r="Q172" s="1159"/>
      <c r="R172" s="1159"/>
    </row>
    <row r="173" spans="1:18">
      <c r="A173" s="1159"/>
      <c r="B173" s="1160"/>
      <c r="K173" s="1160"/>
      <c r="L173" s="1160"/>
      <c r="M173" s="1160"/>
      <c r="N173" s="1160"/>
      <c r="O173" s="1160"/>
      <c r="P173" s="1159"/>
      <c r="Q173" s="1159"/>
      <c r="R173" s="1159"/>
    </row>
    <row r="174" spans="1:18">
      <c r="A174" s="1159"/>
      <c r="B174" s="1160"/>
      <c r="K174" s="1160"/>
      <c r="L174" s="1160"/>
      <c r="M174" s="1160"/>
      <c r="N174" s="1160"/>
      <c r="O174" s="1160"/>
      <c r="P174" s="1159"/>
      <c r="Q174" s="1159"/>
      <c r="R174" s="1159"/>
    </row>
    <row r="175" spans="1:18">
      <c r="A175" s="1159"/>
      <c r="B175" s="1160"/>
      <c r="K175" s="1160"/>
      <c r="L175" s="1160"/>
      <c r="M175" s="1160"/>
      <c r="N175" s="1160"/>
      <c r="O175" s="1160"/>
      <c r="P175" s="1159"/>
      <c r="Q175" s="1159"/>
      <c r="R175" s="1159"/>
    </row>
    <row r="176" spans="1:18">
      <c r="A176" s="1159"/>
      <c r="B176" s="1160"/>
      <c r="K176" s="1160"/>
      <c r="L176" s="1160"/>
      <c r="M176" s="1160"/>
      <c r="N176" s="1160"/>
      <c r="O176" s="1160"/>
      <c r="P176" s="1159"/>
      <c r="Q176" s="1159"/>
      <c r="R176" s="1159"/>
    </row>
    <row r="177" spans="1:18">
      <c r="A177" s="1159"/>
      <c r="B177" s="1160"/>
      <c r="K177" s="1160"/>
      <c r="L177" s="1160"/>
      <c r="M177" s="1160"/>
      <c r="N177" s="1160"/>
      <c r="O177" s="1160"/>
      <c r="P177" s="1159"/>
      <c r="Q177" s="1159"/>
      <c r="R177" s="1159"/>
    </row>
    <row r="178" spans="1:18">
      <c r="A178" s="1159"/>
      <c r="B178" s="1160"/>
      <c r="K178" s="1160"/>
      <c r="L178" s="1160"/>
      <c r="M178" s="1160"/>
      <c r="N178" s="1160"/>
      <c r="O178" s="1160"/>
      <c r="P178" s="1159"/>
      <c r="Q178" s="1159"/>
      <c r="R178" s="1159"/>
    </row>
    <row r="179" spans="1:18">
      <c r="A179" s="1159"/>
      <c r="B179" s="1160"/>
      <c r="K179" s="1160"/>
      <c r="L179" s="1160"/>
      <c r="M179" s="1160"/>
      <c r="N179" s="1160"/>
      <c r="O179" s="1160"/>
      <c r="P179" s="1159"/>
      <c r="Q179" s="1159"/>
      <c r="R179" s="1159"/>
    </row>
    <row r="180" spans="1:18">
      <c r="A180" s="1159"/>
      <c r="B180" s="1160"/>
      <c r="K180" s="1160"/>
      <c r="L180" s="1160"/>
      <c r="M180" s="1160"/>
      <c r="N180" s="1160"/>
      <c r="O180" s="1160"/>
      <c r="P180" s="1159"/>
      <c r="Q180" s="1159"/>
      <c r="R180" s="1159"/>
    </row>
    <row r="181" spans="1:18">
      <c r="A181" s="1159"/>
      <c r="B181" s="1160"/>
      <c r="K181" s="1160"/>
      <c r="L181" s="1160"/>
      <c r="M181" s="1160"/>
      <c r="N181" s="1160"/>
      <c r="O181" s="1160"/>
      <c r="P181" s="1159"/>
      <c r="Q181" s="1159"/>
      <c r="R181" s="1159"/>
    </row>
    <row r="182" spans="1:18">
      <c r="A182" s="1159"/>
      <c r="B182" s="1160"/>
      <c r="K182" s="1160"/>
      <c r="L182" s="1160"/>
      <c r="M182" s="1160"/>
      <c r="N182" s="1160"/>
      <c r="O182" s="1160"/>
      <c r="P182" s="1159"/>
      <c r="Q182" s="1159"/>
      <c r="R182" s="1159"/>
    </row>
    <row r="183" spans="1:18">
      <c r="A183" s="1159"/>
      <c r="B183" s="1160"/>
      <c r="K183" s="1160"/>
      <c r="L183" s="1160"/>
      <c r="M183" s="1160"/>
      <c r="N183" s="1160"/>
      <c r="O183" s="1160"/>
      <c r="P183" s="1159"/>
      <c r="Q183" s="1159"/>
      <c r="R183" s="1159"/>
    </row>
    <row r="184" spans="1:18">
      <c r="A184" s="1159"/>
      <c r="B184" s="1160"/>
      <c r="K184" s="1160"/>
      <c r="L184" s="1160"/>
      <c r="M184" s="1160"/>
      <c r="N184" s="1160"/>
      <c r="O184" s="1160"/>
      <c r="P184" s="1159"/>
      <c r="Q184" s="1159"/>
      <c r="R184" s="1159"/>
    </row>
    <row r="185" spans="1:18">
      <c r="A185" s="1159"/>
      <c r="B185" s="1160"/>
      <c r="K185" s="1160"/>
      <c r="L185" s="1160"/>
      <c r="M185" s="1160"/>
      <c r="N185" s="1160"/>
      <c r="O185" s="1160"/>
      <c r="P185" s="1159"/>
      <c r="Q185" s="1159"/>
      <c r="R185" s="1159"/>
    </row>
    <row r="186" spans="1:18">
      <c r="A186" s="1159"/>
      <c r="B186" s="1160"/>
      <c r="K186" s="1160"/>
      <c r="L186" s="1160"/>
      <c r="M186" s="1160"/>
      <c r="N186" s="1160"/>
      <c r="O186" s="1160"/>
      <c r="P186" s="1159"/>
      <c r="Q186" s="1159"/>
      <c r="R186" s="1159"/>
    </row>
    <row r="187" spans="1:18">
      <c r="A187" s="1159"/>
      <c r="B187" s="1160"/>
      <c r="K187" s="1160"/>
      <c r="L187" s="1160"/>
      <c r="M187" s="1160"/>
      <c r="N187" s="1160"/>
      <c r="O187" s="1160"/>
      <c r="P187" s="1159"/>
      <c r="Q187" s="1159"/>
      <c r="R187" s="1159"/>
    </row>
    <row r="188" spans="1:18">
      <c r="A188" s="1159"/>
      <c r="B188" s="1160"/>
      <c r="K188" s="1160"/>
      <c r="L188" s="1160"/>
      <c r="M188" s="1160"/>
      <c r="N188" s="1160"/>
      <c r="O188" s="1160"/>
      <c r="P188" s="1159"/>
      <c r="Q188" s="1159"/>
      <c r="R188" s="1159"/>
    </row>
    <row r="189" spans="1:18">
      <c r="A189" s="1159"/>
      <c r="B189" s="1160"/>
      <c r="K189" s="1160"/>
      <c r="L189" s="1160"/>
      <c r="M189" s="1160"/>
      <c r="N189" s="1160"/>
      <c r="O189" s="1160"/>
      <c r="P189" s="1159"/>
      <c r="Q189" s="1159"/>
      <c r="R189" s="1159"/>
    </row>
    <row r="190" spans="1:18">
      <c r="A190" s="1159"/>
      <c r="B190" s="1160"/>
      <c r="K190" s="1160"/>
      <c r="L190" s="1160"/>
      <c r="M190" s="1160"/>
      <c r="N190" s="1160"/>
      <c r="O190" s="1160"/>
      <c r="P190" s="1159"/>
      <c r="Q190" s="1159"/>
      <c r="R190" s="1159"/>
    </row>
    <row r="191" spans="1:18">
      <c r="A191" s="1159"/>
      <c r="B191" s="1160"/>
      <c r="K191" s="1160"/>
      <c r="L191" s="1160"/>
      <c r="M191" s="1160"/>
      <c r="N191" s="1160"/>
      <c r="O191" s="1160"/>
      <c r="P191" s="1159"/>
      <c r="Q191" s="1159"/>
      <c r="R191" s="1159"/>
    </row>
    <row r="192" spans="1:18">
      <c r="A192" s="1159"/>
      <c r="B192" s="1160"/>
      <c r="K192" s="1160"/>
      <c r="L192" s="1160"/>
      <c r="M192" s="1160"/>
      <c r="N192" s="1160"/>
      <c r="O192" s="1160"/>
      <c r="P192" s="1159"/>
      <c r="Q192" s="1159"/>
      <c r="R192" s="1159"/>
    </row>
    <row r="193" spans="1:18">
      <c r="A193" s="1159"/>
      <c r="B193" s="1160"/>
      <c r="K193" s="1160"/>
      <c r="L193" s="1160"/>
      <c r="M193" s="1160"/>
      <c r="N193" s="1160"/>
      <c r="O193" s="1160"/>
      <c r="P193" s="1159"/>
      <c r="Q193" s="1159"/>
      <c r="R193" s="1159"/>
    </row>
    <row r="194" spans="1:18">
      <c r="A194" s="1159"/>
      <c r="B194" s="1160"/>
      <c r="K194" s="1160"/>
      <c r="L194" s="1160"/>
      <c r="M194" s="1160"/>
      <c r="N194" s="1160"/>
      <c r="O194" s="1160"/>
      <c r="P194" s="1159"/>
      <c r="Q194" s="1159"/>
      <c r="R194" s="1159"/>
    </row>
    <row r="195" spans="1:18">
      <c r="A195" s="1159"/>
      <c r="B195" s="1160"/>
      <c r="K195" s="1160"/>
      <c r="L195" s="1160"/>
      <c r="M195" s="1160"/>
      <c r="N195" s="1160"/>
      <c r="O195" s="1160"/>
      <c r="P195" s="1159"/>
      <c r="Q195" s="1159"/>
      <c r="R195" s="1159"/>
    </row>
    <row r="196" spans="1:18">
      <c r="A196" s="1159"/>
      <c r="B196" s="1160"/>
      <c r="K196" s="1160"/>
      <c r="L196" s="1160"/>
      <c r="M196" s="1160"/>
      <c r="N196" s="1160"/>
      <c r="O196" s="1160"/>
      <c r="P196" s="1159"/>
      <c r="Q196" s="1159"/>
      <c r="R196" s="1159"/>
    </row>
    <row r="197" spans="1:18">
      <c r="A197" s="1159"/>
      <c r="B197" s="1160"/>
      <c r="K197" s="1160"/>
      <c r="L197" s="1160"/>
      <c r="M197" s="1160"/>
      <c r="N197" s="1160"/>
      <c r="O197" s="1160"/>
      <c r="P197" s="1159"/>
      <c r="Q197" s="1159"/>
      <c r="R197" s="1159"/>
    </row>
    <row r="198" spans="1:18">
      <c r="A198" s="1159"/>
      <c r="B198" s="1160"/>
      <c r="K198" s="1160"/>
      <c r="L198" s="1160"/>
      <c r="M198" s="1160"/>
      <c r="N198" s="1160"/>
      <c r="O198" s="1160"/>
      <c r="P198" s="1159"/>
      <c r="Q198" s="1159"/>
      <c r="R198" s="1159"/>
    </row>
    <row r="199" spans="1:18">
      <c r="A199" s="1159"/>
      <c r="B199" s="1160"/>
      <c r="K199" s="1160"/>
      <c r="L199" s="1160"/>
      <c r="M199" s="1160"/>
      <c r="N199" s="1160"/>
      <c r="O199" s="1160"/>
      <c r="P199" s="1159"/>
      <c r="Q199" s="1159"/>
      <c r="R199" s="1159"/>
    </row>
    <row r="200" spans="1:18">
      <c r="A200" s="1159"/>
      <c r="B200" s="1160"/>
      <c r="K200" s="1160"/>
      <c r="L200" s="1160"/>
      <c r="M200" s="1160"/>
      <c r="N200" s="1160"/>
      <c r="O200" s="1160"/>
      <c r="P200" s="1159"/>
      <c r="Q200" s="1159"/>
      <c r="R200" s="1159"/>
    </row>
    <row r="201" spans="1:18">
      <c r="A201" s="1159"/>
      <c r="B201" s="1160"/>
      <c r="K201" s="1160"/>
      <c r="L201" s="1160"/>
      <c r="M201" s="1160"/>
      <c r="N201" s="1160"/>
      <c r="O201" s="1160"/>
      <c r="P201" s="1159"/>
      <c r="Q201" s="1159"/>
      <c r="R201" s="1159"/>
    </row>
    <row r="202" spans="1:18">
      <c r="A202" s="1159"/>
      <c r="B202" s="1160"/>
      <c r="K202" s="1160"/>
      <c r="L202" s="1160"/>
      <c r="M202" s="1160"/>
      <c r="N202" s="1160"/>
      <c r="O202" s="1160"/>
      <c r="P202" s="1159"/>
      <c r="Q202" s="1159"/>
      <c r="R202" s="1159"/>
    </row>
    <row r="203" spans="1:18">
      <c r="A203" s="1159"/>
      <c r="B203" s="1160"/>
      <c r="K203" s="1160"/>
      <c r="L203" s="1160"/>
      <c r="M203" s="1160"/>
      <c r="N203" s="1160"/>
      <c r="O203" s="1160"/>
      <c r="P203" s="1159"/>
      <c r="Q203" s="1159"/>
      <c r="R203" s="1159"/>
    </row>
    <row r="204" spans="1:18">
      <c r="A204" s="1159"/>
      <c r="B204" s="1160"/>
      <c r="K204" s="1160"/>
      <c r="L204" s="1160"/>
      <c r="M204" s="1160"/>
      <c r="N204" s="1160"/>
      <c r="O204" s="1160"/>
      <c r="P204" s="1159"/>
      <c r="Q204" s="1159"/>
      <c r="R204" s="1159"/>
    </row>
    <row r="205" spans="1:18">
      <c r="A205" s="1159"/>
      <c r="B205" s="1160"/>
      <c r="K205" s="1160"/>
      <c r="L205" s="1160"/>
      <c r="M205" s="1160"/>
      <c r="N205" s="1160"/>
      <c r="O205" s="1160"/>
      <c r="P205" s="1159"/>
      <c r="Q205" s="1159"/>
      <c r="R205" s="1159"/>
    </row>
    <row r="206" spans="1:18">
      <c r="A206" s="1159"/>
      <c r="B206" s="1160"/>
      <c r="K206" s="1160"/>
      <c r="L206" s="1160"/>
      <c r="M206" s="1160"/>
      <c r="N206" s="1160"/>
      <c r="O206" s="1160"/>
      <c r="P206" s="1159"/>
      <c r="Q206" s="1159"/>
      <c r="R206" s="1159"/>
    </row>
    <row r="207" spans="1:18">
      <c r="A207" s="1159"/>
      <c r="B207" s="1160"/>
      <c r="K207" s="1160"/>
      <c r="L207" s="1160"/>
      <c r="M207" s="1160"/>
      <c r="N207" s="1160"/>
      <c r="O207" s="1160"/>
      <c r="P207" s="1159"/>
      <c r="Q207" s="1159"/>
      <c r="R207" s="1159"/>
    </row>
    <row r="208" spans="1:18">
      <c r="A208" s="1159"/>
      <c r="B208" s="1160"/>
      <c r="K208" s="1160"/>
      <c r="L208" s="1160"/>
      <c r="M208" s="1160"/>
      <c r="N208" s="1160"/>
      <c r="O208" s="1160"/>
      <c r="P208" s="1159"/>
      <c r="Q208" s="1159"/>
      <c r="R208" s="1159"/>
    </row>
    <row r="209" spans="1:18">
      <c r="A209" s="1159"/>
      <c r="B209" s="1160"/>
      <c r="K209" s="1160"/>
      <c r="L209" s="1160"/>
      <c r="M209" s="1160"/>
      <c r="N209" s="1160"/>
      <c r="O209" s="1160"/>
      <c r="P209" s="1159"/>
      <c r="Q209" s="1159"/>
      <c r="R209" s="1159"/>
    </row>
    <row r="210" spans="1:18">
      <c r="A210" s="1159"/>
      <c r="B210" s="1160"/>
      <c r="K210" s="1160"/>
      <c r="L210" s="1160"/>
      <c r="M210" s="1160"/>
      <c r="N210" s="1160"/>
      <c r="O210" s="1160"/>
      <c r="P210" s="1159"/>
      <c r="Q210" s="1159"/>
      <c r="R210" s="1159"/>
    </row>
    <row r="211" spans="1:18">
      <c r="A211" s="1159"/>
      <c r="B211" s="1160"/>
      <c r="K211" s="1160"/>
      <c r="L211" s="1160"/>
      <c r="M211" s="1160"/>
      <c r="N211" s="1160"/>
      <c r="O211" s="1160"/>
      <c r="P211" s="1159"/>
      <c r="Q211" s="1159"/>
      <c r="R211" s="1159"/>
    </row>
    <row r="212" spans="1:18">
      <c r="A212" s="1159"/>
      <c r="B212" s="1160"/>
      <c r="K212" s="1160"/>
      <c r="L212" s="1160"/>
      <c r="M212" s="1160"/>
      <c r="N212" s="1160"/>
      <c r="O212" s="1160"/>
      <c r="P212" s="1159"/>
      <c r="Q212" s="1159"/>
      <c r="R212" s="1159"/>
    </row>
    <row r="213" spans="1:18">
      <c r="A213" s="1159"/>
      <c r="B213" s="1160"/>
      <c r="K213" s="1160"/>
      <c r="L213" s="1160"/>
      <c r="M213" s="1160"/>
      <c r="N213" s="1160"/>
      <c r="O213" s="1160"/>
      <c r="P213" s="1159"/>
      <c r="Q213" s="1159"/>
      <c r="R213" s="1159"/>
    </row>
    <row r="214" spans="1:18">
      <c r="A214" s="1159"/>
      <c r="B214" s="1160"/>
      <c r="K214" s="1160"/>
      <c r="L214" s="1160"/>
      <c r="M214" s="1160"/>
      <c r="N214" s="1160"/>
      <c r="O214" s="1160"/>
      <c r="P214" s="1159"/>
      <c r="Q214" s="1159"/>
      <c r="R214" s="1159"/>
    </row>
    <row r="215" spans="1:18">
      <c r="A215" s="1159"/>
      <c r="B215" s="1160"/>
      <c r="K215" s="1160"/>
      <c r="L215" s="1160"/>
      <c r="M215" s="1160"/>
      <c r="N215" s="1160"/>
      <c r="O215" s="1160"/>
      <c r="P215" s="1159"/>
      <c r="Q215" s="1159"/>
      <c r="R215" s="1159"/>
    </row>
    <row r="216" spans="1:18">
      <c r="A216" s="1159"/>
      <c r="B216" s="1160"/>
      <c r="K216" s="1160"/>
      <c r="L216" s="1160"/>
      <c r="M216" s="1160"/>
      <c r="N216" s="1160"/>
      <c r="O216" s="1160"/>
      <c r="P216" s="1159"/>
      <c r="Q216" s="1159"/>
      <c r="R216" s="1159"/>
    </row>
    <row r="217" spans="1:18">
      <c r="A217" s="1159"/>
      <c r="B217" s="1160"/>
      <c r="K217" s="1160"/>
      <c r="L217" s="1160"/>
      <c r="M217" s="1160"/>
      <c r="N217" s="1160"/>
      <c r="O217" s="1160"/>
      <c r="P217" s="1159"/>
      <c r="Q217" s="1159"/>
      <c r="R217" s="1159"/>
    </row>
    <row r="218" spans="1:18">
      <c r="A218" s="1159"/>
      <c r="B218" s="1160"/>
      <c r="K218" s="1160"/>
      <c r="L218" s="1160"/>
      <c r="M218" s="1160"/>
      <c r="N218" s="1160"/>
      <c r="O218" s="1160"/>
      <c r="P218" s="1159"/>
      <c r="Q218" s="1159"/>
      <c r="R218" s="1159"/>
    </row>
    <row r="219" spans="1:18">
      <c r="A219" s="1159"/>
      <c r="B219" s="1160"/>
      <c r="K219" s="1160"/>
      <c r="L219" s="1160"/>
      <c r="M219" s="1160"/>
      <c r="N219" s="1160"/>
      <c r="O219" s="1160"/>
      <c r="P219" s="1159"/>
      <c r="Q219" s="1159"/>
      <c r="R219" s="1159"/>
    </row>
    <row r="220" spans="1:18">
      <c r="A220" s="1159"/>
      <c r="B220" s="1160"/>
      <c r="K220" s="1160"/>
      <c r="L220" s="1160"/>
      <c r="M220" s="1160"/>
      <c r="N220" s="1160"/>
      <c r="O220" s="1160"/>
      <c r="P220" s="1159"/>
      <c r="Q220" s="1159"/>
      <c r="R220" s="1159"/>
    </row>
    <row r="221" spans="1:18">
      <c r="A221" s="1159"/>
      <c r="B221" s="1160"/>
      <c r="K221" s="1160"/>
      <c r="L221" s="1160"/>
      <c r="M221" s="1160"/>
      <c r="N221" s="1160"/>
      <c r="O221" s="1160"/>
      <c r="P221" s="1159"/>
      <c r="Q221" s="1159"/>
      <c r="R221" s="1159"/>
    </row>
    <row r="222" spans="1:18">
      <c r="A222" s="1159"/>
      <c r="B222" s="1160"/>
      <c r="K222" s="1160"/>
      <c r="L222" s="1160"/>
      <c r="M222" s="1160"/>
      <c r="N222" s="1160"/>
      <c r="O222" s="1160"/>
      <c r="P222" s="1159"/>
      <c r="Q222" s="1159"/>
      <c r="R222" s="1159"/>
    </row>
    <row r="223" spans="1:18">
      <c r="A223" s="1159"/>
      <c r="B223" s="1160"/>
      <c r="K223" s="1160"/>
      <c r="L223" s="1160"/>
      <c r="M223" s="1160"/>
      <c r="N223" s="1160"/>
      <c r="O223" s="1160"/>
      <c r="P223" s="1159"/>
      <c r="Q223" s="1159"/>
      <c r="R223" s="1159"/>
    </row>
    <row r="224" spans="1:18">
      <c r="A224" s="1159"/>
      <c r="B224" s="1160"/>
      <c r="K224" s="1160"/>
      <c r="L224" s="1160"/>
      <c r="M224" s="1160"/>
      <c r="N224" s="1160"/>
      <c r="O224" s="1160"/>
      <c r="P224" s="1159"/>
      <c r="Q224" s="1159"/>
      <c r="R224" s="1159"/>
    </row>
    <row r="225" spans="1:18">
      <c r="A225" s="1159"/>
      <c r="B225" s="1160"/>
      <c r="K225" s="1160"/>
      <c r="L225" s="1160"/>
      <c r="M225" s="1160"/>
      <c r="N225" s="1160"/>
      <c r="O225" s="1160"/>
      <c r="P225" s="1159"/>
      <c r="Q225" s="1159"/>
      <c r="R225" s="1159"/>
    </row>
    <row r="226" spans="1:18">
      <c r="A226" s="1159"/>
      <c r="B226" s="1160"/>
      <c r="K226" s="1160"/>
      <c r="L226" s="1160"/>
      <c r="M226" s="1160"/>
      <c r="N226" s="1160"/>
      <c r="O226" s="1160"/>
      <c r="P226" s="1159"/>
      <c r="Q226" s="1159"/>
      <c r="R226" s="1159"/>
    </row>
    <row r="227" spans="1:18">
      <c r="A227" s="1159"/>
      <c r="B227" s="1160"/>
      <c r="K227" s="1160"/>
      <c r="L227" s="1160"/>
      <c r="M227" s="1160"/>
      <c r="N227" s="1160"/>
      <c r="O227" s="1160"/>
      <c r="P227" s="1159"/>
      <c r="Q227" s="1159"/>
      <c r="R227" s="1159"/>
    </row>
    <row r="228" spans="1:18">
      <c r="A228" s="1159"/>
      <c r="B228" s="1160"/>
      <c r="K228" s="1160"/>
      <c r="L228" s="1160"/>
      <c r="M228" s="1160"/>
      <c r="N228" s="1160"/>
      <c r="O228" s="1160"/>
      <c r="P228" s="1159"/>
      <c r="Q228" s="1159"/>
      <c r="R228" s="1159"/>
    </row>
    <row r="229" spans="1:18">
      <c r="A229" s="1159"/>
      <c r="B229" s="1160"/>
      <c r="K229" s="1160"/>
      <c r="L229" s="1160"/>
      <c r="M229" s="1160"/>
      <c r="N229" s="1160"/>
      <c r="O229" s="1160"/>
      <c r="P229" s="1159"/>
      <c r="Q229" s="1159"/>
      <c r="R229" s="1159"/>
    </row>
    <row r="230" spans="1:18">
      <c r="A230" s="1159"/>
      <c r="B230" s="1160"/>
      <c r="K230" s="1160"/>
      <c r="L230" s="1160"/>
      <c r="M230" s="1160"/>
      <c r="N230" s="1160"/>
      <c r="O230" s="1160"/>
      <c r="P230" s="1159"/>
      <c r="Q230" s="1159"/>
      <c r="R230" s="1159"/>
    </row>
    <row r="231" spans="1:18">
      <c r="A231" s="1159"/>
      <c r="B231" s="1160"/>
      <c r="K231" s="1160"/>
      <c r="L231" s="1160"/>
      <c r="M231" s="1160"/>
      <c r="N231" s="1160"/>
      <c r="O231" s="1160"/>
      <c r="P231" s="1159"/>
      <c r="Q231" s="1159"/>
      <c r="R231" s="1159"/>
    </row>
    <row r="232" spans="1:18">
      <c r="A232" s="1159"/>
      <c r="B232" s="1160"/>
      <c r="K232" s="1160"/>
      <c r="L232" s="1160"/>
      <c r="M232" s="1160"/>
      <c r="N232" s="1160"/>
      <c r="O232" s="1160"/>
      <c r="P232" s="1159"/>
      <c r="Q232" s="1159"/>
      <c r="R232" s="1159"/>
    </row>
    <row r="233" spans="1:18">
      <c r="A233" s="1159"/>
      <c r="B233" s="1160"/>
      <c r="K233" s="1160"/>
      <c r="L233" s="1160"/>
      <c r="M233" s="1160"/>
      <c r="N233" s="1160"/>
      <c r="O233" s="1160"/>
      <c r="P233" s="1159"/>
      <c r="Q233" s="1159"/>
      <c r="R233" s="1159"/>
    </row>
    <row r="234" spans="1:18">
      <c r="A234" s="1159"/>
      <c r="B234" s="1160"/>
      <c r="K234" s="1160"/>
      <c r="L234" s="1160"/>
      <c r="M234" s="1160"/>
      <c r="N234" s="1160"/>
      <c r="O234" s="1160"/>
      <c r="P234" s="1159"/>
      <c r="Q234" s="1159"/>
      <c r="R234" s="1159"/>
    </row>
    <row r="235" spans="1:18">
      <c r="A235" s="1159"/>
      <c r="B235" s="1160"/>
      <c r="K235" s="1160"/>
      <c r="L235" s="1160"/>
      <c r="M235" s="1160"/>
      <c r="N235" s="1160"/>
      <c r="O235" s="1160"/>
      <c r="P235" s="1159"/>
      <c r="Q235" s="1159"/>
      <c r="R235" s="1159"/>
    </row>
    <row r="236" spans="1:18">
      <c r="A236" s="1159"/>
      <c r="B236" s="1160"/>
      <c r="K236" s="1160"/>
      <c r="L236" s="1160"/>
      <c r="M236" s="1160"/>
      <c r="N236" s="1160"/>
      <c r="O236" s="1160"/>
      <c r="P236" s="1159"/>
      <c r="Q236" s="1159"/>
      <c r="R236" s="1159"/>
    </row>
    <row r="237" spans="1:18">
      <c r="A237" s="1159"/>
      <c r="B237" s="1160"/>
      <c r="K237" s="1160"/>
      <c r="L237" s="1160"/>
      <c r="M237" s="1160"/>
      <c r="N237" s="1160"/>
      <c r="O237" s="1160"/>
      <c r="P237" s="1159"/>
      <c r="Q237" s="1159"/>
      <c r="R237" s="1159"/>
    </row>
    <row r="238" spans="1:18">
      <c r="A238" s="1159"/>
      <c r="B238" s="1160"/>
      <c r="K238" s="1160"/>
      <c r="L238" s="1160"/>
      <c r="M238" s="1160"/>
      <c r="N238" s="1160"/>
      <c r="O238" s="1160"/>
      <c r="P238" s="1159"/>
      <c r="Q238" s="1159"/>
      <c r="R238" s="1159"/>
    </row>
    <row r="239" spans="1:18">
      <c r="A239" s="1159"/>
      <c r="B239" s="1160"/>
      <c r="K239" s="1160"/>
      <c r="L239" s="1160"/>
      <c r="M239" s="1160"/>
      <c r="N239" s="1160"/>
      <c r="O239" s="1160"/>
      <c r="P239" s="1159"/>
      <c r="Q239" s="1159"/>
      <c r="R239" s="1159"/>
    </row>
    <row r="240" spans="1:18">
      <c r="A240" s="1159"/>
      <c r="B240" s="1160"/>
      <c r="K240" s="1160"/>
      <c r="L240" s="1160"/>
      <c r="M240" s="1160"/>
      <c r="N240" s="1160"/>
      <c r="O240" s="1160"/>
      <c r="P240" s="1159"/>
      <c r="Q240" s="1159"/>
      <c r="R240" s="1159"/>
    </row>
    <row r="241" spans="1:18">
      <c r="A241" s="1159"/>
      <c r="B241" s="1160"/>
      <c r="K241" s="1160"/>
      <c r="L241" s="1160"/>
      <c r="M241" s="1160"/>
      <c r="N241" s="1160"/>
      <c r="O241" s="1160"/>
      <c r="P241" s="1159"/>
      <c r="Q241" s="1159"/>
      <c r="R241" s="1159"/>
    </row>
    <row r="242" spans="1:18">
      <c r="A242" s="1159"/>
      <c r="B242" s="1160"/>
      <c r="K242" s="1160"/>
      <c r="L242" s="1160"/>
      <c r="M242" s="1160"/>
      <c r="N242" s="1160"/>
      <c r="O242" s="1160"/>
      <c r="P242" s="1159"/>
      <c r="Q242" s="1159"/>
      <c r="R242" s="1159"/>
    </row>
    <row r="243" spans="1:18">
      <c r="A243" s="1159"/>
      <c r="B243" s="1160"/>
      <c r="K243" s="1160"/>
      <c r="L243" s="1160"/>
      <c r="M243" s="1160"/>
      <c r="N243" s="1160"/>
      <c r="O243" s="1160"/>
      <c r="P243" s="1159"/>
      <c r="Q243" s="1159"/>
      <c r="R243" s="1159"/>
    </row>
    <row r="244" spans="1:18">
      <c r="A244" s="1159"/>
      <c r="B244" s="1160"/>
      <c r="K244" s="1160"/>
      <c r="L244" s="1160"/>
      <c r="M244" s="1160"/>
      <c r="N244" s="1160"/>
      <c r="O244" s="1160"/>
      <c r="P244" s="1159"/>
      <c r="Q244" s="1159"/>
      <c r="R244" s="1159"/>
    </row>
    <row r="245" spans="1:18">
      <c r="A245" s="1159"/>
      <c r="B245" s="1160"/>
      <c r="K245" s="1160"/>
      <c r="L245" s="1160"/>
      <c r="M245" s="1160"/>
      <c r="N245" s="1160"/>
      <c r="O245" s="1160"/>
      <c r="P245" s="1159"/>
      <c r="Q245" s="1159"/>
      <c r="R245" s="1159"/>
    </row>
    <row r="246" spans="1:18">
      <c r="A246" s="1159"/>
      <c r="B246" s="1160"/>
      <c r="K246" s="1160"/>
      <c r="L246" s="1160"/>
      <c r="M246" s="1160"/>
      <c r="N246" s="1160"/>
      <c r="O246" s="1160"/>
      <c r="P246" s="1159"/>
      <c r="Q246" s="1159"/>
      <c r="R246" s="1159"/>
    </row>
    <row r="247" spans="1:18">
      <c r="A247" s="1159"/>
      <c r="B247" s="1160"/>
      <c r="K247" s="1160"/>
      <c r="L247" s="1160"/>
      <c r="M247" s="1160"/>
      <c r="N247" s="1160"/>
      <c r="O247" s="1160"/>
      <c r="P247" s="1159"/>
      <c r="Q247" s="1159"/>
      <c r="R247" s="1159"/>
    </row>
    <row r="248" spans="1:18">
      <c r="A248" s="1159"/>
      <c r="B248" s="1160"/>
      <c r="K248" s="1160"/>
      <c r="L248" s="1160"/>
      <c r="M248" s="1160"/>
      <c r="N248" s="1160"/>
      <c r="O248" s="1160"/>
      <c r="P248" s="1159"/>
      <c r="Q248" s="1159"/>
      <c r="R248" s="1159"/>
    </row>
    <row r="249" spans="1:18">
      <c r="A249" s="1159"/>
      <c r="B249" s="1160"/>
      <c r="K249" s="1160"/>
      <c r="L249" s="1160"/>
      <c r="M249" s="1160"/>
      <c r="N249" s="1160"/>
      <c r="O249" s="1160"/>
      <c r="P249" s="1159"/>
      <c r="Q249" s="1159"/>
      <c r="R249" s="1159"/>
    </row>
    <row r="250" spans="1:18">
      <c r="A250" s="1159"/>
      <c r="B250" s="1160"/>
      <c r="K250" s="1160"/>
      <c r="L250" s="1160"/>
      <c r="M250" s="1160"/>
      <c r="N250" s="1160"/>
      <c r="O250" s="1160"/>
      <c r="P250" s="1159"/>
      <c r="Q250" s="1159"/>
      <c r="R250" s="1159"/>
    </row>
    <row r="251" spans="1:18">
      <c r="A251" s="1159"/>
      <c r="B251" s="1160"/>
      <c r="K251" s="1160"/>
      <c r="L251" s="1160"/>
      <c r="M251" s="1160"/>
      <c r="N251" s="1160"/>
      <c r="O251" s="1160"/>
      <c r="P251" s="1159"/>
      <c r="Q251" s="1159"/>
      <c r="R251" s="1159"/>
    </row>
    <row r="252" spans="1:18">
      <c r="A252" s="1159"/>
      <c r="B252" s="1160"/>
      <c r="K252" s="1160"/>
      <c r="L252" s="1160"/>
      <c r="M252" s="1160"/>
      <c r="N252" s="1160"/>
      <c r="O252" s="1160"/>
      <c r="P252" s="1159"/>
      <c r="Q252" s="1159"/>
      <c r="R252" s="1159"/>
    </row>
    <row r="253" spans="1:18">
      <c r="A253" s="1159"/>
      <c r="B253" s="1160"/>
      <c r="K253" s="1160"/>
      <c r="L253" s="1160"/>
      <c r="M253" s="1160"/>
      <c r="N253" s="1160"/>
      <c r="O253" s="1160"/>
      <c r="P253" s="1159"/>
      <c r="Q253" s="1159"/>
      <c r="R253" s="1159"/>
    </row>
    <row r="254" spans="1:18">
      <c r="A254" s="1159"/>
      <c r="B254" s="1160"/>
      <c r="K254" s="1160"/>
      <c r="L254" s="1160"/>
      <c r="M254" s="1160"/>
      <c r="N254" s="1160"/>
      <c r="O254" s="1160"/>
      <c r="P254" s="1159"/>
      <c r="Q254" s="1159"/>
      <c r="R254" s="1159"/>
    </row>
    <row r="255" spans="1:18">
      <c r="A255" s="1159"/>
      <c r="B255" s="1160"/>
      <c r="K255" s="1160"/>
      <c r="L255" s="1160"/>
      <c r="M255" s="1160"/>
      <c r="N255" s="1160"/>
      <c r="O255" s="1160"/>
      <c r="P255" s="1159"/>
      <c r="Q255" s="1159"/>
      <c r="R255" s="1159"/>
    </row>
    <row r="256" spans="1:18">
      <c r="A256" s="1159"/>
      <c r="B256" s="1160"/>
      <c r="K256" s="1160"/>
      <c r="L256" s="1160"/>
      <c r="M256" s="1160"/>
      <c r="N256" s="1160"/>
      <c r="O256" s="1160"/>
      <c r="P256" s="1159"/>
      <c r="Q256" s="1159"/>
      <c r="R256" s="1159"/>
    </row>
    <row r="257" spans="1:18">
      <c r="A257" s="1159"/>
      <c r="B257" s="1160"/>
      <c r="K257" s="1160"/>
      <c r="L257" s="1160"/>
      <c r="M257" s="1160"/>
      <c r="N257" s="1160"/>
      <c r="O257" s="1160"/>
      <c r="P257" s="1159"/>
      <c r="Q257" s="1159"/>
      <c r="R257" s="1159"/>
    </row>
    <row r="258" spans="1:18">
      <c r="A258" s="1159"/>
      <c r="B258" s="1160"/>
      <c r="K258" s="1160"/>
      <c r="L258" s="1160"/>
      <c r="M258" s="1160"/>
      <c r="N258" s="1160"/>
      <c r="O258" s="1160"/>
      <c r="P258" s="1159"/>
      <c r="Q258" s="1159"/>
      <c r="R258" s="1159"/>
    </row>
    <row r="259" spans="1:18">
      <c r="A259" s="1159"/>
      <c r="B259" s="1160"/>
      <c r="K259" s="1160"/>
      <c r="L259" s="1160"/>
      <c r="M259" s="1160"/>
      <c r="N259" s="1160"/>
      <c r="O259" s="1160"/>
      <c r="P259" s="1159"/>
      <c r="Q259" s="1159"/>
      <c r="R259" s="1159"/>
    </row>
    <row r="260" spans="1:18">
      <c r="A260" s="1159"/>
      <c r="B260" s="1160"/>
      <c r="K260" s="1160"/>
      <c r="L260" s="1160"/>
      <c r="M260" s="1160"/>
      <c r="N260" s="1160"/>
      <c r="O260" s="1160"/>
      <c r="P260" s="1159"/>
      <c r="Q260" s="1159"/>
      <c r="R260" s="1159"/>
    </row>
    <row r="261" spans="1:18">
      <c r="A261" s="1159"/>
      <c r="B261" s="1160"/>
      <c r="K261" s="1160"/>
      <c r="L261" s="1160"/>
      <c r="M261" s="1160"/>
      <c r="N261" s="1160"/>
      <c r="O261" s="1160"/>
      <c r="P261" s="1159"/>
      <c r="Q261" s="1159"/>
      <c r="R261" s="1159"/>
    </row>
    <row r="262" spans="1:18">
      <c r="A262" s="1159"/>
      <c r="B262" s="1160"/>
      <c r="K262" s="1160"/>
      <c r="L262" s="1160"/>
      <c r="M262" s="1160"/>
      <c r="N262" s="1160"/>
      <c r="O262" s="1160"/>
      <c r="P262" s="1159"/>
      <c r="Q262" s="1159"/>
      <c r="R262" s="1159"/>
    </row>
    <row r="263" spans="1:18">
      <c r="A263" s="1159"/>
      <c r="B263" s="1160"/>
      <c r="K263" s="1160"/>
      <c r="L263" s="1160"/>
      <c r="M263" s="1160"/>
      <c r="N263" s="1160"/>
      <c r="O263" s="1160"/>
      <c r="P263" s="1159"/>
      <c r="Q263" s="1159"/>
      <c r="R263" s="1159"/>
    </row>
    <row r="264" spans="1:18">
      <c r="A264" s="1159"/>
      <c r="B264" s="1160"/>
      <c r="K264" s="1160"/>
      <c r="L264" s="1160"/>
      <c r="M264" s="1160"/>
      <c r="N264" s="1160"/>
      <c r="O264" s="1160"/>
      <c r="P264" s="1159"/>
      <c r="Q264" s="1159"/>
      <c r="R264" s="1159"/>
    </row>
    <row r="265" spans="1:18">
      <c r="A265" s="1159"/>
      <c r="B265" s="1160"/>
      <c r="K265" s="1160"/>
      <c r="L265" s="1160"/>
      <c r="M265" s="1160"/>
      <c r="N265" s="1160"/>
      <c r="O265" s="1160"/>
      <c r="P265" s="1159"/>
      <c r="Q265" s="1159"/>
      <c r="R265" s="1159"/>
    </row>
    <row r="266" spans="1:18">
      <c r="A266" s="1159"/>
      <c r="B266" s="1160"/>
      <c r="K266" s="1160"/>
      <c r="L266" s="1160"/>
      <c r="M266" s="1160"/>
      <c r="N266" s="1160"/>
      <c r="O266" s="1160"/>
      <c r="P266" s="1159"/>
      <c r="Q266" s="1159"/>
      <c r="R266" s="1159"/>
    </row>
    <row r="267" spans="1:18">
      <c r="A267" s="1159"/>
      <c r="B267" s="1160"/>
      <c r="K267" s="1160"/>
      <c r="L267" s="1160"/>
      <c r="M267" s="1160"/>
      <c r="N267" s="1160"/>
      <c r="O267" s="1160"/>
      <c r="P267" s="1159"/>
      <c r="Q267" s="1159"/>
      <c r="R267" s="1159"/>
    </row>
    <row r="268" spans="1:18">
      <c r="A268" s="1159"/>
      <c r="B268" s="1160"/>
      <c r="K268" s="1160"/>
      <c r="L268" s="1160"/>
      <c r="M268" s="1160"/>
      <c r="N268" s="1160"/>
      <c r="O268" s="1160"/>
      <c r="P268" s="1159"/>
      <c r="Q268" s="1159"/>
      <c r="R268" s="1159"/>
    </row>
    <row r="269" spans="1:18">
      <c r="A269" s="1159"/>
      <c r="B269" s="1160"/>
      <c r="K269" s="1160"/>
      <c r="L269" s="1160"/>
      <c r="M269" s="1160"/>
      <c r="N269" s="1160"/>
      <c r="O269" s="1160"/>
      <c r="P269" s="1159"/>
      <c r="Q269" s="1159"/>
      <c r="R269" s="1159"/>
    </row>
    <row r="270" spans="1:18">
      <c r="A270" s="1159"/>
      <c r="B270" s="1160"/>
      <c r="K270" s="1160"/>
      <c r="L270" s="1160"/>
      <c r="M270" s="1160"/>
      <c r="N270" s="1160"/>
      <c r="O270" s="1160"/>
      <c r="P270" s="1159"/>
      <c r="Q270" s="1159"/>
      <c r="R270" s="1159"/>
    </row>
    <row r="271" spans="1:18">
      <c r="A271" s="1159"/>
      <c r="B271" s="1160"/>
      <c r="K271" s="1160"/>
      <c r="L271" s="1160"/>
      <c r="M271" s="1160"/>
      <c r="N271" s="1160"/>
      <c r="O271" s="1160"/>
      <c r="P271" s="1159"/>
      <c r="Q271" s="1159"/>
      <c r="R271" s="1159"/>
    </row>
    <row r="272" spans="1:18">
      <c r="A272" s="1159"/>
      <c r="B272" s="1160"/>
      <c r="K272" s="1160"/>
      <c r="L272" s="1160"/>
      <c r="M272" s="1160"/>
      <c r="N272" s="1160"/>
      <c r="O272" s="1160"/>
      <c r="P272" s="1159"/>
      <c r="Q272" s="1159"/>
      <c r="R272" s="1159"/>
    </row>
    <row r="273" spans="1:18">
      <c r="A273" s="1159"/>
      <c r="B273" s="1160"/>
      <c r="K273" s="1160"/>
      <c r="L273" s="1160"/>
      <c r="M273" s="1160"/>
      <c r="N273" s="1160"/>
      <c r="O273" s="1160"/>
      <c r="P273" s="1159"/>
      <c r="Q273" s="1159"/>
      <c r="R273" s="1159"/>
    </row>
    <row r="274" spans="1:18">
      <c r="A274" s="1159"/>
      <c r="B274" s="1160"/>
      <c r="K274" s="1160"/>
      <c r="L274" s="1160"/>
      <c r="M274" s="1160"/>
      <c r="N274" s="1160"/>
      <c r="O274" s="1160"/>
      <c r="P274" s="1159"/>
      <c r="Q274" s="1159"/>
      <c r="R274" s="1159"/>
    </row>
    <row r="275" spans="1:18">
      <c r="A275" s="1159"/>
      <c r="B275" s="1160"/>
      <c r="K275" s="1160"/>
      <c r="L275" s="1160"/>
      <c r="M275" s="1160"/>
      <c r="N275" s="1160"/>
      <c r="O275" s="1160"/>
      <c r="P275" s="1159"/>
      <c r="Q275" s="1159"/>
      <c r="R275" s="1159"/>
    </row>
    <row r="276" spans="1:18">
      <c r="A276" s="1159"/>
      <c r="B276" s="1160"/>
      <c r="K276" s="1160"/>
      <c r="L276" s="1160"/>
      <c r="M276" s="1160"/>
      <c r="N276" s="1160"/>
      <c r="O276" s="1160"/>
      <c r="P276" s="1159"/>
      <c r="Q276" s="1159"/>
      <c r="R276" s="1159"/>
    </row>
    <row r="277" spans="1:18">
      <c r="A277" s="1159"/>
      <c r="B277" s="1160"/>
      <c r="K277" s="1160"/>
      <c r="L277" s="1160"/>
      <c r="M277" s="1160"/>
      <c r="N277" s="1160"/>
      <c r="O277" s="1160"/>
      <c r="P277" s="1159"/>
      <c r="Q277" s="1159"/>
      <c r="R277" s="1159"/>
    </row>
    <row r="278" spans="1:18">
      <c r="A278" s="1159"/>
      <c r="B278" s="1160"/>
      <c r="K278" s="1160"/>
      <c r="L278" s="1160"/>
      <c r="M278" s="1160"/>
      <c r="N278" s="1160"/>
      <c r="O278" s="1160"/>
      <c r="P278" s="1159"/>
      <c r="Q278" s="1159"/>
      <c r="R278" s="1159"/>
    </row>
    <row r="279" spans="1:18">
      <c r="A279" s="1159"/>
      <c r="B279" s="1160"/>
      <c r="K279" s="1160"/>
      <c r="L279" s="1160"/>
      <c r="M279" s="1160"/>
      <c r="N279" s="1160"/>
      <c r="O279" s="1160"/>
      <c r="P279" s="1159"/>
      <c r="Q279" s="1159"/>
      <c r="R279" s="1159"/>
    </row>
    <row r="280" spans="1:18">
      <c r="A280" s="1159"/>
      <c r="B280" s="1160"/>
      <c r="K280" s="1160"/>
      <c r="L280" s="1160"/>
      <c r="M280" s="1160"/>
      <c r="N280" s="1160"/>
      <c r="O280" s="1160"/>
      <c r="P280" s="1159"/>
      <c r="Q280" s="1159"/>
      <c r="R280" s="1159"/>
    </row>
    <row r="281" spans="1:18">
      <c r="A281" s="1159"/>
      <c r="B281" s="1160"/>
      <c r="K281" s="1160"/>
      <c r="L281" s="1160"/>
      <c r="M281" s="1160"/>
      <c r="N281" s="1160"/>
      <c r="O281" s="1160"/>
      <c r="P281" s="1159"/>
      <c r="Q281" s="1159"/>
      <c r="R281" s="1159"/>
    </row>
    <row r="282" spans="1:18">
      <c r="A282" s="1159"/>
      <c r="B282" s="1160"/>
      <c r="K282" s="1160"/>
      <c r="L282" s="1160"/>
      <c r="M282" s="1160"/>
      <c r="N282" s="1160"/>
      <c r="O282" s="1160"/>
      <c r="P282" s="1159"/>
      <c r="Q282" s="1159"/>
      <c r="R282" s="1159"/>
    </row>
    <row r="283" spans="1:18">
      <c r="A283" s="1159"/>
      <c r="B283" s="1160"/>
      <c r="K283" s="1160"/>
      <c r="L283" s="1160"/>
      <c r="M283" s="1160"/>
      <c r="N283" s="1160"/>
      <c r="O283" s="1160"/>
      <c r="P283" s="1159"/>
      <c r="Q283" s="1159"/>
      <c r="R283" s="1159"/>
    </row>
    <row r="284" spans="1:18">
      <c r="A284" s="1159"/>
      <c r="B284" s="1160"/>
      <c r="K284" s="1160"/>
      <c r="L284" s="1160"/>
      <c r="M284" s="1160"/>
      <c r="N284" s="1160"/>
      <c r="O284" s="1160"/>
      <c r="P284" s="1159"/>
      <c r="Q284" s="1159"/>
      <c r="R284" s="1159"/>
    </row>
    <row r="285" spans="1:18">
      <c r="A285" s="1159"/>
      <c r="B285" s="1160"/>
      <c r="K285" s="1160"/>
      <c r="L285" s="1160"/>
      <c r="M285" s="1160"/>
      <c r="N285" s="1160"/>
      <c r="O285" s="1160"/>
      <c r="P285" s="1159"/>
      <c r="Q285" s="1159"/>
      <c r="R285" s="1159"/>
    </row>
    <row r="286" spans="1:18">
      <c r="A286" s="1159"/>
      <c r="B286" s="1160"/>
      <c r="K286" s="1160"/>
      <c r="L286" s="1160"/>
      <c r="M286" s="1160"/>
      <c r="N286" s="1160"/>
      <c r="O286" s="1160"/>
      <c r="P286" s="1159"/>
      <c r="Q286" s="1159"/>
      <c r="R286" s="1159"/>
    </row>
    <row r="287" spans="1:18">
      <c r="A287" s="1159"/>
      <c r="B287" s="1160"/>
      <c r="K287" s="1160"/>
      <c r="L287" s="1160"/>
      <c r="M287" s="1160"/>
      <c r="N287" s="1160"/>
      <c r="O287" s="1160"/>
      <c r="P287" s="1159"/>
      <c r="Q287" s="1159"/>
      <c r="R287" s="1159"/>
    </row>
    <row r="288" spans="1:18">
      <c r="A288" s="1159"/>
      <c r="B288" s="1160"/>
      <c r="K288" s="1160"/>
      <c r="L288" s="1160"/>
      <c r="M288" s="1160"/>
      <c r="N288" s="1160"/>
      <c r="O288" s="1160"/>
      <c r="P288" s="1159"/>
      <c r="Q288" s="1159"/>
      <c r="R288" s="1159"/>
    </row>
    <row r="289" spans="1:18">
      <c r="A289" s="1159"/>
      <c r="B289" s="1160"/>
      <c r="K289" s="1160"/>
      <c r="L289" s="1160"/>
      <c r="M289" s="1160"/>
      <c r="N289" s="1160"/>
      <c r="O289" s="1160"/>
      <c r="P289" s="1159"/>
      <c r="Q289" s="1159"/>
      <c r="R289" s="1159"/>
    </row>
    <row r="290" spans="1:18">
      <c r="A290" s="1159"/>
      <c r="B290" s="1160"/>
      <c r="K290" s="1160"/>
      <c r="L290" s="1160"/>
      <c r="M290" s="1160"/>
      <c r="N290" s="1160"/>
      <c r="O290" s="1160"/>
      <c r="P290" s="1159"/>
      <c r="Q290" s="1159"/>
      <c r="R290" s="1159"/>
    </row>
    <row r="291" spans="1:18">
      <c r="A291" s="1159"/>
      <c r="B291" s="1160"/>
      <c r="K291" s="1160"/>
      <c r="L291" s="1160"/>
      <c r="M291" s="1160"/>
      <c r="N291" s="1160"/>
      <c r="O291" s="1160"/>
      <c r="P291" s="1159"/>
      <c r="Q291" s="1159"/>
      <c r="R291" s="1159"/>
    </row>
    <row r="292" spans="1:18">
      <c r="A292" s="1159"/>
      <c r="B292" s="1160"/>
      <c r="K292" s="1160"/>
      <c r="L292" s="1160"/>
      <c r="M292" s="1160"/>
      <c r="N292" s="1160"/>
      <c r="O292" s="1160"/>
      <c r="P292" s="1159"/>
      <c r="Q292" s="1159"/>
      <c r="R292" s="1159"/>
    </row>
    <row r="293" spans="1:18">
      <c r="A293" s="1159"/>
      <c r="B293" s="1160"/>
      <c r="K293" s="1160"/>
      <c r="L293" s="1160"/>
      <c r="M293" s="1160"/>
      <c r="N293" s="1160"/>
      <c r="O293" s="1160"/>
      <c r="P293" s="1159"/>
      <c r="Q293" s="1159"/>
      <c r="R293" s="1159"/>
    </row>
    <row r="294" spans="1:18">
      <c r="A294" s="1159"/>
      <c r="B294" s="1160"/>
      <c r="K294" s="1160"/>
      <c r="L294" s="1160"/>
      <c r="M294" s="1160"/>
      <c r="N294" s="1160"/>
      <c r="O294" s="1160"/>
      <c r="P294" s="1159"/>
      <c r="Q294" s="1159"/>
      <c r="R294" s="1159"/>
    </row>
    <row r="295" spans="1:18">
      <c r="A295" s="1159"/>
      <c r="B295" s="1160"/>
      <c r="K295" s="1160"/>
      <c r="L295" s="1160"/>
      <c r="M295" s="1160"/>
      <c r="N295" s="1160"/>
      <c r="O295" s="1160"/>
      <c r="P295" s="1159"/>
      <c r="Q295" s="1159"/>
      <c r="R295" s="1159"/>
    </row>
    <row r="296" spans="1:18">
      <c r="A296" s="1159"/>
      <c r="B296" s="1160"/>
      <c r="K296" s="1160"/>
      <c r="L296" s="1160"/>
      <c r="M296" s="1160"/>
      <c r="N296" s="1160"/>
      <c r="O296" s="1160"/>
      <c r="P296" s="1159"/>
      <c r="Q296" s="1159"/>
      <c r="R296" s="1159"/>
    </row>
    <row r="297" spans="1:18">
      <c r="A297" s="1159"/>
      <c r="B297" s="1160"/>
      <c r="K297" s="1160"/>
      <c r="L297" s="1160"/>
      <c r="M297" s="1160"/>
      <c r="N297" s="1160"/>
      <c r="O297" s="1160"/>
      <c r="P297" s="1159"/>
      <c r="Q297" s="1159"/>
      <c r="R297" s="1159"/>
    </row>
    <row r="298" spans="1:18">
      <c r="A298" s="1159"/>
      <c r="B298" s="1160"/>
      <c r="K298" s="1160"/>
      <c r="L298" s="1160"/>
      <c r="M298" s="1160"/>
      <c r="N298" s="1160"/>
      <c r="O298" s="1160"/>
      <c r="P298" s="1159"/>
      <c r="Q298" s="1159"/>
      <c r="R298" s="1159"/>
    </row>
    <row r="299" spans="1:18">
      <c r="A299" s="1159"/>
      <c r="B299" s="1160"/>
      <c r="K299" s="1160"/>
      <c r="L299" s="1160"/>
      <c r="M299" s="1160"/>
      <c r="N299" s="1160"/>
      <c r="O299" s="1160"/>
      <c r="P299" s="1159"/>
      <c r="Q299" s="1159"/>
      <c r="R299" s="1159"/>
    </row>
    <row r="300" spans="1:18">
      <c r="A300" s="1159"/>
      <c r="B300" s="1160"/>
      <c r="K300" s="1160"/>
      <c r="L300" s="1160"/>
      <c r="M300" s="1160"/>
      <c r="N300" s="1160"/>
      <c r="O300" s="1160"/>
      <c r="P300" s="1159"/>
      <c r="Q300" s="1159"/>
      <c r="R300" s="1159"/>
    </row>
    <row r="301" spans="1:18">
      <c r="A301" s="1159"/>
      <c r="B301" s="1160"/>
      <c r="K301" s="1160"/>
      <c r="L301" s="1160"/>
      <c r="M301" s="1160"/>
      <c r="N301" s="1160"/>
      <c r="O301" s="1160"/>
      <c r="P301" s="1159"/>
      <c r="Q301" s="1159"/>
      <c r="R301" s="1159"/>
    </row>
    <row r="302" spans="1:18">
      <c r="A302" s="1159"/>
      <c r="B302" s="1160"/>
      <c r="K302" s="1160"/>
      <c r="L302" s="1160"/>
      <c r="M302" s="1160"/>
      <c r="N302" s="1160"/>
      <c r="O302" s="1160"/>
      <c r="P302" s="1159"/>
      <c r="Q302" s="1159"/>
      <c r="R302" s="1159"/>
    </row>
    <row r="303" spans="1:18">
      <c r="A303" s="1159"/>
      <c r="B303" s="1160"/>
      <c r="K303" s="1160"/>
      <c r="L303" s="1160"/>
      <c r="M303" s="1160"/>
      <c r="N303" s="1160"/>
      <c r="O303" s="1160"/>
      <c r="P303" s="1159"/>
      <c r="Q303" s="1159"/>
      <c r="R303" s="1159"/>
    </row>
    <row r="304" spans="1:18">
      <c r="A304" s="1159"/>
      <c r="B304" s="1160"/>
      <c r="K304" s="1160"/>
      <c r="L304" s="1160"/>
      <c r="M304" s="1160"/>
      <c r="N304" s="1160"/>
      <c r="O304" s="1160"/>
      <c r="P304" s="1159"/>
      <c r="Q304" s="1159"/>
      <c r="R304" s="1159"/>
    </row>
    <row r="305" spans="1:18">
      <c r="A305" s="1159"/>
      <c r="B305" s="1160"/>
      <c r="K305" s="1160"/>
      <c r="L305" s="1160"/>
      <c r="M305" s="1160"/>
      <c r="N305" s="1160"/>
      <c r="O305" s="1160"/>
      <c r="P305" s="1159"/>
      <c r="Q305" s="1159"/>
      <c r="R305" s="1159"/>
    </row>
    <row r="306" spans="1:18">
      <c r="A306" s="1159"/>
      <c r="B306" s="1160"/>
      <c r="K306" s="1160"/>
      <c r="L306" s="1160"/>
      <c r="M306" s="1160"/>
      <c r="N306" s="1160"/>
      <c r="O306" s="1160"/>
      <c r="P306" s="1159"/>
      <c r="Q306" s="1159"/>
      <c r="R306" s="1159"/>
    </row>
    <row r="307" spans="1:18">
      <c r="A307" s="1159"/>
      <c r="B307" s="1160"/>
      <c r="K307" s="1160"/>
      <c r="L307" s="1160"/>
      <c r="M307" s="1160"/>
      <c r="N307" s="1160"/>
      <c r="O307" s="1160"/>
      <c r="P307" s="1159"/>
      <c r="Q307" s="1159"/>
      <c r="R307" s="1159"/>
    </row>
    <row r="308" spans="1:18">
      <c r="A308" s="1159"/>
      <c r="B308" s="1160"/>
      <c r="K308" s="1160"/>
      <c r="L308" s="1160"/>
      <c r="M308" s="1160"/>
      <c r="N308" s="1160"/>
      <c r="O308" s="1160"/>
      <c r="P308" s="1159"/>
      <c r="Q308" s="1159"/>
      <c r="R308" s="1159"/>
    </row>
    <row r="309" spans="1:18">
      <c r="A309" s="1159"/>
      <c r="B309" s="1160"/>
      <c r="K309" s="1160"/>
      <c r="L309" s="1160"/>
      <c r="M309" s="1160"/>
      <c r="N309" s="1160"/>
      <c r="O309" s="1160"/>
      <c r="P309" s="1159"/>
      <c r="Q309" s="1159"/>
      <c r="R309" s="1159"/>
    </row>
    <row r="310" spans="1:18">
      <c r="A310" s="1159"/>
      <c r="B310" s="1160"/>
      <c r="K310" s="1160"/>
      <c r="L310" s="1160"/>
      <c r="M310" s="1160"/>
      <c r="N310" s="1160"/>
      <c r="O310" s="1160"/>
      <c r="P310" s="1159"/>
      <c r="Q310" s="1159"/>
      <c r="R310" s="1159"/>
    </row>
    <row r="311" spans="1:18">
      <c r="A311" s="1159"/>
      <c r="B311" s="1160"/>
      <c r="K311" s="1160"/>
      <c r="L311" s="1160"/>
      <c r="M311" s="1160"/>
      <c r="N311" s="1160"/>
      <c r="O311" s="1160"/>
      <c r="P311" s="1159"/>
      <c r="Q311" s="1159"/>
      <c r="R311" s="1159"/>
    </row>
    <row r="312" spans="1:18">
      <c r="A312" s="1159"/>
      <c r="B312" s="1160"/>
      <c r="K312" s="1160"/>
      <c r="L312" s="1160"/>
      <c r="M312" s="1160"/>
      <c r="N312" s="1160"/>
      <c r="O312" s="1160"/>
      <c r="P312" s="1159"/>
      <c r="Q312" s="1159"/>
      <c r="R312" s="1159"/>
    </row>
    <row r="313" spans="1:18">
      <c r="A313" s="1159"/>
      <c r="B313" s="1160"/>
      <c r="K313" s="1160"/>
      <c r="L313" s="1160"/>
      <c r="M313" s="1160"/>
      <c r="N313" s="1160"/>
      <c r="O313" s="1160"/>
      <c r="P313" s="1159"/>
      <c r="Q313" s="1159"/>
      <c r="R313" s="1159"/>
    </row>
    <row r="314" spans="1:18">
      <c r="A314" s="1159"/>
      <c r="B314" s="1160"/>
      <c r="K314" s="1160"/>
      <c r="L314" s="1160"/>
      <c r="M314" s="1160"/>
      <c r="N314" s="1160"/>
      <c r="O314" s="1160"/>
      <c r="P314" s="1159"/>
      <c r="Q314" s="1159"/>
      <c r="R314" s="1159"/>
    </row>
    <row r="315" spans="1:18">
      <c r="A315" s="1159"/>
      <c r="B315" s="1160"/>
      <c r="K315" s="1160"/>
      <c r="L315" s="1160"/>
      <c r="M315" s="1160"/>
      <c r="N315" s="1160"/>
      <c r="O315" s="1160"/>
      <c r="P315" s="1159"/>
      <c r="Q315" s="1159"/>
      <c r="R315" s="1159"/>
    </row>
    <row r="316" spans="1:18">
      <c r="A316" s="1159"/>
      <c r="B316" s="1160"/>
      <c r="K316" s="1160"/>
      <c r="L316" s="1160"/>
      <c r="M316" s="1160"/>
      <c r="N316" s="1160"/>
      <c r="O316" s="1160"/>
      <c r="P316" s="1159"/>
      <c r="Q316" s="1159"/>
      <c r="R316" s="1159"/>
    </row>
    <row r="317" spans="1:18">
      <c r="A317" s="1159"/>
      <c r="B317" s="1160"/>
      <c r="K317" s="1160"/>
      <c r="L317" s="1160"/>
      <c r="M317" s="1160"/>
      <c r="N317" s="1160"/>
      <c r="O317" s="1160"/>
      <c r="P317" s="1159"/>
      <c r="Q317" s="1159"/>
      <c r="R317" s="1159"/>
    </row>
    <row r="318" spans="1:18">
      <c r="A318" s="1159"/>
      <c r="B318" s="1160"/>
      <c r="K318" s="1160"/>
      <c r="L318" s="1160"/>
      <c r="M318" s="1160"/>
      <c r="N318" s="1160"/>
      <c r="O318" s="1160"/>
      <c r="P318" s="1159"/>
      <c r="Q318" s="1159"/>
      <c r="R318" s="1159"/>
    </row>
    <row r="319" spans="1:18">
      <c r="A319" s="1159"/>
      <c r="B319" s="1160"/>
      <c r="K319" s="1160"/>
      <c r="L319" s="1160"/>
      <c r="M319" s="1160"/>
      <c r="N319" s="1160"/>
      <c r="O319" s="1160"/>
      <c r="P319" s="1159"/>
      <c r="Q319" s="1159"/>
      <c r="R319" s="1159"/>
    </row>
    <row r="320" spans="1:18">
      <c r="A320" s="1159"/>
      <c r="B320" s="1160"/>
      <c r="K320" s="1160"/>
      <c r="L320" s="1160"/>
      <c r="M320" s="1160"/>
      <c r="N320" s="1160"/>
      <c r="O320" s="1160"/>
      <c r="P320" s="1159"/>
      <c r="Q320" s="1159"/>
      <c r="R320" s="1159"/>
    </row>
    <row r="321" spans="1:18">
      <c r="A321" s="1159"/>
      <c r="B321" s="1160"/>
      <c r="K321" s="1160"/>
      <c r="L321" s="1160"/>
      <c r="M321" s="1160"/>
      <c r="N321" s="1160"/>
      <c r="O321" s="1160"/>
      <c r="P321" s="1159"/>
      <c r="Q321" s="1159"/>
      <c r="R321" s="1159"/>
    </row>
    <row r="322" spans="1:18">
      <c r="A322" s="1159"/>
      <c r="B322" s="1160"/>
      <c r="K322" s="1160"/>
      <c r="L322" s="1160"/>
      <c r="M322" s="1160"/>
      <c r="N322" s="1160"/>
      <c r="O322" s="1160"/>
      <c r="P322" s="1159"/>
      <c r="Q322" s="1159"/>
      <c r="R322" s="1159"/>
    </row>
    <row r="323" spans="1:18">
      <c r="A323" s="1159"/>
      <c r="B323" s="1160"/>
      <c r="K323" s="1160"/>
      <c r="L323" s="1160"/>
      <c r="M323" s="1160"/>
      <c r="N323" s="1160"/>
      <c r="O323" s="1160"/>
      <c r="P323" s="1159"/>
      <c r="Q323" s="1159"/>
      <c r="R323" s="1159"/>
    </row>
    <row r="324" spans="1:18">
      <c r="A324" s="1159"/>
      <c r="B324" s="1160"/>
      <c r="K324" s="1160"/>
      <c r="L324" s="1160"/>
      <c r="M324" s="1160"/>
      <c r="N324" s="1160"/>
      <c r="O324" s="1160"/>
      <c r="P324" s="1159"/>
      <c r="Q324" s="1159"/>
      <c r="R324" s="1159"/>
    </row>
    <row r="325" spans="1:18">
      <c r="A325" s="1159"/>
      <c r="B325" s="1160"/>
      <c r="K325" s="1160"/>
      <c r="L325" s="1160"/>
      <c r="M325" s="1160"/>
      <c r="N325" s="1160"/>
      <c r="O325" s="1160"/>
      <c r="P325" s="1159"/>
      <c r="Q325" s="1159"/>
      <c r="R325" s="1159"/>
    </row>
    <row r="326" spans="1:18">
      <c r="A326" s="1159"/>
      <c r="B326" s="1160"/>
      <c r="K326" s="1160"/>
      <c r="L326" s="1160"/>
      <c r="M326" s="1160"/>
      <c r="N326" s="1160"/>
      <c r="O326" s="1160"/>
      <c r="P326" s="1159"/>
      <c r="Q326" s="1159"/>
      <c r="R326" s="1159"/>
    </row>
    <row r="327" spans="1:18">
      <c r="A327" s="1159"/>
      <c r="B327" s="1160"/>
      <c r="K327" s="1160"/>
      <c r="L327" s="1160"/>
      <c r="M327" s="1160"/>
      <c r="N327" s="1160"/>
      <c r="O327" s="1160"/>
      <c r="P327" s="1159"/>
      <c r="Q327" s="1159"/>
      <c r="R327" s="1159"/>
    </row>
    <row r="328" spans="1:18">
      <c r="A328" s="1159"/>
      <c r="B328" s="1160"/>
      <c r="K328" s="1160"/>
      <c r="L328" s="1160"/>
      <c r="M328" s="1160"/>
      <c r="N328" s="1160"/>
      <c r="O328" s="1160"/>
      <c r="P328" s="1159"/>
      <c r="Q328" s="1159"/>
      <c r="R328" s="1159"/>
    </row>
    <row r="329" spans="1:18">
      <c r="A329" s="1159"/>
      <c r="B329" s="1160"/>
      <c r="K329" s="1160"/>
      <c r="L329" s="1160"/>
      <c r="M329" s="1160"/>
      <c r="N329" s="1160"/>
      <c r="O329" s="1160"/>
      <c r="P329" s="1159"/>
      <c r="Q329" s="1159"/>
      <c r="R329" s="1159"/>
    </row>
    <row r="330" spans="1:18">
      <c r="A330" s="1159"/>
      <c r="B330" s="1160"/>
      <c r="K330" s="1160"/>
      <c r="L330" s="1160"/>
      <c r="M330" s="1160"/>
      <c r="N330" s="1160"/>
      <c r="O330" s="1160"/>
      <c r="P330" s="1159"/>
      <c r="Q330" s="1159"/>
      <c r="R330" s="1159"/>
    </row>
    <row r="331" spans="1:18">
      <c r="A331" s="1159"/>
      <c r="B331" s="1160"/>
      <c r="K331" s="1160"/>
      <c r="L331" s="1160"/>
      <c r="M331" s="1160"/>
      <c r="N331" s="1160"/>
      <c r="O331" s="1160"/>
      <c r="P331" s="1159"/>
      <c r="Q331" s="1159"/>
      <c r="R331" s="1159"/>
    </row>
    <row r="332" spans="1:18">
      <c r="A332" s="1159"/>
      <c r="B332" s="1160"/>
      <c r="K332" s="1160"/>
      <c r="L332" s="1160"/>
      <c r="M332" s="1160"/>
      <c r="N332" s="1160"/>
      <c r="O332" s="1160"/>
      <c r="P332" s="1159"/>
      <c r="Q332" s="1159"/>
      <c r="R332" s="1159"/>
    </row>
    <row r="333" spans="1:18">
      <c r="A333" s="1159"/>
      <c r="B333" s="1160"/>
      <c r="K333" s="1160"/>
      <c r="L333" s="1160"/>
      <c r="M333" s="1160"/>
      <c r="N333" s="1160"/>
      <c r="O333" s="1160"/>
      <c r="P333" s="1159"/>
      <c r="Q333" s="1159"/>
      <c r="R333" s="1159"/>
    </row>
    <row r="334" spans="1:18">
      <c r="A334" s="1159"/>
      <c r="B334" s="1160"/>
      <c r="K334" s="1160"/>
      <c r="L334" s="1160"/>
      <c r="M334" s="1160"/>
      <c r="N334" s="1160"/>
      <c r="O334" s="1160"/>
      <c r="P334" s="1159"/>
      <c r="Q334" s="1159"/>
      <c r="R334" s="1159"/>
    </row>
    <row r="335" spans="1:18">
      <c r="A335" s="1159"/>
      <c r="B335" s="1160"/>
      <c r="K335" s="1160"/>
      <c r="L335" s="1160"/>
      <c r="M335" s="1160"/>
      <c r="N335" s="1160"/>
      <c r="O335" s="1160"/>
      <c r="P335" s="1159"/>
      <c r="Q335" s="1159"/>
      <c r="R335" s="1159"/>
    </row>
    <row r="336" spans="1:18">
      <c r="A336" s="1159"/>
      <c r="B336" s="1160"/>
      <c r="K336" s="1160"/>
      <c r="L336" s="1160"/>
      <c r="M336" s="1160"/>
      <c r="N336" s="1160"/>
      <c r="O336" s="1160"/>
      <c r="P336" s="1159"/>
      <c r="Q336" s="1159"/>
      <c r="R336" s="1159"/>
    </row>
    <row r="337" spans="1:18">
      <c r="A337" s="1159"/>
      <c r="B337" s="1160"/>
      <c r="K337" s="1160"/>
      <c r="L337" s="1160"/>
      <c r="M337" s="1160"/>
      <c r="N337" s="1160"/>
      <c r="O337" s="1160"/>
      <c r="P337" s="1159"/>
      <c r="Q337" s="1159"/>
      <c r="R337" s="1159"/>
    </row>
    <row r="338" spans="1:18">
      <c r="A338" s="1159"/>
      <c r="B338" s="1160"/>
      <c r="K338" s="1160"/>
      <c r="L338" s="1160"/>
      <c r="M338" s="1160"/>
      <c r="N338" s="1160"/>
      <c r="O338" s="1160"/>
      <c r="P338" s="1159"/>
      <c r="Q338" s="1159"/>
      <c r="R338" s="1159"/>
    </row>
    <row r="339" spans="1:18">
      <c r="A339" s="1159"/>
      <c r="B339" s="1160"/>
      <c r="K339" s="1160"/>
      <c r="L339" s="1160"/>
      <c r="M339" s="1160"/>
      <c r="N339" s="1160"/>
      <c r="O339" s="1160"/>
      <c r="P339" s="1159"/>
      <c r="Q339" s="1159"/>
      <c r="R339" s="1159"/>
    </row>
    <row r="340" spans="1:18">
      <c r="A340" s="1159"/>
      <c r="B340" s="1160"/>
      <c r="K340" s="1160"/>
      <c r="L340" s="1160"/>
      <c r="M340" s="1160"/>
      <c r="N340" s="1160"/>
      <c r="O340" s="1160"/>
      <c r="P340" s="1159"/>
      <c r="Q340" s="1159"/>
      <c r="R340" s="1159"/>
    </row>
    <row r="341" spans="1:18">
      <c r="A341" s="1159"/>
      <c r="B341" s="1160"/>
      <c r="K341" s="1160"/>
      <c r="L341" s="1160"/>
      <c r="M341" s="1160"/>
      <c r="N341" s="1160"/>
      <c r="O341" s="1160"/>
      <c r="P341" s="1159"/>
      <c r="Q341" s="1159"/>
      <c r="R341" s="1159"/>
    </row>
    <row r="342" spans="1:18">
      <c r="A342" s="1159"/>
      <c r="B342" s="1160"/>
      <c r="K342" s="1160"/>
      <c r="L342" s="1160"/>
      <c r="M342" s="1160"/>
      <c r="N342" s="1160"/>
      <c r="O342" s="1160"/>
      <c r="P342" s="1159"/>
      <c r="Q342" s="1159"/>
      <c r="R342" s="1159"/>
    </row>
    <row r="343" spans="1:18">
      <c r="A343" s="1159"/>
      <c r="B343" s="1160"/>
      <c r="K343" s="1160"/>
      <c r="L343" s="1160"/>
      <c r="M343" s="1160"/>
      <c r="N343" s="1160"/>
      <c r="O343" s="1160"/>
      <c r="P343" s="1159"/>
      <c r="Q343" s="1159"/>
      <c r="R343" s="1159"/>
    </row>
    <row r="344" spans="1:18">
      <c r="A344" s="1159"/>
      <c r="B344" s="1160"/>
      <c r="K344" s="1160"/>
      <c r="L344" s="1160"/>
      <c r="M344" s="1160"/>
      <c r="N344" s="1160"/>
      <c r="O344" s="1160"/>
      <c r="P344" s="1159"/>
      <c r="Q344" s="1159"/>
      <c r="R344" s="1159"/>
    </row>
    <row r="345" spans="1:18">
      <c r="A345" s="1159"/>
      <c r="B345" s="1160"/>
      <c r="K345" s="1160"/>
      <c r="L345" s="1160"/>
      <c r="M345" s="1160"/>
      <c r="N345" s="1160"/>
      <c r="O345" s="1160"/>
      <c r="P345" s="1159"/>
      <c r="Q345" s="1159"/>
      <c r="R345" s="1159"/>
    </row>
    <row r="346" spans="1:18">
      <c r="A346" s="1159"/>
      <c r="B346" s="1160"/>
      <c r="K346" s="1160"/>
      <c r="L346" s="1160"/>
      <c r="M346" s="1160"/>
      <c r="N346" s="1160"/>
      <c r="O346" s="1160"/>
      <c r="P346" s="1159"/>
      <c r="Q346" s="1159"/>
      <c r="R346" s="1159"/>
    </row>
    <row r="347" spans="1:18">
      <c r="A347" s="1159"/>
      <c r="B347" s="1160"/>
      <c r="K347" s="1160"/>
      <c r="L347" s="1160"/>
      <c r="M347" s="1160"/>
      <c r="N347" s="1160"/>
      <c r="O347" s="1160"/>
      <c r="P347" s="1159"/>
      <c r="Q347" s="1159"/>
      <c r="R347" s="1159"/>
    </row>
    <row r="348" spans="1:18">
      <c r="A348" s="1159"/>
      <c r="B348" s="1160"/>
      <c r="K348" s="1160"/>
      <c r="L348" s="1160"/>
      <c r="M348" s="1160"/>
      <c r="N348" s="1160"/>
      <c r="O348" s="1160"/>
      <c r="P348" s="1159"/>
      <c r="Q348" s="1159"/>
      <c r="R348" s="1159"/>
    </row>
    <row r="349" spans="1:18">
      <c r="A349" s="1159"/>
      <c r="B349" s="1160"/>
      <c r="K349" s="1160"/>
      <c r="L349" s="1160"/>
      <c r="M349" s="1160"/>
      <c r="N349" s="1160"/>
      <c r="O349" s="1160"/>
      <c r="P349" s="1159"/>
      <c r="Q349" s="1159"/>
      <c r="R349" s="1159"/>
    </row>
    <row r="350" spans="1:18">
      <c r="A350" s="1159"/>
      <c r="B350" s="1160"/>
      <c r="K350" s="1160"/>
      <c r="L350" s="1160"/>
      <c r="M350" s="1160"/>
      <c r="N350" s="1160"/>
      <c r="O350" s="1160"/>
      <c r="P350" s="1159"/>
      <c r="Q350" s="1159"/>
      <c r="R350" s="1159"/>
    </row>
    <row r="351" spans="1:18">
      <c r="A351" s="1159"/>
      <c r="B351" s="1160"/>
      <c r="K351" s="1160"/>
      <c r="L351" s="1160"/>
      <c r="M351" s="1160"/>
      <c r="N351" s="1160"/>
      <c r="O351" s="1160"/>
      <c r="P351" s="1159"/>
      <c r="Q351" s="1159"/>
      <c r="R351" s="1159"/>
    </row>
    <row r="352" spans="1:18">
      <c r="A352" s="1159"/>
      <c r="B352" s="1160"/>
      <c r="K352" s="1160"/>
      <c r="L352" s="1160"/>
      <c r="M352" s="1160"/>
      <c r="N352" s="1160"/>
      <c r="O352" s="1160"/>
      <c r="P352" s="1159"/>
      <c r="Q352" s="1159"/>
      <c r="R352" s="1159"/>
    </row>
    <row r="353" spans="1:18">
      <c r="A353" s="1159"/>
      <c r="B353" s="1160"/>
      <c r="K353" s="1160"/>
      <c r="L353" s="1160"/>
      <c r="M353" s="1160"/>
      <c r="N353" s="1160"/>
      <c r="O353" s="1160"/>
      <c r="P353" s="1159"/>
      <c r="Q353" s="1159"/>
      <c r="R353" s="1159"/>
    </row>
    <row r="354" spans="1:18">
      <c r="A354" s="1159"/>
      <c r="B354" s="1160"/>
      <c r="K354" s="1160"/>
      <c r="L354" s="1160"/>
      <c r="M354" s="1160"/>
      <c r="N354" s="1160"/>
      <c r="O354" s="1160"/>
      <c r="P354" s="1159"/>
      <c r="Q354" s="1159"/>
      <c r="R354" s="1159"/>
    </row>
    <row r="355" spans="1:18">
      <c r="B355" s="1160"/>
      <c r="K355" s="1160"/>
      <c r="L355" s="1160"/>
      <c r="M355" s="1160"/>
      <c r="N355" s="1160"/>
      <c r="O355" s="1160"/>
    </row>
    <row r="356" spans="1:18" ht="13.5" thickBot="1">
      <c r="B356" s="1160"/>
      <c r="K356" s="1160"/>
      <c r="L356" s="1160"/>
      <c r="M356" s="1160"/>
      <c r="N356" s="1160"/>
      <c r="O356" s="1160"/>
    </row>
    <row r="357" spans="1:18">
      <c r="A357" s="1655"/>
      <c r="B357" s="1413"/>
      <c r="C357" s="1656"/>
      <c r="D357" s="1414"/>
      <c r="E357" s="1414"/>
      <c r="F357" s="1414"/>
      <c r="G357" s="1414"/>
      <c r="H357" s="1414"/>
      <c r="I357" s="1414"/>
      <c r="J357" s="1414"/>
      <c r="K357" s="1414"/>
      <c r="L357" s="1414"/>
      <c r="M357" s="1414"/>
      <c r="N357" s="1414"/>
      <c r="O357" s="1414"/>
      <c r="P357" s="1657"/>
      <c r="Q357" s="1415"/>
      <c r="R357" s="1415"/>
    </row>
    <row r="358" spans="1:18">
      <c r="A358" s="1658"/>
      <c r="B358" s="1160"/>
      <c r="K358" s="1160"/>
      <c r="L358" s="1160"/>
      <c r="M358" s="1160"/>
      <c r="N358" s="1160"/>
      <c r="O358" s="1160"/>
      <c r="P358" s="1659"/>
      <c r="Q358" s="2051"/>
      <c r="R358" s="2051"/>
    </row>
    <row r="359" spans="1:18">
      <c r="A359" s="1658"/>
      <c r="B359" s="1160"/>
      <c r="K359" s="1160"/>
      <c r="L359" s="1160"/>
      <c r="M359" s="1160"/>
      <c r="N359" s="1160"/>
      <c r="O359" s="1160"/>
      <c r="P359" s="1659"/>
      <c r="Q359" s="2051"/>
      <c r="R359" s="2051"/>
    </row>
    <row r="360" spans="1:18">
      <c r="A360" s="1658"/>
      <c r="B360" s="1160"/>
      <c r="K360" s="1160"/>
      <c r="L360" s="1160"/>
      <c r="M360" s="1160"/>
      <c r="N360" s="1160"/>
      <c r="O360" s="1160"/>
      <c r="P360" s="1659"/>
      <c r="Q360" s="2051"/>
      <c r="R360" s="2051"/>
    </row>
    <row r="361" spans="1:18">
      <c r="A361" s="1658"/>
      <c r="B361" s="1160"/>
      <c r="K361" s="1160"/>
      <c r="L361" s="1160"/>
      <c r="M361" s="1160"/>
      <c r="N361" s="1160"/>
      <c r="O361" s="1160"/>
      <c r="P361" s="1659"/>
      <c r="Q361" s="2051"/>
      <c r="R361" s="2051"/>
    </row>
    <row r="362" spans="1:18">
      <c r="A362" s="1658"/>
      <c r="B362" s="1160"/>
      <c r="K362" s="1160"/>
      <c r="L362" s="1160"/>
      <c r="M362" s="1160"/>
      <c r="N362" s="1160"/>
      <c r="O362" s="1160"/>
      <c r="P362" s="1659"/>
      <c r="Q362" s="2051"/>
      <c r="R362" s="2051"/>
    </row>
    <row r="363" spans="1:18">
      <c r="A363" s="1658"/>
      <c r="B363" s="1160"/>
      <c r="K363" s="1160"/>
      <c r="L363" s="1160"/>
      <c r="M363" s="1160"/>
      <c r="N363" s="1160"/>
      <c r="O363" s="1160"/>
      <c r="P363" s="1659"/>
      <c r="Q363" s="2051"/>
      <c r="R363" s="2051"/>
    </row>
    <row r="364" spans="1:18">
      <c r="A364" s="1658"/>
      <c r="B364" s="1160"/>
      <c r="K364" s="1160"/>
      <c r="L364" s="1160"/>
      <c r="M364" s="1160"/>
      <c r="N364" s="1160"/>
      <c r="O364" s="1160"/>
      <c r="P364" s="1659"/>
      <c r="Q364" s="2051"/>
      <c r="R364" s="2051"/>
    </row>
    <row r="365" spans="1:18">
      <c r="A365" s="1658"/>
      <c r="B365" s="1160"/>
      <c r="K365" s="1160"/>
      <c r="L365" s="1160"/>
      <c r="M365" s="1160"/>
      <c r="N365" s="1160"/>
      <c r="O365" s="1160"/>
      <c r="P365" s="1659"/>
      <c r="Q365" s="2051"/>
      <c r="R365" s="2051"/>
    </row>
    <row r="366" spans="1:18">
      <c r="A366" s="1658"/>
      <c r="B366" s="1160"/>
      <c r="K366" s="1160"/>
      <c r="L366" s="1160"/>
      <c r="M366" s="1160"/>
      <c r="N366" s="1160"/>
      <c r="O366" s="1160"/>
      <c r="P366" s="1659"/>
      <c r="Q366" s="2051"/>
      <c r="R366" s="2051"/>
    </row>
    <row r="367" spans="1:18">
      <c r="A367" s="1658"/>
      <c r="B367" s="1160"/>
      <c r="K367" s="1160"/>
      <c r="L367" s="1160"/>
      <c r="M367" s="1160"/>
      <c r="N367" s="1160"/>
      <c r="O367" s="1160"/>
      <c r="P367" s="1659"/>
      <c r="Q367" s="2051"/>
      <c r="R367" s="2051"/>
    </row>
    <row r="368" spans="1:18" ht="13.5" thickBot="1">
      <c r="A368" s="1660"/>
      <c r="B368" s="1416"/>
      <c r="C368" s="1661"/>
      <c r="D368" s="1416"/>
      <c r="E368" s="1416"/>
      <c r="F368" s="1416"/>
      <c r="G368" s="1416"/>
      <c r="H368" s="1416"/>
      <c r="I368" s="1416"/>
      <c r="J368" s="1416"/>
      <c r="K368" s="1416"/>
      <c r="L368" s="1416"/>
      <c r="M368" s="1416"/>
      <c r="N368" s="1416"/>
      <c r="O368" s="1416"/>
      <c r="P368" s="1662"/>
      <c r="Q368" s="687"/>
      <c r="R368" s="687"/>
    </row>
    <row r="369" spans="1:18">
      <c r="B369" s="1160"/>
      <c r="K369" s="1160"/>
      <c r="L369" s="1160"/>
      <c r="M369" s="1160"/>
      <c r="N369" s="1160"/>
      <c r="O369" s="1160"/>
    </row>
    <row r="370" spans="1:18">
      <c r="B370" s="1160"/>
      <c r="K370" s="1160"/>
      <c r="L370" s="1160"/>
      <c r="M370" s="1160"/>
      <c r="N370" s="1160"/>
      <c r="O370" s="1160"/>
    </row>
    <row r="371" spans="1:18">
      <c r="A371" s="1159"/>
      <c r="B371" s="1160"/>
      <c r="K371" s="1160"/>
      <c r="L371" s="1160"/>
      <c r="M371" s="1160"/>
      <c r="N371" s="1160"/>
      <c r="O371" s="1160"/>
      <c r="P371" s="1159"/>
      <c r="Q371" s="1159"/>
      <c r="R371" s="1159"/>
    </row>
    <row r="372" spans="1:18">
      <c r="A372" s="1159"/>
      <c r="B372" s="1160"/>
      <c r="K372" s="1160"/>
      <c r="L372" s="1160"/>
      <c r="M372" s="1160"/>
      <c r="N372" s="1160"/>
      <c r="O372" s="1160"/>
      <c r="P372" s="1159"/>
      <c r="Q372" s="1159"/>
      <c r="R372" s="1159"/>
    </row>
    <row r="373" spans="1:18">
      <c r="A373" s="1159"/>
      <c r="B373" s="1160"/>
      <c r="K373" s="1160"/>
      <c r="L373" s="1160"/>
      <c r="M373" s="1160"/>
      <c r="N373" s="1160"/>
      <c r="O373" s="1160"/>
      <c r="P373" s="1159"/>
      <c r="Q373" s="1159"/>
      <c r="R373" s="1159"/>
    </row>
    <row r="374" spans="1:18">
      <c r="A374" s="1159"/>
      <c r="B374" s="1160"/>
      <c r="K374" s="1160"/>
      <c r="L374" s="1160"/>
      <c r="M374" s="1160"/>
      <c r="N374" s="1160"/>
      <c r="O374" s="1160"/>
      <c r="P374" s="1159"/>
      <c r="Q374" s="1159"/>
      <c r="R374" s="1159"/>
    </row>
    <row r="375" spans="1:18">
      <c r="A375" s="1159"/>
      <c r="B375" s="1160"/>
      <c r="K375" s="1160"/>
      <c r="L375" s="1160"/>
      <c r="M375" s="1160"/>
      <c r="N375" s="1160"/>
      <c r="O375" s="1160"/>
      <c r="P375" s="1159"/>
      <c r="Q375" s="1159"/>
      <c r="R375" s="1159"/>
    </row>
    <row r="376" spans="1:18">
      <c r="A376" s="1159"/>
      <c r="B376" s="1160"/>
      <c r="K376" s="1160"/>
      <c r="L376" s="1160"/>
      <c r="M376" s="1160"/>
      <c r="N376" s="1160"/>
      <c r="O376" s="1160"/>
      <c r="P376" s="1159"/>
      <c r="Q376" s="1159"/>
      <c r="R376" s="1159"/>
    </row>
    <row r="377" spans="1:18">
      <c r="A377" s="1159"/>
      <c r="B377" s="1160"/>
      <c r="K377" s="1160"/>
      <c r="L377" s="1160"/>
      <c r="M377" s="1160"/>
      <c r="N377" s="1160"/>
      <c r="O377" s="1160"/>
      <c r="P377" s="1159"/>
      <c r="Q377" s="1159"/>
      <c r="R377" s="1159"/>
    </row>
    <row r="378" spans="1:18">
      <c r="A378" s="1159"/>
      <c r="B378" s="1160"/>
      <c r="K378" s="1160"/>
      <c r="L378" s="1160"/>
      <c r="M378" s="1160"/>
      <c r="N378" s="1160"/>
      <c r="O378" s="1160"/>
      <c r="P378" s="1159"/>
      <c r="Q378" s="1159"/>
      <c r="R378" s="1159"/>
    </row>
    <row r="379" spans="1:18">
      <c r="A379" s="1159"/>
      <c r="B379" s="1160"/>
      <c r="K379" s="1160"/>
      <c r="L379" s="1160"/>
      <c r="M379" s="1160"/>
      <c r="N379" s="1160"/>
      <c r="O379" s="1160"/>
      <c r="P379" s="1159"/>
      <c r="Q379" s="1159"/>
      <c r="R379" s="1159"/>
    </row>
    <row r="380" spans="1:18">
      <c r="A380" s="1159"/>
      <c r="B380" s="1160"/>
      <c r="K380" s="1160"/>
      <c r="L380" s="1160"/>
      <c r="M380" s="1160"/>
      <c r="N380" s="1160"/>
      <c r="O380" s="1160"/>
      <c r="P380" s="1159"/>
      <c r="Q380" s="1159"/>
      <c r="R380" s="1159"/>
    </row>
    <row r="381" spans="1:18">
      <c r="A381" s="1159"/>
      <c r="B381" s="1160"/>
      <c r="K381" s="1160"/>
      <c r="L381" s="1160"/>
      <c r="M381" s="1160"/>
      <c r="N381" s="1160"/>
      <c r="O381" s="1160"/>
      <c r="P381" s="1159"/>
      <c r="Q381" s="1159"/>
      <c r="R381" s="1159"/>
    </row>
    <row r="382" spans="1:18">
      <c r="A382" s="1159"/>
      <c r="B382" s="1160"/>
      <c r="K382" s="1160"/>
      <c r="L382" s="1160"/>
      <c r="M382" s="1160"/>
      <c r="N382" s="1160"/>
      <c r="O382" s="1160"/>
      <c r="P382" s="1159"/>
      <c r="Q382" s="1159"/>
      <c r="R382" s="1159"/>
    </row>
    <row r="383" spans="1:18">
      <c r="A383" s="1159"/>
      <c r="B383" s="1160"/>
      <c r="K383" s="1160"/>
      <c r="L383" s="1160"/>
      <c r="M383" s="1160"/>
      <c r="N383" s="1160"/>
      <c r="O383" s="1160"/>
      <c r="P383" s="1159"/>
      <c r="Q383" s="1159"/>
      <c r="R383" s="1159"/>
    </row>
    <row r="384" spans="1:18">
      <c r="A384" s="1159"/>
      <c r="B384" s="1160"/>
      <c r="K384" s="1160"/>
      <c r="L384" s="1160"/>
      <c r="M384" s="1160"/>
      <c r="N384" s="1160"/>
      <c r="O384" s="1160"/>
      <c r="P384" s="1159"/>
      <c r="Q384" s="1159"/>
      <c r="R384" s="1159"/>
    </row>
    <row r="385" spans="1:18">
      <c r="A385" s="1159"/>
      <c r="B385" s="1160"/>
      <c r="K385" s="1160"/>
      <c r="L385" s="1160"/>
      <c r="M385" s="1160"/>
      <c r="N385" s="1160"/>
      <c r="O385" s="1160"/>
      <c r="P385" s="1159"/>
      <c r="Q385" s="1159"/>
      <c r="R385" s="1159"/>
    </row>
    <row r="386" spans="1:18">
      <c r="A386" s="1159"/>
      <c r="B386" s="1160"/>
      <c r="K386" s="1160"/>
      <c r="L386" s="1160"/>
      <c r="M386" s="1160"/>
      <c r="N386" s="1160"/>
      <c r="O386" s="1160"/>
      <c r="P386" s="1159"/>
      <c r="Q386" s="1159"/>
      <c r="R386" s="1159"/>
    </row>
    <row r="387" spans="1:18">
      <c r="A387" s="1159"/>
      <c r="B387" s="1160"/>
      <c r="K387" s="1160"/>
      <c r="L387" s="1160"/>
      <c r="M387" s="1160"/>
      <c r="N387" s="1160"/>
      <c r="O387" s="1160"/>
      <c r="P387" s="1159"/>
      <c r="Q387" s="1159"/>
      <c r="R387" s="1159"/>
    </row>
    <row r="388" spans="1:18">
      <c r="A388" s="1159"/>
      <c r="B388" s="1160"/>
      <c r="K388" s="1160"/>
      <c r="L388" s="1160"/>
      <c r="M388" s="1160"/>
      <c r="N388" s="1160"/>
      <c r="O388" s="1160"/>
      <c r="P388" s="1159"/>
      <c r="Q388" s="1159"/>
      <c r="R388" s="1159"/>
    </row>
    <row r="389" spans="1:18">
      <c r="A389" s="1159"/>
      <c r="B389" s="1160"/>
      <c r="K389" s="1160"/>
      <c r="L389" s="1160"/>
      <c r="M389" s="1160"/>
      <c r="N389" s="1160"/>
      <c r="O389" s="1160"/>
      <c r="P389" s="1159"/>
      <c r="Q389" s="1159"/>
      <c r="R389" s="1159"/>
    </row>
    <row r="390" spans="1:18">
      <c r="A390" s="1159"/>
      <c r="B390" s="1160"/>
      <c r="K390" s="1160"/>
      <c r="L390" s="1160"/>
      <c r="M390" s="1160"/>
      <c r="N390" s="1160"/>
      <c r="O390" s="1160"/>
      <c r="P390" s="1159"/>
      <c r="Q390" s="1159"/>
      <c r="R390" s="1159"/>
    </row>
    <row r="391" spans="1:18">
      <c r="A391" s="1159"/>
      <c r="B391" s="1160"/>
      <c r="K391" s="1160"/>
      <c r="L391" s="1160"/>
      <c r="M391" s="1160"/>
      <c r="N391" s="1160"/>
      <c r="O391" s="1160"/>
      <c r="P391" s="1159"/>
      <c r="Q391" s="1159"/>
      <c r="R391" s="1159"/>
    </row>
    <row r="392" spans="1:18">
      <c r="A392" s="1159"/>
      <c r="B392" s="1160"/>
      <c r="K392" s="1160"/>
      <c r="L392" s="1160"/>
      <c r="M392" s="1160"/>
      <c r="N392" s="1160"/>
      <c r="O392" s="1160"/>
      <c r="P392" s="1159"/>
      <c r="Q392" s="1159"/>
      <c r="R392" s="1159"/>
    </row>
    <row r="393" spans="1:18">
      <c r="A393" s="1159"/>
      <c r="B393" s="1160"/>
      <c r="K393" s="1160"/>
      <c r="L393" s="1160"/>
      <c r="M393" s="1160"/>
      <c r="N393" s="1160"/>
      <c r="O393" s="1160"/>
      <c r="P393" s="1159"/>
      <c r="Q393" s="1159"/>
      <c r="R393" s="1159"/>
    </row>
    <row r="394" spans="1:18">
      <c r="A394" s="1159"/>
      <c r="B394" s="1160"/>
      <c r="K394" s="1160"/>
      <c r="L394" s="1160"/>
      <c r="M394" s="1160"/>
      <c r="N394" s="1160"/>
      <c r="O394" s="1160"/>
      <c r="P394" s="1159"/>
      <c r="Q394" s="1159"/>
      <c r="R394" s="1159"/>
    </row>
    <row r="395" spans="1:18">
      <c r="A395" s="1159"/>
      <c r="B395" s="1160"/>
      <c r="K395" s="1160"/>
      <c r="L395" s="1160"/>
      <c r="M395" s="1160"/>
      <c r="N395" s="1160"/>
      <c r="O395" s="1160"/>
      <c r="P395" s="1159"/>
      <c r="Q395" s="1159"/>
      <c r="R395" s="1159"/>
    </row>
    <row r="396" spans="1:18">
      <c r="A396" s="1159"/>
      <c r="B396" s="1160"/>
      <c r="K396" s="1160"/>
      <c r="L396" s="1160"/>
      <c r="M396" s="1160"/>
      <c r="N396" s="1160"/>
      <c r="O396" s="1160"/>
      <c r="P396" s="1159"/>
      <c r="Q396" s="1159"/>
      <c r="R396" s="1159"/>
    </row>
    <row r="397" spans="1:18">
      <c r="A397" s="1159"/>
      <c r="B397" s="1160"/>
      <c r="K397" s="1160"/>
      <c r="L397" s="1160"/>
      <c r="M397" s="1160"/>
      <c r="N397" s="1160"/>
      <c r="O397" s="1160"/>
      <c r="P397" s="1159"/>
      <c r="Q397" s="1159"/>
      <c r="R397" s="1159"/>
    </row>
    <row r="398" spans="1:18">
      <c r="A398" s="1159"/>
      <c r="B398" s="1160"/>
      <c r="K398" s="1160"/>
      <c r="L398" s="1160"/>
      <c r="M398" s="1160"/>
      <c r="N398" s="1160"/>
      <c r="O398" s="1160"/>
      <c r="P398" s="1159"/>
      <c r="Q398" s="1159"/>
      <c r="R398" s="1159"/>
    </row>
    <row r="399" spans="1:18">
      <c r="A399" s="1159"/>
      <c r="B399" s="1160"/>
      <c r="K399" s="1160"/>
      <c r="L399" s="1160"/>
      <c r="M399" s="1160"/>
      <c r="N399" s="1160"/>
      <c r="O399" s="1160"/>
      <c r="P399" s="1159"/>
      <c r="Q399" s="1159"/>
      <c r="R399" s="1159"/>
    </row>
    <row r="400" spans="1:18">
      <c r="A400" s="1159"/>
      <c r="B400" s="1160"/>
      <c r="K400" s="1160"/>
      <c r="L400" s="1160"/>
      <c r="M400" s="1160"/>
      <c r="N400" s="1160"/>
      <c r="O400" s="1160"/>
      <c r="P400" s="1159"/>
      <c r="Q400" s="1159"/>
      <c r="R400" s="1159"/>
    </row>
    <row r="401" spans="1:18">
      <c r="A401" s="1159"/>
      <c r="B401" s="1160"/>
      <c r="K401" s="1160"/>
      <c r="L401" s="1160"/>
      <c r="M401" s="1160"/>
      <c r="N401" s="1160"/>
      <c r="O401" s="1160"/>
      <c r="P401" s="1159"/>
      <c r="Q401" s="1159"/>
      <c r="R401" s="1159"/>
    </row>
    <row r="402" spans="1:18">
      <c r="A402" s="1159"/>
      <c r="B402" s="1160"/>
      <c r="K402" s="1160"/>
      <c r="L402" s="1160"/>
      <c r="M402" s="1160"/>
      <c r="N402" s="1160"/>
      <c r="O402" s="1160"/>
      <c r="P402" s="1159"/>
      <c r="Q402" s="1159"/>
      <c r="R402" s="1159"/>
    </row>
    <row r="403" spans="1:18">
      <c r="A403" s="1159"/>
      <c r="B403" s="1160"/>
      <c r="K403" s="1160"/>
      <c r="L403" s="1160"/>
      <c r="M403" s="1160"/>
      <c r="N403" s="1160"/>
      <c r="O403" s="1160"/>
      <c r="P403" s="1159"/>
      <c r="Q403" s="1159"/>
      <c r="R403" s="1159"/>
    </row>
    <row r="404" spans="1:18">
      <c r="A404" s="1159"/>
      <c r="B404" s="1160"/>
      <c r="K404" s="1160"/>
      <c r="L404" s="1160"/>
      <c r="M404" s="1160"/>
      <c r="N404" s="1160"/>
      <c r="O404" s="1160"/>
      <c r="P404" s="1159"/>
      <c r="Q404" s="1159"/>
      <c r="R404" s="1159"/>
    </row>
    <row r="405" spans="1:18">
      <c r="A405" s="1159"/>
      <c r="B405" s="1160"/>
      <c r="K405" s="1160"/>
      <c r="L405" s="1160"/>
      <c r="M405" s="1160"/>
      <c r="N405" s="1160"/>
      <c r="O405" s="1160"/>
      <c r="P405" s="1159"/>
      <c r="Q405" s="1159"/>
      <c r="R405" s="1159"/>
    </row>
    <row r="406" spans="1:18">
      <c r="A406" s="1159"/>
      <c r="B406" s="1160"/>
      <c r="K406" s="1160"/>
      <c r="L406" s="1160"/>
      <c r="M406" s="1160"/>
      <c r="N406" s="1160"/>
      <c r="O406" s="1160"/>
      <c r="P406" s="1159"/>
      <c r="Q406" s="1159"/>
      <c r="R406" s="1159"/>
    </row>
    <row r="407" spans="1:18">
      <c r="A407" s="1159"/>
      <c r="B407" s="1160"/>
      <c r="K407" s="1160"/>
      <c r="L407" s="1160"/>
      <c r="M407" s="1160"/>
      <c r="N407" s="1160"/>
      <c r="O407" s="1160"/>
      <c r="P407" s="1159"/>
      <c r="Q407" s="1159"/>
      <c r="R407" s="1159"/>
    </row>
    <row r="408" spans="1:18">
      <c r="A408" s="1159"/>
      <c r="B408" s="1160"/>
      <c r="K408" s="1160"/>
      <c r="L408" s="1160"/>
      <c r="M408" s="1160"/>
      <c r="N408" s="1160"/>
      <c r="O408" s="1160"/>
      <c r="P408" s="1159"/>
      <c r="Q408" s="1159"/>
      <c r="R408" s="1159"/>
    </row>
    <row r="409" spans="1:18">
      <c r="A409" s="1159"/>
      <c r="B409" s="1160"/>
      <c r="K409" s="1160"/>
      <c r="L409" s="1160"/>
      <c r="M409" s="1160"/>
      <c r="N409" s="1160"/>
      <c r="O409" s="1160"/>
      <c r="P409" s="1159"/>
      <c r="Q409" s="1159"/>
      <c r="R409" s="1159"/>
    </row>
    <row r="410" spans="1:18">
      <c r="A410" s="1159"/>
      <c r="B410" s="1160"/>
      <c r="K410" s="1160"/>
      <c r="L410" s="1160"/>
      <c r="M410" s="1160"/>
      <c r="N410" s="1160"/>
      <c r="O410" s="1160"/>
      <c r="P410" s="1159"/>
      <c r="Q410" s="1159"/>
      <c r="R410" s="1159"/>
    </row>
    <row r="411" spans="1:18">
      <c r="A411" s="1159"/>
      <c r="B411" s="1160"/>
      <c r="K411" s="1160"/>
      <c r="L411" s="1160"/>
      <c r="M411" s="1160"/>
      <c r="N411" s="1160"/>
      <c r="O411" s="1160"/>
      <c r="P411" s="1159"/>
      <c r="Q411" s="1159"/>
      <c r="R411" s="1159"/>
    </row>
    <row r="412" spans="1:18">
      <c r="A412" s="1159"/>
      <c r="B412" s="1160"/>
      <c r="K412" s="1160"/>
      <c r="L412" s="1160"/>
      <c r="M412" s="1160"/>
      <c r="N412" s="1160"/>
      <c r="O412" s="1160"/>
      <c r="P412" s="1159"/>
      <c r="Q412" s="1159"/>
      <c r="R412" s="1159"/>
    </row>
    <row r="413" spans="1:18">
      <c r="A413" s="1159"/>
      <c r="B413" s="1160"/>
      <c r="K413" s="1160"/>
      <c r="L413" s="1160"/>
      <c r="M413" s="1160"/>
      <c r="N413" s="1160"/>
      <c r="O413" s="1160"/>
      <c r="P413" s="1159"/>
      <c r="Q413" s="1159"/>
      <c r="R413" s="1159"/>
    </row>
    <row r="414" spans="1:18">
      <c r="A414" s="1159"/>
      <c r="B414" s="1160"/>
      <c r="K414" s="1160"/>
      <c r="L414" s="1160"/>
      <c r="M414" s="1160"/>
      <c r="N414" s="1160"/>
      <c r="O414" s="1160"/>
      <c r="P414" s="1159"/>
      <c r="Q414" s="1159"/>
      <c r="R414" s="1159"/>
    </row>
    <row r="415" spans="1:18">
      <c r="A415" s="1159"/>
      <c r="B415" s="1160"/>
      <c r="K415" s="1160"/>
      <c r="L415" s="1160"/>
      <c r="M415" s="1160"/>
      <c r="N415" s="1160"/>
      <c r="O415" s="1160"/>
      <c r="P415" s="1159"/>
      <c r="Q415" s="1159"/>
      <c r="R415" s="1159"/>
    </row>
    <row r="416" spans="1:18">
      <c r="A416" s="1159"/>
      <c r="B416" s="1160"/>
      <c r="K416" s="1160"/>
      <c r="L416" s="1160"/>
      <c r="M416" s="1160"/>
      <c r="N416" s="1160"/>
      <c r="O416" s="1160"/>
      <c r="P416" s="1159"/>
      <c r="Q416" s="1159"/>
      <c r="R416" s="1159"/>
    </row>
    <row r="417" spans="1:18">
      <c r="A417" s="1159"/>
      <c r="B417" s="1160"/>
      <c r="K417" s="1160"/>
      <c r="L417" s="1160"/>
      <c r="M417" s="1160"/>
      <c r="N417" s="1160"/>
      <c r="O417" s="1160"/>
      <c r="P417" s="1159"/>
      <c r="Q417" s="1159"/>
      <c r="R417" s="1159"/>
    </row>
    <row r="418" spans="1:18">
      <c r="A418" s="1159"/>
      <c r="B418" s="1160"/>
      <c r="K418" s="1160"/>
      <c r="L418" s="1160"/>
      <c r="M418" s="1160"/>
      <c r="N418" s="1160"/>
      <c r="O418" s="1160"/>
      <c r="P418" s="1159"/>
      <c r="Q418" s="1159"/>
      <c r="R418" s="1159"/>
    </row>
    <row r="419" spans="1:18">
      <c r="A419" s="1159"/>
      <c r="B419" s="1160"/>
      <c r="K419" s="1160"/>
      <c r="L419" s="1160"/>
      <c r="M419" s="1160"/>
      <c r="N419" s="1160"/>
      <c r="O419" s="1160"/>
      <c r="P419" s="1159"/>
      <c r="Q419" s="1159"/>
      <c r="R419" s="1159"/>
    </row>
    <row r="420" spans="1:18">
      <c r="A420" s="1159"/>
      <c r="B420" s="1160"/>
      <c r="K420" s="1160"/>
      <c r="L420" s="1160"/>
      <c r="M420" s="1160"/>
      <c r="N420" s="1160"/>
      <c r="O420" s="1160"/>
      <c r="P420" s="1159"/>
      <c r="Q420" s="1159"/>
      <c r="R420" s="1159"/>
    </row>
    <row r="421" spans="1:18">
      <c r="A421" s="1159"/>
      <c r="B421" s="1160"/>
      <c r="K421" s="1160"/>
      <c r="L421" s="1160"/>
      <c r="M421" s="1160"/>
      <c r="N421" s="1160"/>
      <c r="O421" s="1160"/>
      <c r="P421" s="1159"/>
      <c r="Q421" s="1159"/>
      <c r="R421" s="1159"/>
    </row>
    <row r="422" spans="1:18">
      <c r="A422" s="1159"/>
      <c r="B422" s="1160"/>
      <c r="K422" s="1160"/>
      <c r="L422" s="1160"/>
      <c r="M422" s="1160"/>
      <c r="N422" s="1160"/>
      <c r="O422" s="1160"/>
      <c r="P422" s="1159"/>
      <c r="Q422" s="1159"/>
      <c r="R422" s="1159"/>
    </row>
    <row r="423" spans="1:18">
      <c r="A423" s="1159"/>
      <c r="B423" s="1160"/>
      <c r="K423" s="1160"/>
      <c r="L423" s="1160"/>
      <c r="M423" s="1160"/>
      <c r="N423" s="1160"/>
      <c r="O423" s="1160"/>
      <c r="P423" s="1159"/>
      <c r="Q423" s="1159"/>
      <c r="R423" s="1159"/>
    </row>
    <row r="424" spans="1:18">
      <c r="A424" s="1159"/>
      <c r="B424" s="1160"/>
      <c r="K424" s="1160"/>
      <c r="L424" s="1160"/>
      <c r="M424" s="1160"/>
      <c r="N424" s="1160"/>
      <c r="O424" s="1160"/>
      <c r="P424" s="1159"/>
      <c r="Q424" s="1159"/>
      <c r="R424" s="1159"/>
    </row>
    <row r="425" spans="1:18">
      <c r="A425" s="1159"/>
      <c r="B425" s="1160"/>
      <c r="K425" s="1160"/>
      <c r="L425" s="1160"/>
      <c r="M425" s="1160"/>
      <c r="N425" s="1160"/>
      <c r="O425" s="1160"/>
      <c r="P425" s="1159"/>
      <c r="Q425" s="1159"/>
      <c r="R425" s="1159"/>
    </row>
    <row r="426" spans="1:18">
      <c r="A426" s="1159"/>
      <c r="B426" s="1160"/>
      <c r="K426" s="1160"/>
      <c r="L426" s="1160"/>
      <c r="M426" s="1160"/>
      <c r="N426" s="1160"/>
      <c r="O426" s="1160"/>
      <c r="P426" s="1159"/>
      <c r="Q426" s="1159"/>
      <c r="R426" s="1159"/>
    </row>
    <row r="427" spans="1:18">
      <c r="A427" s="1159"/>
      <c r="B427" s="1160"/>
      <c r="K427" s="1160"/>
      <c r="L427" s="1160"/>
      <c r="M427" s="1160"/>
      <c r="N427" s="1160"/>
      <c r="O427" s="1160"/>
      <c r="P427" s="1159"/>
      <c r="Q427" s="1159"/>
      <c r="R427" s="1159"/>
    </row>
    <row r="428" spans="1:18">
      <c r="A428" s="1159"/>
      <c r="B428" s="1160"/>
      <c r="K428" s="1160"/>
      <c r="L428" s="1160"/>
      <c r="M428" s="1160"/>
      <c r="N428" s="1160"/>
      <c r="O428" s="1160"/>
      <c r="P428" s="1159"/>
      <c r="Q428" s="1159"/>
      <c r="R428" s="1159"/>
    </row>
    <row r="429" spans="1:18">
      <c r="A429" s="1159"/>
      <c r="B429" s="1160"/>
      <c r="K429" s="1160"/>
      <c r="L429" s="1160"/>
      <c r="M429" s="1160"/>
      <c r="N429" s="1160"/>
      <c r="O429" s="1160"/>
      <c r="P429" s="1159"/>
      <c r="Q429" s="1159"/>
      <c r="R429" s="1159"/>
    </row>
    <row r="430" spans="1:18">
      <c r="A430" s="1159"/>
      <c r="B430" s="1160"/>
      <c r="K430" s="1160"/>
      <c r="L430" s="1160"/>
      <c r="M430" s="1160"/>
      <c r="N430" s="1160"/>
      <c r="O430" s="1160"/>
      <c r="P430" s="1159"/>
      <c r="Q430" s="1159"/>
      <c r="R430" s="1159"/>
    </row>
    <row r="431" spans="1:18">
      <c r="A431" s="1159"/>
      <c r="B431" s="1160"/>
      <c r="K431" s="1160"/>
      <c r="L431" s="1160"/>
      <c r="M431" s="1160"/>
      <c r="N431" s="1160"/>
      <c r="O431" s="1160"/>
      <c r="P431" s="1159"/>
      <c r="Q431" s="1159"/>
      <c r="R431" s="1159"/>
    </row>
    <row r="432" spans="1:18">
      <c r="A432" s="1159"/>
      <c r="B432" s="1160"/>
      <c r="K432" s="1160"/>
      <c r="L432" s="1160"/>
      <c r="M432" s="1160"/>
      <c r="N432" s="1160"/>
      <c r="O432" s="1160"/>
      <c r="P432" s="1159"/>
      <c r="Q432" s="1159"/>
      <c r="R432" s="1159"/>
    </row>
    <row r="433" spans="1:18">
      <c r="A433" s="1159"/>
      <c r="B433" s="1160"/>
      <c r="K433" s="1160"/>
      <c r="L433" s="1160"/>
      <c r="M433" s="1160"/>
      <c r="N433" s="1160"/>
      <c r="O433" s="1160"/>
      <c r="P433" s="1159"/>
      <c r="Q433" s="1159"/>
      <c r="R433" s="1159"/>
    </row>
    <row r="434" spans="1:18">
      <c r="A434" s="1159"/>
      <c r="B434" s="1160"/>
      <c r="K434" s="1160"/>
      <c r="L434" s="1160"/>
      <c r="M434" s="1160"/>
      <c r="N434" s="1160"/>
      <c r="O434" s="1160"/>
      <c r="P434" s="1159"/>
      <c r="Q434" s="1159"/>
      <c r="R434" s="1159"/>
    </row>
    <row r="435" spans="1:18">
      <c r="A435" s="1159"/>
      <c r="B435" s="1160"/>
      <c r="K435" s="1160"/>
      <c r="L435" s="1160"/>
      <c r="M435" s="1160"/>
      <c r="N435" s="1160"/>
      <c r="O435" s="1160"/>
      <c r="P435" s="1159"/>
      <c r="Q435" s="1159"/>
      <c r="R435" s="1159"/>
    </row>
    <row r="436" spans="1:18">
      <c r="A436" s="1159"/>
      <c r="B436" s="1160"/>
      <c r="K436" s="1160"/>
      <c r="L436" s="1160"/>
      <c r="M436" s="1160"/>
      <c r="N436" s="1160"/>
      <c r="O436" s="1160"/>
      <c r="P436" s="1159"/>
      <c r="Q436" s="1159"/>
      <c r="R436" s="1159"/>
    </row>
    <row r="437" spans="1:18">
      <c r="A437" s="1159"/>
      <c r="B437" s="1160"/>
      <c r="K437" s="1160"/>
      <c r="L437" s="1160"/>
      <c r="M437" s="1160"/>
      <c r="N437" s="1160"/>
      <c r="O437" s="1160"/>
      <c r="P437" s="1159"/>
      <c r="Q437" s="1159"/>
      <c r="R437" s="1159"/>
    </row>
    <row r="438" spans="1:18">
      <c r="A438" s="1159"/>
      <c r="B438" s="1160"/>
      <c r="K438" s="1160"/>
      <c r="L438" s="1160"/>
      <c r="M438" s="1160"/>
      <c r="N438" s="1160"/>
      <c r="O438" s="1160"/>
      <c r="P438" s="1159"/>
      <c r="Q438" s="1159"/>
      <c r="R438" s="1159"/>
    </row>
    <row r="439" spans="1:18">
      <c r="A439" s="1159"/>
      <c r="B439" s="1160"/>
      <c r="K439" s="1160"/>
      <c r="L439" s="1160"/>
      <c r="M439" s="1160"/>
      <c r="N439" s="1160"/>
      <c r="O439" s="1160"/>
      <c r="P439" s="1159"/>
      <c r="Q439" s="1159"/>
      <c r="R439" s="1159"/>
    </row>
    <row r="440" spans="1:18">
      <c r="A440" s="1159"/>
      <c r="B440" s="1160"/>
      <c r="K440" s="1160"/>
      <c r="L440" s="1160"/>
      <c r="M440" s="1160"/>
      <c r="N440" s="1160"/>
      <c r="O440" s="1160"/>
      <c r="P440" s="1159"/>
      <c r="Q440" s="1159"/>
      <c r="R440" s="1159"/>
    </row>
    <row r="441" spans="1:18">
      <c r="A441" s="1159"/>
      <c r="B441" s="1160"/>
      <c r="K441" s="1160"/>
      <c r="L441" s="1160"/>
      <c r="M441" s="1160"/>
      <c r="N441" s="1160"/>
      <c r="O441" s="1160"/>
      <c r="P441" s="1159"/>
      <c r="Q441" s="1159"/>
      <c r="R441" s="1159"/>
    </row>
    <row r="442" spans="1:18">
      <c r="A442" s="1159"/>
      <c r="B442" s="1160"/>
      <c r="K442" s="1160"/>
      <c r="L442" s="1160"/>
      <c r="M442" s="1160"/>
      <c r="N442" s="1160"/>
      <c r="O442" s="1160"/>
      <c r="P442" s="1159"/>
      <c r="Q442" s="1159"/>
      <c r="R442" s="1159"/>
    </row>
    <row r="443" spans="1:18">
      <c r="A443" s="1159"/>
      <c r="B443" s="1160"/>
      <c r="K443" s="1160"/>
      <c r="L443" s="1160"/>
      <c r="M443" s="1160"/>
      <c r="N443" s="1160"/>
      <c r="O443" s="1160"/>
      <c r="P443" s="1159"/>
      <c r="Q443" s="1159"/>
      <c r="R443" s="1159"/>
    </row>
    <row r="444" spans="1:18">
      <c r="A444" s="1159"/>
      <c r="B444" s="1160"/>
      <c r="K444" s="1160"/>
      <c r="L444" s="1160"/>
      <c r="M444" s="1160"/>
      <c r="N444" s="1160"/>
      <c r="O444" s="1160"/>
      <c r="P444" s="1159"/>
      <c r="Q444" s="1159"/>
      <c r="R444" s="1159"/>
    </row>
    <row r="445" spans="1:18">
      <c r="A445" s="1159"/>
      <c r="B445" s="1160"/>
      <c r="K445" s="1160"/>
      <c r="L445" s="1160"/>
      <c r="M445" s="1160"/>
      <c r="N445" s="1160"/>
      <c r="O445" s="1160"/>
      <c r="P445" s="1159"/>
      <c r="Q445" s="1159"/>
      <c r="R445" s="1159"/>
    </row>
    <row r="446" spans="1:18">
      <c r="A446" s="1159"/>
      <c r="B446" s="1160"/>
      <c r="K446" s="1160"/>
      <c r="L446" s="1160"/>
      <c r="M446" s="1160"/>
      <c r="N446" s="1160"/>
      <c r="O446" s="1160"/>
      <c r="P446" s="1159"/>
      <c r="Q446" s="1159"/>
      <c r="R446" s="1159"/>
    </row>
    <row r="447" spans="1:18">
      <c r="A447" s="1159"/>
      <c r="B447" s="1160"/>
      <c r="K447" s="1160"/>
      <c r="L447" s="1160"/>
      <c r="M447" s="1160"/>
      <c r="N447" s="1160"/>
      <c r="O447" s="1160"/>
      <c r="P447" s="1159"/>
      <c r="Q447" s="1159"/>
      <c r="R447" s="1159"/>
    </row>
    <row r="448" spans="1:18">
      <c r="A448" s="1159"/>
      <c r="B448" s="1160"/>
      <c r="K448" s="1160"/>
      <c r="L448" s="1160"/>
      <c r="M448" s="1160"/>
      <c r="N448" s="1160"/>
      <c r="O448" s="1160"/>
      <c r="P448" s="1159"/>
      <c r="Q448" s="1159"/>
      <c r="R448" s="1159"/>
    </row>
    <row r="449" spans="1:18">
      <c r="A449" s="1159"/>
      <c r="B449" s="1160"/>
      <c r="K449" s="1160"/>
      <c r="L449" s="1160"/>
      <c r="M449" s="1160"/>
      <c r="N449" s="1160"/>
      <c r="O449" s="1160"/>
      <c r="P449" s="1159"/>
      <c r="Q449" s="1159"/>
      <c r="R449" s="1159"/>
    </row>
    <row r="450" spans="1:18">
      <c r="A450" s="1159"/>
      <c r="B450" s="1160"/>
      <c r="K450" s="1160"/>
      <c r="L450" s="1160"/>
      <c r="M450" s="1160"/>
      <c r="N450" s="1160"/>
      <c r="O450" s="1160"/>
      <c r="P450" s="1159"/>
      <c r="Q450" s="1159"/>
      <c r="R450" s="1159"/>
    </row>
    <row r="451" spans="1:18">
      <c r="A451" s="1159"/>
      <c r="B451" s="1160"/>
      <c r="K451" s="1160"/>
      <c r="L451" s="1160"/>
      <c r="M451" s="1160"/>
      <c r="N451" s="1160"/>
      <c r="O451" s="1160"/>
      <c r="P451" s="1159"/>
      <c r="Q451" s="1159"/>
      <c r="R451" s="1159"/>
    </row>
    <row r="452" spans="1:18">
      <c r="A452" s="1159"/>
      <c r="B452" s="1160"/>
      <c r="K452" s="1160"/>
      <c r="L452" s="1160"/>
      <c r="M452" s="1160"/>
      <c r="N452" s="1160"/>
      <c r="O452" s="1160"/>
      <c r="P452" s="1159"/>
      <c r="Q452" s="1159"/>
      <c r="R452" s="1159"/>
    </row>
    <row r="453" spans="1:18">
      <c r="A453" s="1159"/>
      <c r="B453" s="1160"/>
      <c r="K453" s="1160"/>
      <c r="L453" s="1160"/>
      <c r="M453" s="1160"/>
      <c r="N453" s="1160"/>
      <c r="O453" s="1160"/>
      <c r="P453" s="1159"/>
      <c r="Q453" s="1159"/>
      <c r="R453" s="1159"/>
    </row>
    <row r="454" spans="1:18">
      <c r="A454" s="1159"/>
      <c r="B454" s="1160"/>
      <c r="K454" s="1160"/>
      <c r="L454" s="1160"/>
      <c r="M454" s="1160"/>
      <c r="N454" s="1160"/>
      <c r="O454" s="1160"/>
      <c r="P454" s="1159"/>
      <c r="Q454" s="1159"/>
      <c r="R454" s="1159"/>
    </row>
    <row r="455" spans="1:18">
      <c r="A455" s="1159"/>
      <c r="B455" s="1160"/>
      <c r="K455" s="1160"/>
      <c r="L455" s="1160"/>
      <c r="M455" s="1160"/>
      <c r="N455" s="1160"/>
      <c r="O455" s="1160"/>
      <c r="P455" s="1159"/>
      <c r="Q455" s="1159"/>
      <c r="R455" s="1159"/>
    </row>
    <row r="456" spans="1:18">
      <c r="A456" s="1159"/>
      <c r="B456" s="1160"/>
      <c r="K456" s="1160"/>
      <c r="L456" s="1160"/>
      <c r="M456" s="1160"/>
      <c r="N456" s="1160"/>
      <c r="O456" s="1160"/>
      <c r="P456" s="1159"/>
      <c r="Q456" s="1159"/>
      <c r="R456" s="1159"/>
    </row>
    <row r="457" spans="1:18">
      <c r="A457" s="1159"/>
      <c r="B457" s="1160"/>
      <c r="K457" s="1160"/>
      <c r="L457" s="1160"/>
      <c r="M457" s="1160"/>
      <c r="N457" s="1160"/>
      <c r="O457" s="1160"/>
      <c r="P457" s="1159"/>
      <c r="Q457" s="1159"/>
      <c r="R457" s="1159"/>
    </row>
    <row r="458" spans="1:18">
      <c r="A458" s="1159"/>
      <c r="B458" s="1160"/>
      <c r="K458" s="1160"/>
      <c r="L458" s="1160"/>
      <c r="M458" s="1160"/>
      <c r="N458" s="1160"/>
      <c r="O458" s="1160"/>
      <c r="P458" s="1159"/>
      <c r="Q458" s="1159"/>
      <c r="R458" s="1159"/>
    </row>
    <row r="459" spans="1:18">
      <c r="A459" s="1159"/>
      <c r="B459" s="1160"/>
      <c r="K459" s="1160"/>
      <c r="L459" s="1160"/>
      <c r="M459" s="1160"/>
      <c r="N459" s="1160"/>
      <c r="O459" s="1160"/>
      <c r="P459" s="1159"/>
      <c r="Q459" s="1159"/>
      <c r="R459" s="1159"/>
    </row>
    <row r="460" spans="1:18">
      <c r="A460" s="1159"/>
      <c r="B460" s="1160"/>
      <c r="K460" s="1160"/>
      <c r="L460" s="1160"/>
      <c r="M460" s="1160"/>
      <c r="N460" s="1160"/>
      <c r="O460" s="1160"/>
      <c r="P460" s="1159"/>
      <c r="Q460" s="1159"/>
      <c r="R460" s="1159"/>
    </row>
    <row r="461" spans="1:18">
      <c r="A461" s="1159"/>
      <c r="B461" s="1160"/>
      <c r="K461" s="1160"/>
      <c r="L461" s="1160"/>
      <c r="M461" s="1160"/>
      <c r="N461" s="1160"/>
      <c r="O461" s="1160"/>
      <c r="P461" s="1159"/>
      <c r="Q461" s="1159"/>
      <c r="R461" s="1159"/>
    </row>
    <row r="462" spans="1:18">
      <c r="A462" s="1159"/>
      <c r="B462" s="1160"/>
      <c r="K462" s="1160"/>
      <c r="L462" s="1160"/>
      <c r="M462" s="1160"/>
      <c r="N462" s="1160"/>
      <c r="O462" s="1160"/>
      <c r="P462" s="1159"/>
      <c r="Q462" s="1159"/>
      <c r="R462" s="1159"/>
    </row>
    <row r="463" spans="1:18">
      <c r="A463" s="1159"/>
      <c r="B463" s="1160"/>
      <c r="K463" s="1160"/>
      <c r="L463" s="1160"/>
      <c r="M463" s="1160"/>
      <c r="N463" s="1160"/>
      <c r="O463" s="1160"/>
      <c r="P463" s="1159"/>
      <c r="Q463" s="1159"/>
      <c r="R463" s="1159"/>
    </row>
    <row r="464" spans="1:18">
      <c r="A464" s="1159"/>
      <c r="B464" s="1160"/>
      <c r="K464" s="1160"/>
      <c r="L464" s="1160"/>
      <c r="M464" s="1160"/>
      <c r="N464" s="1160"/>
      <c r="O464" s="1160"/>
      <c r="P464" s="1159"/>
      <c r="Q464" s="1159"/>
      <c r="R464" s="1159"/>
    </row>
    <row r="465" spans="1:18">
      <c r="A465" s="1159"/>
      <c r="B465" s="1160"/>
      <c r="K465" s="1160"/>
      <c r="L465" s="1160"/>
      <c r="M465" s="1160"/>
      <c r="N465" s="1160"/>
      <c r="O465" s="1160"/>
      <c r="P465" s="1159"/>
      <c r="Q465" s="1159"/>
      <c r="R465" s="1159"/>
    </row>
    <row r="466" spans="1:18">
      <c r="A466" s="1159"/>
      <c r="B466" s="1160"/>
      <c r="K466" s="1160"/>
      <c r="L466" s="1160"/>
      <c r="M466" s="1160"/>
      <c r="N466" s="1160"/>
      <c r="O466" s="1160"/>
      <c r="P466" s="1159"/>
      <c r="Q466" s="1159"/>
      <c r="R466" s="1159"/>
    </row>
    <row r="467" spans="1:18">
      <c r="A467" s="1159"/>
      <c r="B467" s="1160"/>
      <c r="K467" s="1160"/>
      <c r="L467" s="1160"/>
      <c r="M467" s="1160"/>
      <c r="N467" s="1160"/>
      <c r="O467" s="1160"/>
      <c r="P467" s="1159"/>
      <c r="Q467" s="1159"/>
      <c r="R467" s="1159"/>
    </row>
    <row r="468" spans="1:18">
      <c r="A468" s="1159"/>
      <c r="B468" s="1160"/>
      <c r="K468" s="1160"/>
      <c r="L468" s="1160"/>
      <c r="M468" s="1160"/>
      <c r="N468" s="1160"/>
      <c r="O468" s="1160"/>
      <c r="P468" s="1159"/>
      <c r="Q468" s="1159"/>
      <c r="R468" s="1159"/>
    </row>
    <row r="469" spans="1:18">
      <c r="A469" s="1159"/>
      <c r="B469" s="1160"/>
      <c r="K469" s="1160"/>
      <c r="L469" s="1160"/>
      <c r="M469" s="1160"/>
      <c r="N469" s="1160"/>
      <c r="O469" s="1160"/>
      <c r="P469" s="1159"/>
      <c r="Q469" s="1159"/>
      <c r="R469" s="1159"/>
    </row>
    <row r="470" spans="1:18">
      <c r="A470" s="1159"/>
      <c r="B470" s="1160"/>
      <c r="K470" s="1160"/>
      <c r="L470" s="1160"/>
      <c r="M470" s="1160"/>
      <c r="N470" s="1160"/>
      <c r="O470" s="1160"/>
      <c r="P470" s="1159"/>
      <c r="Q470" s="1159"/>
      <c r="R470" s="1159"/>
    </row>
    <row r="471" spans="1:18">
      <c r="A471" s="1159"/>
      <c r="B471" s="1160"/>
      <c r="K471" s="1160"/>
      <c r="L471" s="1160"/>
      <c r="M471" s="1160"/>
      <c r="N471" s="1160"/>
      <c r="O471" s="1160"/>
      <c r="P471" s="1159"/>
      <c r="Q471" s="1159"/>
      <c r="R471" s="1159"/>
    </row>
    <row r="472" spans="1:18">
      <c r="A472" s="1159"/>
      <c r="B472" s="1160"/>
      <c r="K472" s="1160"/>
      <c r="L472" s="1160"/>
      <c r="M472" s="1160"/>
      <c r="N472" s="1160"/>
      <c r="O472" s="1160"/>
      <c r="P472" s="1159"/>
      <c r="Q472" s="1159"/>
      <c r="R472" s="1159"/>
    </row>
    <row r="473" spans="1:18">
      <c r="A473" s="1159"/>
      <c r="B473" s="1160"/>
      <c r="K473" s="1160"/>
      <c r="L473" s="1160"/>
      <c r="M473" s="1160"/>
      <c r="N473" s="1160"/>
      <c r="O473" s="1160"/>
      <c r="P473" s="1159"/>
      <c r="Q473" s="1159"/>
      <c r="R473" s="1159"/>
    </row>
    <row r="474" spans="1:18">
      <c r="A474" s="1159"/>
      <c r="B474" s="1160"/>
      <c r="K474" s="1160"/>
      <c r="L474" s="1160"/>
      <c r="M474" s="1160"/>
      <c r="N474" s="1160"/>
      <c r="O474" s="1160"/>
      <c r="P474" s="1159"/>
      <c r="Q474" s="1159"/>
      <c r="R474" s="1159"/>
    </row>
    <row r="475" spans="1:18">
      <c r="A475" s="1159"/>
      <c r="B475" s="1160"/>
      <c r="K475" s="1160"/>
      <c r="L475" s="1160"/>
      <c r="M475" s="1160"/>
      <c r="N475" s="1160"/>
      <c r="O475" s="1160"/>
      <c r="P475" s="1159"/>
      <c r="Q475" s="1159"/>
      <c r="R475" s="1159"/>
    </row>
    <row r="476" spans="1:18">
      <c r="A476" s="1159"/>
      <c r="B476" s="1160"/>
      <c r="K476" s="1160"/>
      <c r="L476" s="1160"/>
      <c r="M476" s="1160"/>
      <c r="N476" s="1160"/>
      <c r="O476" s="1160"/>
      <c r="P476" s="1159"/>
      <c r="Q476" s="1159"/>
      <c r="R476" s="1159"/>
    </row>
    <row r="477" spans="1:18">
      <c r="A477" s="1159"/>
      <c r="B477" s="1160"/>
      <c r="K477" s="1160"/>
      <c r="L477" s="1160"/>
      <c r="M477" s="1160"/>
      <c r="N477" s="1160"/>
      <c r="O477" s="1160"/>
      <c r="P477" s="1159"/>
      <c r="Q477" s="1159"/>
      <c r="R477" s="1159"/>
    </row>
    <row r="478" spans="1:18">
      <c r="A478" s="1159"/>
      <c r="B478" s="1160"/>
      <c r="K478" s="1160"/>
      <c r="L478" s="1160"/>
      <c r="M478" s="1160"/>
      <c r="N478" s="1160"/>
      <c r="O478" s="1160"/>
      <c r="P478" s="1159"/>
      <c r="Q478" s="1159"/>
      <c r="R478" s="1159"/>
    </row>
    <row r="479" spans="1:18">
      <c r="A479" s="1159"/>
      <c r="B479" s="1160"/>
      <c r="K479" s="1160"/>
      <c r="L479" s="1160"/>
      <c r="M479" s="1160"/>
      <c r="N479" s="1160"/>
      <c r="O479" s="1160"/>
      <c r="P479" s="1159"/>
      <c r="Q479" s="1159"/>
      <c r="R479" s="1159"/>
    </row>
    <row r="480" spans="1:18">
      <c r="A480" s="1159"/>
      <c r="B480" s="1160"/>
      <c r="K480" s="1160"/>
      <c r="L480" s="1160"/>
      <c r="M480" s="1160"/>
      <c r="N480" s="1160"/>
      <c r="O480" s="1160"/>
      <c r="P480" s="1159"/>
      <c r="Q480" s="1159"/>
      <c r="R480" s="1159"/>
    </row>
    <row r="481" spans="1:18">
      <c r="A481" s="1159"/>
      <c r="B481" s="1160"/>
      <c r="K481" s="1160"/>
      <c r="L481" s="1160"/>
      <c r="M481" s="1160"/>
      <c r="N481" s="1160"/>
      <c r="O481" s="1160"/>
      <c r="P481" s="1159"/>
      <c r="Q481" s="1159"/>
      <c r="R481" s="1159"/>
    </row>
    <row r="482" spans="1:18">
      <c r="A482" s="1159"/>
      <c r="B482" s="1160"/>
      <c r="K482" s="1160"/>
      <c r="L482" s="1160"/>
      <c r="M482" s="1160"/>
      <c r="N482" s="1160"/>
      <c r="O482" s="1160"/>
      <c r="P482" s="1159"/>
      <c r="Q482" s="1159"/>
      <c r="R482" s="1159"/>
    </row>
    <row r="483" spans="1:18">
      <c r="A483" s="1159"/>
      <c r="B483" s="1160"/>
      <c r="K483" s="1160"/>
      <c r="L483" s="1160"/>
      <c r="M483" s="1160"/>
      <c r="N483" s="1160"/>
      <c r="O483" s="1160"/>
      <c r="P483" s="1159"/>
      <c r="Q483" s="1159"/>
      <c r="R483" s="1159"/>
    </row>
    <row r="484" spans="1:18">
      <c r="A484" s="1159"/>
      <c r="B484" s="1160"/>
      <c r="K484" s="1160"/>
      <c r="L484" s="1160"/>
      <c r="M484" s="1160"/>
      <c r="N484" s="1160"/>
      <c r="O484" s="1160"/>
      <c r="P484" s="1159"/>
      <c r="Q484" s="1159"/>
      <c r="R484" s="1159"/>
    </row>
    <row r="485" spans="1:18">
      <c r="A485" s="1159"/>
      <c r="B485" s="1160"/>
      <c r="K485" s="1160"/>
      <c r="L485" s="1160"/>
      <c r="M485" s="1160"/>
      <c r="N485" s="1160"/>
      <c r="O485" s="1160"/>
      <c r="P485" s="1159"/>
      <c r="Q485" s="1159"/>
      <c r="R485" s="1159"/>
    </row>
    <row r="486" spans="1:18">
      <c r="A486" s="1159"/>
      <c r="B486" s="1160"/>
      <c r="K486" s="1160"/>
      <c r="L486" s="1160"/>
      <c r="M486" s="1160"/>
      <c r="N486" s="1160"/>
      <c r="O486" s="1160"/>
      <c r="P486" s="1159"/>
      <c r="Q486" s="1159"/>
      <c r="R486" s="1159"/>
    </row>
    <row r="487" spans="1:18">
      <c r="A487" s="1159"/>
      <c r="B487" s="1160"/>
      <c r="K487" s="1160"/>
      <c r="L487" s="1160"/>
      <c r="M487" s="1160"/>
      <c r="N487" s="1160"/>
      <c r="O487" s="1160"/>
      <c r="P487" s="1159"/>
      <c r="Q487" s="1159"/>
      <c r="R487" s="1159"/>
    </row>
    <row r="488" spans="1:18">
      <c r="A488" s="1159"/>
      <c r="B488" s="1160"/>
      <c r="K488" s="1160"/>
      <c r="L488" s="1160"/>
      <c r="M488" s="1160"/>
      <c r="N488" s="1160"/>
      <c r="O488" s="1160"/>
      <c r="P488" s="1159"/>
      <c r="Q488" s="1159"/>
      <c r="R488" s="1159"/>
    </row>
    <row r="489" spans="1:18">
      <c r="A489" s="1159"/>
      <c r="B489" s="1160"/>
      <c r="K489" s="1160"/>
      <c r="L489" s="1160"/>
      <c r="M489" s="1160"/>
      <c r="N489" s="1160"/>
      <c r="O489" s="1160"/>
      <c r="P489" s="1159"/>
      <c r="Q489" s="1159"/>
      <c r="R489" s="1159"/>
    </row>
    <row r="490" spans="1:18">
      <c r="A490" s="1159"/>
      <c r="B490" s="1160"/>
      <c r="K490" s="1160"/>
      <c r="L490" s="1160"/>
      <c r="M490" s="1160"/>
      <c r="N490" s="1160"/>
      <c r="O490" s="1160"/>
      <c r="P490" s="1159"/>
      <c r="Q490" s="1159"/>
      <c r="R490" s="1159"/>
    </row>
    <row r="491" spans="1:18">
      <c r="A491" s="1159"/>
      <c r="B491" s="1160"/>
      <c r="K491" s="1160"/>
      <c r="L491" s="1160"/>
      <c r="M491" s="1160"/>
      <c r="N491" s="1160"/>
      <c r="O491" s="1160"/>
      <c r="P491" s="1159"/>
      <c r="Q491" s="1159"/>
      <c r="R491" s="1159"/>
    </row>
    <row r="492" spans="1:18">
      <c r="A492" s="1159"/>
      <c r="B492" s="1160"/>
      <c r="K492" s="1160"/>
      <c r="L492" s="1160"/>
      <c r="M492" s="1160"/>
      <c r="N492" s="1160"/>
      <c r="O492" s="1160"/>
      <c r="P492" s="1159"/>
      <c r="Q492" s="1159"/>
      <c r="R492" s="1159"/>
    </row>
    <row r="493" spans="1:18">
      <c r="A493" s="1159"/>
      <c r="B493" s="1160"/>
      <c r="K493" s="1160"/>
      <c r="L493" s="1160"/>
      <c r="M493" s="1160"/>
      <c r="N493" s="1160"/>
      <c r="O493" s="1160"/>
      <c r="P493" s="1159"/>
      <c r="Q493" s="1159"/>
      <c r="R493" s="1159"/>
    </row>
    <row r="494" spans="1:18">
      <c r="A494" s="1159"/>
      <c r="B494" s="1160"/>
      <c r="K494" s="1160"/>
      <c r="L494" s="1160"/>
      <c r="M494" s="1160"/>
      <c r="N494" s="1160"/>
      <c r="O494" s="1160"/>
      <c r="P494" s="1159"/>
      <c r="Q494" s="1159"/>
      <c r="R494" s="1159"/>
    </row>
    <row r="495" spans="1:18">
      <c r="A495" s="1159"/>
      <c r="B495" s="1160"/>
      <c r="K495" s="1160"/>
      <c r="L495" s="1160"/>
      <c r="M495" s="1160"/>
      <c r="N495" s="1160"/>
      <c r="O495" s="1160"/>
      <c r="P495" s="1159"/>
      <c r="Q495" s="1159"/>
      <c r="R495" s="1159"/>
    </row>
    <row r="496" spans="1:18">
      <c r="A496" s="1159"/>
      <c r="B496" s="1160"/>
      <c r="K496" s="1160"/>
      <c r="L496" s="1160"/>
      <c r="M496" s="1160"/>
      <c r="N496" s="1160"/>
      <c r="O496" s="1160"/>
      <c r="P496" s="1159"/>
      <c r="Q496" s="1159"/>
      <c r="R496" s="1159"/>
    </row>
    <row r="497" spans="1:18">
      <c r="A497" s="1159"/>
      <c r="B497" s="1160"/>
      <c r="K497" s="1160"/>
      <c r="L497" s="1160"/>
      <c r="M497" s="1160"/>
      <c r="N497" s="1160"/>
      <c r="O497" s="1160"/>
      <c r="P497" s="1159"/>
      <c r="Q497" s="1159"/>
      <c r="R497" s="1159"/>
    </row>
    <row r="498" spans="1:18">
      <c r="A498" s="1159"/>
      <c r="B498" s="1160"/>
      <c r="K498" s="1160"/>
      <c r="L498" s="1160"/>
      <c r="M498" s="1160"/>
      <c r="N498" s="1160"/>
      <c r="O498" s="1160"/>
      <c r="P498" s="1159"/>
      <c r="Q498" s="1159"/>
      <c r="R498" s="1159"/>
    </row>
    <row r="499" spans="1:18">
      <c r="A499" s="1159"/>
      <c r="B499" s="1160"/>
      <c r="K499" s="1160"/>
      <c r="L499" s="1160"/>
      <c r="M499" s="1160"/>
      <c r="N499" s="1160"/>
      <c r="O499" s="1160"/>
      <c r="P499" s="1159"/>
      <c r="Q499" s="1159"/>
      <c r="R499" s="1159"/>
    </row>
    <row r="500" spans="1:18">
      <c r="A500" s="1159"/>
      <c r="B500" s="1160"/>
      <c r="K500" s="1160"/>
      <c r="L500" s="1160"/>
      <c r="M500" s="1160"/>
      <c r="N500" s="1160"/>
      <c r="O500" s="1160"/>
      <c r="P500" s="1159"/>
      <c r="Q500" s="1159"/>
      <c r="R500" s="1159"/>
    </row>
    <row r="501" spans="1:18">
      <c r="A501" s="1159"/>
      <c r="B501" s="1160"/>
      <c r="K501" s="1160"/>
      <c r="L501" s="1160"/>
      <c r="M501" s="1160"/>
      <c r="N501" s="1160"/>
      <c r="O501" s="1160"/>
      <c r="P501" s="1159"/>
      <c r="Q501" s="1159"/>
      <c r="R501" s="1159"/>
    </row>
    <row r="502" spans="1:18">
      <c r="A502" s="1159"/>
      <c r="B502" s="1160"/>
      <c r="K502" s="1160"/>
      <c r="L502" s="1160"/>
      <c r="M502" s="1160"/>
      <c r="N502" s="1160"/>
      <c r="O502" s="1160"/>
      <c r="P502" s="1159"/>
      <c r="Q502" s="1159"/>
      <c r="R502" s="1159"/>
    </row>
    <row r="503" spans="1:18">
      <c r="A503" s="1159"/>
      <c r="B503" s="1160"/>
      <c r="K503" s="1160"/>
      <c r="L503" s="1160"/>
      <c r="M503" s="1160"/>
      <c r="N503" s="1160"/>
      <c r="O503" s="1160"/>
      <c r="P503" s="1159"/>
      <c r="Q503" s="1159"/>
      <c r="R503" s="1159"/>
    </row>
    <row r="504" spans="1:18">
      <c r="A504" s="1159"/>
      <c r="B504" s="1160"/>
      <c r="K504" s="1160"/>
      <c r="L504" s="1160"/>
      <c r="M504" s="1160"/>
      <c r="N504" s="1160"/>
      <c r="O504" s="1160"/>
      <c r="P504" s="1159"/>
      <c r="Q504" s="1159"/>
      <c r="R504" s="1159"/>
    </row>
    <row r="505" spans="1:18">
      <c r="A505" s="1159"/>
      <c r="B505" s="1160"/>
      <c r="K505" s="1160"/>
      <c r="L505" s="1160"/>
      <c r="M505" s="1160"/>
      <c r="N505" s="1160"/>
      <c r="O505" s="1160"/>
      <c r="P505" s="1159"/>
      <c r="Q505" s="1159"/>
      <c r="R505" s="1159"/>
    </row>
    <row r="506" spans="1:18">
      <c r="A506" s="1159"/>
      <c r="B506" s="1160"/>
      <c r="K506" s="1160"/>
      <c r="L506" s="1160"/>
      <c r="M506" s="1160"/>
      <c r="N506" s="1160"/>
      <c r="O506" s="1160"/>
      <c r="P506" s="1159"/>
      <c r="Q506" s="1159"/>
      <c r="R506" s="1159"/>
    </row>
    <row r="507" spans="1:18">
      <c r="A507" s="1159"/>
      <c r="B507" s="1160"/>
      <c r="K507" s="1160"/>
      <c r="L507" s="1160"/>
      <c r="M507" s="1160"/>
      <c r="N507" s="1160"/>
      <c r="O507" s="1160"/>
      <c r="P507" s="1159"/>
      <c r="Q507" s="1159"/>
      <c r="R507" s="1159"/>
    </row>
    <row r="508" spans="1:18">
      <c r="A508" s="1159"/>
      <c r="B508" s="1160"/>
      <c r="K508" s="1160"/>
      <c r="L508" s="1160"/>
      <c r="M508" s="1160"/>
      <c r="N508" s="1160"/>
      <c r="O508" s="1160"/>
      <c r="P508" s="1159"/>
      <c r="Q508" s="1159"/>
      <c r="R508" s="1159"/>
    </row>
    <row r="509" spans="1:18">
      <c r="A509" s="1159"/>
      <c r="B509" s="1160"/>
      <c r="K509" s="1160"/>
      <c r="L509" s="1160"/>
      <c r="M509" s="1160"/>
      <c r="N509" s="1160"/>
      <c r="O509" s="1160"/>
      <c r="P509" s="1159"/>
      <c r="Q509" s="1159"/>
      <c r="R509" s="1159"/>
    </row>
    <row r="510" spans="1:18">
      <c r="A510" s="1159"/>
      <c r="B510" s="1160"/>
      <c r="K510" s="1160"/>
      <c r="L510" s="1160"/>
      <c r="M510" s="1160"/>
      <c r="N510" s="1160"/>
      <c r="O510" s="1160"/>
      <c r="P510" s="1159"/>
      <c r="Q510" s="1159"/>
      <c r="R510" s="1159"/>
    </row>
    <row r="511" spans="1:18">
      <c r="A511" s="1159"/>
      <c r="B511" s="1160"/>
      <c r="K511" s="1160"/>
      <c r="L511" s="1160"/>
      <c r="M511" s="1160"/>
      <c r="N511" s="1160"/>
      <c r="O511" s="1160"/>
      <c r="P511" s="1159"/>
      <c r="Q511" s="1159"/>
      <c r="R511" s="1159"/>
    </row>
    <row r="512" spans="1:18">
      <c r="A512" s="1159"/>
      <c r="B512" s="1160"/>
      <c r="K512" s="1160"/>
      <c r="L512" s="1160"/>
      <c r="M512" s="1160"/>
      <c r="N512" s="1160"/>
      <c r="O512" s="1160"/>
      <c r="P512" s="1159"/>
      <c r="Q512" s="1159"/>
      <c r="R512" s="1159"/>
    </row>
    <row r="513" spans="1:18">
      <c r="A513" s="1159"/>
      <c r="B513" s="1160"/>
      <c r="K513" s="1160"/>
      <c r="L513" s="1160"/>
      <c r="M513" s="1160"/>
      <c r="N513" s="1160"/>
      <c r="O513" s="1160"/>
      <c r="P513" s="1159"/>
      <c r="Q513" s="1159"/>
      <c r="R513" s="1159"/>
    </row>
    <row r="514" spans="1:18">
      <c r="A514" s="1159"/>
      <c r="B514" s="1160"/>
      <c r="K514" s="1160"/>
      <c r="L514" s="1160"/>
      <c r="M514" s="1160"/>
      <c r="N514" s="1160"/>
      <c r="O514" s="1160"/>
      <c r="P514" s="1159"/>
      <c r="Q514" s="1159"/>
      <c r="R514" s="1159"/>
    </row>
    <row r="515" spans="1:18">
      <c r="A515" s="1159"/>
      <c r="B515" s="1160"/>
      <c r="K515" s="1160"/>
      <c r="L515" s="1160"/>
      <c r="M515" s="1160"/>
      <c r="N515" s="1160"/>
      <c r="O515" s="1160"/>
      <c r="P515" s="1159"/>
      <c r="Q515" s="1159"/>
      <c r="R515" s="1159"/>
    </row>
    <row r="516" spans="1:18">
      <c r="A516" s="1159"/>
      <c r="B516" s="1160"/>
      <c r="K516" s="1160"/>
      <c r="L516" s="1160"/>
      <c r="M516" s="1160"/>
      <c r="N516" s="1160"/>
      <c r="O516" s="1160"/>
      <c r="P516" s="1159"/>
      <c r="Q516" s="1159"/>
      <c r="R516" s="1159"/>
    </row>
    <row r="517" spans="1:18">
      <c r="A517" s="1159"/>
      <c r="B517" s="1160"/>
      <c r="K517" s="1160"/>
      <c r="L517" s="1160"/>
      <c r="M517" s="1160"/>
      <c r="N517" s="1160"/>
      <c r="O517" s="1160"/>
      <c r="P517" s="1159"/>
      <c r="Q517" s="1159"/>
      <c r="R517" s="1159"/>
    </row>
    <row r="518" spans="1:18">
      <c r="A518" s="1159"/>
      <c r="B518" s="1160"/>
      <c r="K518" s="1160"/>
      <c r="L518" s="1160"/>
      <c r="M518" s="1160"/>
      <c r="N518" s="1160"/>
      <c r="O518" s="1160"/>
      <c r="P518" s="1159"/>
      <c r="Q518" s="1159"/>
      <c r="R518" s="1159"/>
    </row>
    <row r="519" spans="1:18">
      <c r="A519" s="1159"/>
      <c r="B519" s="1160"/>
      <c r="K519" s="1160"/>
      <c r="L519" s="1160"/>
      <c r="M519" s="1160"/>
      <c r="N519" s="1160"/>
      <c r="O519" s="1160"/>
      <c r="P519" s="1159"/>
      <c r="Q519" s="1159"/>
      <c r="R519" s="1159"/>
    </row>
    <row r="520" spans="1:18">
      <c r="A520" s="1159"/>
      <c r="B520" s="1160"/>
      <c r="K520" s="1160"/>
      <c r="L520" s="1160"/>
      <c r="M520" s="1160"/>
      <c r="N520" s="1160"/>
      <c r="O520" s="1160"/>
      <c r="P520" s="1159"/>
      <c r="Q520" s="1159"/>
      <c r="R520" s="1159"/>
    </row>
    <row r="521" spans="1:18">
      <c r="A521" s="1159"/>
      <c r="B521" s="1160"/>
      <c r="K521" s="1160"/>
      <c r="L521" s="1160"/>
      <c r="M521" s="1160"/>
      <c r="N521" s="1160"/>
      <c r="O521" s="1160"/>
      <c r="P521" s="1159"/>
      <c r="Q521" s="1159"/>
      <c r="R521" s="1159"/>
    </row>
    <row r="522" spans="1:18">
      <c r="A522" s="1159"/>
      <c r="B522" s="1160"/>
      <c r="K522" s="1160"/>
      <c r="L522" s="1160"/>
      <c r="M522" s="1160"/>
      <c r="N522" s="1160"/>
      <c r="O522" s="1160"/>
      <c r="P522" s="1159"/>
      <c r="Q522" s="1159"/>
      <c r="R522" s="1159"/>
    </row>
    <row r="523" spans="1:18">
      <c r="A523" s="1159"/>
      <c r="B523" s="1160"/>
      <c r="K523" s="1160"/>
      <c r="L523" s="1160"/>
      <c r="M523" s="1160"/>
      <c r="N523" s="1160"/>
      <c r="O523" s="1160"/>
      <c r="P523" s="1159"/>
      <c r="Q523" s="1159"/>
      <c r="R523" s="1159"/>
    </row>
    <row r="524" spans="1:18">
      <c r="A524" s="1159"/>
      <c r="B524" s="1160"/>
      <c r="K524" s="1160"/>
      <c r="L524" s="1160"/>
      <c r="M524" s="1160"/>
      <c r="N524" s="1160"/>
      <c r="O524" s="1160"/>
      <c r="P524" s="1159"/>
      <c r="Q524" s="1159"/>
      <c r="R524" s="1159"/>
    </row>
    <row r="525" spans="1:18">
      <c r="A525" s="1159"/>
      <c r="B525" s="1160"/>
      <c r="K525" s="1160"/>
      <c r="L525" s="1160"/>
      <c r="M525" s="1160"/>
      <c r="N525" s="1160"/>
      <c r="O525" s="1160"/>
      <c r="P525" s="1159"/>
      <c r="Q525" s="1159"/>
      <c r="R525" s="1159"/>
    </row>
    <row r="526" spans="1:18">
      <c r="A526" s="1159"/>
      <c r="B526" s="1160"/>
      <c r="K526" s="1160"/>
      <c r="L526" s="1160"/>
      <c r="M526" s="1160"/>
      <c r="N526" s="1160"/>
      <c r="O526" s="1160"/>
      <c r="P526" s="1159"/>
      <c r="Q526" s="1159"/>
      <c r="R526" s="1159"/>
    </row>
    <row r="527" spans="1:18">
      <c r="A527" s="1159"/>
      <c r="B527" s="1160"/>
      <c r="K527" s="1160"/>
      <c r="L527" s="1160"/>
      <c r="M527" s="1160"/>
      <c r="N527" s="1160"/>
      <c r="O527" s="1160"/>
      <c r="P527" s="1159"/>
      <c r="Q527" s="1159"/>
      <c r="R527" s="1159"/>
    </row>
    <row r="528" spans="1:18">
      <c r="A528" s="1159"/>
      <c r="B528" s="1160"/>
      <c r="K528" s="1160"/>
      <c r="L528" s="1160"/>
      <c r="M528" s="1160"/>
      <c r="N528" s="1160"/>
      <c r="O528" s="1160"/>
      <c r="P528" s="1159"/>
      <c r="Q528" s="1159"/>
      <c r="R528" s="1159"/>
    </row>
    <row r="529" spans="1:18">
      <c r="A529" s="1159"/>
      <c r="B529" s="1160"/>
      <c r="K529" s="1160"/>
      <c r="L529" s="1160"/>
      <c r="M529" s="1160"/>
      <c r="N529" s="1160"/>
      <c r="O529" s="1160"/>
      <c r="P529" s="1159"/>
      <c r="Q529" s="1159"/>
      <c r="R529" s="1159"/>
    </row>
    <row r="530" spans="1:18">
      <c r="A530" s="1159"/>
      <c r="B530" s="1160"/>
      <c r="K530" s="1160"/>
      <c r="L530" s="1160"/>
      <c r="M530" s="1160"/>
      <c r="N530" s="1160"/>
      <c r="O530" s="1160"/>
      <c r="P530" s="1159"/>
      <c r="Q530" s="1159"/>
      <c r="R530" s="1159"/>
    </row>
    <row r="531" spans="1:18">
      <c r="A531" s="1159"/>
      <c r="B531" s="1160"/>
      <c r="K531" s="1160"/>
      <c r="L531" s="1160"/>
      <c r="M531" s="1160"/>
      <c r="N531" s="1160"/>
      <c r="O531" s="1160"/>
      <c r="P531" s="1159"/>
      <c r="Q531" s="1159"/>
      <c r="R531" s="1159"/>
    </row>
    <row r="532" spans="1:18">
      <c r="A532" s="1159"/>
      <c r="B532" s="1160"/>
      <c r="K532" s="1160"/>
      <c r="L532" s="1160"/>
      <c r="M532" s="1160"/>
      <c r="N532" s="1160"/>
      <c r="O532" s="1160"/>
      <c r="P532" s="1159"/>
      <c r="Q532" s="1159"/>
      <c r="R532" s="1159"/>
    </row>
    <row r="533" spans="1:18">
      <c r="A533" s="1159"/>
      <c r="B533" s="1160"/>
      <c r="K533" s="1160"/>
      <c r="L533" s="1160"/>
      <c r="M533" s="1160"/>
      <c r="N533" s="1160"/>
      <c r="O533" s="1160"/>
      <c r="P533" s="1159"/>
      <c r="Q533" s="1159"/>
      <c r="R533" s="1159"/>
    </row>
    <row r="534" spans="1:18">
      <c r="A534" s="1159"/>
      <c r="B534" s="1160"/>
      <c r="K534" s="1160"/>
      <c r="L534" s="1160"/>
      <c r="M534" s="1160"/>
      <c r="N534" s="1160"/>
      <c r="O534" s="1160"/>
      <c r="P534" s="1159"/>
      <c r="Q534" s="1159"/>
      <c r="R534" s="1159"/>
    </row>
    <row r="535" spans="1:18">
      <c r="A535" s="1159"/>
      <c r="B535" s="1160"/>
      <c r="K535" s="1160"/>
      <c r="L535" s="1160"/>
      <c r="M535" s="1160"/>
      <c r="N535" s="1160"/>
      <c r="O535" s="1160"/>
      <c r="P535" s="1159"/>
      <c r="Q535" s="1159"/>
      <c r="R535" s="1159"/>
    </row>
    <row r="536" spans="1:18">
      <c r="A536" s="1159"/>
      <c r="B536" s="1160"/>
      <c r="K536" s="1160"/>
      <c r="L536" s="1160"/>
      <c r="M536" s="1160"/>
      <c r="N536" s="1160"/>
      <c r="O536" s="1160"/>
      <c r="P536" s="1159"/>
      <c r="Q536" s="1159"/>
      <c r="R536" s="1159"/>
    </row>
    <row r="537" spans="1:18">
      <c r="A537" s="1159"/>
      <c r="B537" s="1160"/>
      <c r="K537" s="1160"/>
      <c r="L537" s="1160"/>
      <c r="M537" s="1160"/>
      <c r="N537" s="1160"/>
      <c r="O537" s="1160"/>
      <c r="P537" s="1159"/>
      <c r="Q537" s="1159"/>
      <c r="R537" s="1159"/>
    </row>
    <row r="538" spans="1:18">
      <c r="A538" s="1159"/>
      <c r="B538" s="1160"/>
      <c r="K538" s="1160"/>
      <c r="L538" s="1160"/>
      <c r="M538" s="1160"/>
      <c r="N538" s="1160"/>
      <c r="O538" s="1160"/>
      <c r="P538" s="1159"/>
      <c r="Q538" s="1159"/>
      <c r="R538" s="1159"/>
    </row>
    <row r="539" spans="1:18">
      <c r="A539" s="1159"/>
      <c r="B539" s="1160"/>
      <c r="K539" s="1160"/>
      <c r="L539" s="1160"/>
      <c r="M539" s="1160"/>
      <c r="N539" s="1160"/>
      <c r="O539" s="1160"/>
      <c r="P539" s="1159"/>
      <c r="Q539" s="1159"/>
      <c r="R539" s="1159"/>
    </row>
    <row r="540" spans="1:18">
      <c r="A540" s="1159"/>
      <c r="B540" s="1160"/>
      <c r="K540" s="1160"/>
      <c r="L540" s="1160"/>
      <c r="M540" s="1160"/>
      <c r="N540" s="1160"/>
      <c r="O540" s="1160"/>
      <c r="P540" s="1159"/>
      <c r="Q540" s="1159"/>
      <c r="R540" s="1159"/>
    </row>
    <row r="541" spans="1:18">
      <c r="A541" s="1159"/>
      <c r="B541" s="1160"/>
      <c r="K541" s="1160"/>
      <c r="L541" s="1160"/>
      <c r="M541" s="1160"/>
      <c r="N541" s="1160"/>
      <c r="O541" s="1160"/>
      <c r="P541" s="1159"/>
      <c r="Q541" s="1159"/>
      <c r="R541" s="1159"/>
    </row>
    <row r="542" spans="1:18">
      <c r="A542" s="1159"/>
      <c r="B542" s="1160"/>
      <c r="K542" s="1160"/>
      <c r="L542" s="1160"/>
      <c r="M542" s="1160"/>
      <c r="N542" s="1160"/>
      <c r="O542" s="1160"/>
      <c r="P542" s="1159"/>
      <c r="Q542" s="1159"/>
      <c r="R542" s="1159"/>
    </row>
    <row r="543" spans="1:18">
      <c r="A543" s="1159"/>
      <c r="B543" s="1160"/>
      <c r="K543" s="1160"/>
      <c r="L543" s="1160"/>
      <c r="M543" s="1160"/>
      <c r="N543" s="1160"/>
      <c r="O543" s="1160"/>
      <c r="P543" s="1159"/>
      <c r="Q543" s="1159"/>
      <c r="R543" s="1159"/>
    </row>
    <row r="544" spans="1:18">
      <c r="A544" s="1159"/>
      <c r="B544" s="1160"/>
      <c r="K544" s="1160"/>
      <c r="L544" s="1160"/>
      <c r="M544" s="1160"/>
      <c r="N544" s="1160"/>
      <c r="O544" s="1160"/>
      <c r="P544" s="1159"/>
      <c r="Q544" s="1159"/>
      <c r="R544" s="1159"/>
    </row>
    <row r="545" spans="1:18">
      <c r="A545" s="1159"/>
      <c r="B545" s="1160"/>
      <c r="K545" s="1160"/>
      <c r="L545" s="1160"/>
      <c r="M545" s="1160"/>
      <c r="N545" s="1160"/>
      <c r="O545" s="1160"/>
      <c r="P545" s="1159"/>
      <c r="Q545" s="1159"/>
      <c r="R545" s="1159"/>
    </row>
    <row r="546" spans="1:18">
      <c r="A546" s="1159"/>
      <c r="B546" s="1160"/>
      <c r="K546" s="1160"/>
      <c r="L546" s="1160"/>
      <c r="M546" s="1160"/>
      <c r="N546" s="1160"/>
      <c r="O546" s="1160"/>
      <c r="P546" s="1159"/>
      <c r="Q546" s="1159"/>
      <c r="R546" s="1159"/>
    </row>
    <row r="547" spans="1:18">
      <c r="A547" s="1159"/>
      <c r="B547" s="1160"/>
      <c r="K547" s="1160"/>
      <c r="L547" s="1160"/>
      <c r="M547" s="1160"/>
      <c r="N547" s="1160"/>
      <c r="O547" s="1160"/>
      <c r="P547" s="1159"/>
      <c r="Q547" s="1159"/>
      <c r="R547" s="1159"/>
    </row>
    <row r="548" spans="1:18">
      <c r="A548" s="1159"/>
      <c r="B548" s="1160"/>
      <c r="K548" s="1160"/>
      <c r="L548" s="1160"/>
      <c r="M548" s="1160"/>
      <c r="N548" s="1160"/>
      <c r="O548" s="1160"/>
      <c r="P548" s="1159"/>
      <c r="Q548" s="1159"/>
      <c r="R548" s="1159"/>
    </row>
    <row r="549" spans="1:18">
      <c r="A549" s="1159"/>
      <c r="B549" s="1160"/>
      <c r="K549" s="1160"/>
      <c r="L549" s="1160"/>
      <c r="M549" s="1160"/>
      <c r="N549" s="1160"/>
      <c r="O549" s="1160"/>
      <c r="P549" s="1159"/>
      <c r="Q549" s="1159"/>
      <c r="R549" s="1159"/>
    </row>
    <row r="550" spans="1:18">
      <c r="A550" s="1159"/>
      <c r="B550" s="1160"/>
      <c r="K550" s="1160"/>
      <c r="L550" s="1160"/>
      <c r="M550" s="1160"/>
      <c r="N550" s="1160"/>
      <c r="O550" s="1160"/>
      <c r="P550" s="1159"/>
      <c r="Q550" s="1159"/>
      <c r="R550" s="1159"/>
    </row>
    <row r="551" spans="1:18">
      <c r="A551" s="1159"/>
      <c r="B551" s="1160"/>
      <c r="K551" s="1160"/>
      <c r="L551" s="1160"/>
      <c r="M551" s="1160"/>
      <c r="N551" s="1160"/>
      <c r="O551" s="1160"/>
      <c r="P551" s="1159"/>
      <c r="Q551" s="1159"/>
      <c r="R551" s="1159"/>
    </row>
    <row r="552" spans="1:18">
      <c r="A552" s="1159"/>
      <c r="B552" s="1160"/>
      <c r="K552" s="1160"/>
      <c r="L552" s="1160"/>
      <c r="M552" s="1160"/>
      <c r="N552" s="1160"/>
      <c r="O552" s="1160"/>
      <c r="P552" s="1159"/>
      <c r="Q552" s="1159"/>
      <c r="R552" s="1159"/>
    </row>
    <row r="553" spans="1:18">
      <c r="A553" s="1159"/>
      <c r="B553" s="1160"/>
      <c r="K553" s="1160"/>
      <c r="L553" s="1160"/>
      <c r="M553" s="1160"/>
      <c r="N553" s="1160"/>
      <c r="O553" s="1160"/>
      <c r="P553" s="1159"/>
      <c r="Q553" s="1159"/>
      <c r="R553" s="1159"/>
    </row>
    <row r="554" spans="1:18">
      <c r="A554" s="1159"/>
      <c r="B554" s="1160"/>
      <c r="K554" s="1160"/>
      <c r="L554" s="1160"/>
      <c r="M554" s="1160"/>
      <c r="N554" s="1160"/>
      <c r="O554" s="1160"/>
      <c r="P554" s="1159"/>
      <c r="Q554" s="1159"/>
      <c r="R554" s="1159"/>
    </row>
    <row r="555" spans="1:18">
      <c r="A555" s="1159"/>
      <c r="B555" s="1160"/>
      <c r="K555" s="1160"/>
      <c r="L555" s="1160"/>
      <c r="M555" s="1160"/>
      <c r="N555" s="1160"/>
      <c r="O555" s="1160"/>
      <c r="P555" s="1159"/>
      <c r="Q555" s="1159"/>
      <c r="R555" s="1159"/>
    </row>
    <row r="556" spans="1:18">
      <c r="A556" s="1159"/>
      <c r="B556" s="1160"/>
      <c r="K556" s="1160"/>
      <c r="L556" s="1160"/>
      <c r="M556" s="1160"/>
      <c r="N556" s="1160"/>
      <c r="O556" s="1160"/>
      <c r="P556" s="1159"/>
      <c r="Q556" s="1159"/>
      <c r="R556" s="1159"/>
    </row>
    <row r="557" spans="1:18">
      <c r="A557" s="1159"/>
      <c r="B557" s="1160"/>
      <c r="K557" s="1160"/>
      <c r="L557" s="1160"/>
      <c r="M557" s="1160"/>
      <c r="N557" s="1160"/>
      <c r="O557" s="1160"/>
      <c r="P557" s="1159"/>
      <c r="Q557" s="1159"/>
      <c r="R557" s="1159"/>
    </row>
    <row r="558" spans="1:18">
      <c r="A558" s="1159"/>
      <c r="B558" s="1160"/>
      <c r="K558" s="1160"/>
      <c r="L558" s="1160"/>
      <c r="M558" s="1160"/>
      <c r="N558" s="1160"/>
      <c r="O558" s="1160"/>
      <c r="P558" s="1159"/>
      <c r="Q558" s="1159"/>
      <c r="R558" s="1159"/>
    </row>
    <row r="559" spans="1:18">
      <c r="A559" s="1159"/>
      <c r="B559" s="1160"/>
      <c r="K559" s="1160"/>
      <c r="L559" s="1160"/>
      <c r="M559" s="1160"/>
      <c r="N559" s="1160"/>
      <c r="O559" s="1160"/>
      <c r="P559" s="1159"/>
      <c r="Q559" s="1159"/>
      <c r="R559" s="1159"/>
    </row>
    <row r="560" spans="1:18">
      <c r="A560" s="1159"/>
      <c r="B560" s="1160"/>
      <c r="K560" s="1160"/>
      <c r="L560" s="1160"/>
      <c r="M560" s="1160"/>
      <c r="N560" s="1160"/>
      <c r="O560" s="1160"/>
      <c r="P560" s="1159"/>
      <c r="Q560" s="1159"/>
      <c r="R560" s="1159"/>
    </row>
    <row r="561" spans="1:18">
      <c r="A561" s="1159"/>
      <c r="B561" s="1160"/>
      <c r="K561" s="1160"/>
      <c r="L561" s="1160"/>
      <c r="M561" s="1160"/>
      <c r="N561" s="1160"/>
      <c r="O561" s="1160"/>
      <c r="P561" s="1159"/>
      <c r="Q561" s="1159"/>
      <c r="R561" s="1159"/>
    </row>
    <row r="562" spans="1:18">
      <c r="A562" s="1159"/>
      <c r="B562" s="1160"/>
      <c r="K562" s="1160"/>
      <c r="L562" s="1160"/>
      <c r="M562" s="1160"/>
      <c r="N562" s="1160"/>
      <c r="O562" s="1160"/>
      <c r="P562" s="1159"/>
      <c r="Q562" s="1159"/>
      <c r="R562" s="1159"/>
    </row>
    <row r="563" spans="1:18">
      <c r="A563" s="1159"/>
      <c r="B563" s="1160"/>
      <c r="K563" s="1160"/>
      <c r="L563" s="1160"/>
      <c r="M563" s="1160"/>
      <c r="N563" s="1160"/>
      <c r="O563" s="1160"/>
      <c r="P563" s="1159"/>
      <c r="Q563" s="1159"/>
      <c r="R563" s="1159"/>
    </row>
    <row r="564" spans="1:18">
      <c r="A564" s="1159"/>
      <c r="B564" s="1160"/>
      <c r="K564" s="1160"/>
      <c r="L564" s="1160"/>
      <c r="M564" s="1160"/>
      <c r="N564" s="1160"/>
      <c r="O564" s="1160"/>
      <c r="P564" s="1159"/>
      <c r="Q564" s="1159"/>
      <c r="R564" s="1159"/>
    </row>
    <row r="565" spans="1:18">
      <c r="A565" s="1159"/>
      <c r="B565" s="1160"/>
      <c r="K565" s="1160"/>
      <c r="L565" s="1160"/>
      <c r="M565" s="1160"/>
      <c r="N565" s="1160"/>
      <c r="O565" s="1160"/>
      <c r="P565" s="1159"/>
      <c r="Q565" s="1159"/>
      <c r="R565" s="1159"/>
    </row>
    <row r="566" spans="1:18">
      <c r="A566" s="1159"/>
      <c r="B566" s="1160"/>
      <c r="K566" s="1160"/>
      <c r="L566" s="1160"/>
      <c r="M566" s="1160"/>
      <c r="N566" s="1160"/>
      <c r="O566" s="1160"/>
      <c r="P566" s="1159"/>
      <c r="Q566" s="1159"/>
      <c r="R566" s="1159"/>
    </row>
    <row r="567" spans="1:18">
      <c r="A567" s="1159"/>
      <c r="B567" s="1160"/>
      <c r="K567" s="1160"/>
      <c r="L567" s="1160"/>
      <c r="M567" s="1160"/>
      <c r="N567" s="1160"/>
      <c r="O567" s="1160"/>
      <c r="P567" s="1159"/>
      <c r="Q567" s="1159"/>
      <c r="R567" s="1159"/>
    </row>
    <row r="568" spans="1:18">
      <c r="A568" s="1159"/>
      <c r="B568" s="1160"/>
      <c r="K568" s="1160"/>
      <c r="L568" s="1160"/>
      <c r="M568" s="1160"/>
      <c r="N568" s="1160"/>
      <c r="O568" s="1160"/>
      <c r="P568" s="1159"/>
      <c r="Q568" s="1159"/>
      <c r="R568" s="1159"/>
    </row>
    <row r="569" spans="1:18">
      <c r="A569" s="1159"/>
      <c r="B569" s="1160"/>
      <c r="K569" s="1160"/>
      <c r="L569" s="1160"/>
      <c r="M569" s="1160"/>
      <c r="N569" s="1160"/>
      <c r="O569" s="1160"/>
      <c r="P569" s="1159"/>
      <c r="Q569" s="1159"/>
      <c r="R569" s="1159"/>
    </row>
    <row r="570" spans="1:18">
      <c r="A570" s="1159"/>
      <c r="B570" s="1160"/>
      <c r="K570" s="1160"/>
      <c r="L570" s="1160"/>
      <c r="M570" s="1160"/>
      <c r="N570" s="1160"/>
      <c r="O570" s="1160"/>
      <c r="P570" s="1159"/>
      <c r="Q570" s="1159"/>
      <c r="R570" s="1159"/>
    </row>
    <row r="571" spans="1:18">
      <c r="A571" s="1159"/>
      <c r="B571" s="1160"/>
      <c r="K571" s="1160"/>
      <c r="L571" s="1160"/>
      <c r="M571" s="1160"/>
      <c r="N571" s="1160"/>
      <c r="O571" s="1160"/>
      <c r="P571" s="1159"/>
      <c r="Q571" s="1159"/>
      <c r="R571" s="1159"/>
    </row>
    <row r="572" spans="1:18">
      <c r="A572" s="1159"/>
      <c r="B572" s="1160"/>
      <c r="K572" s="1160"/>
      <c r="L572" s="1160"/>
      <c r="M572" s="1160"/>
      <c r="N572" s="1160"/>
      <c r="O572" s="1160"/>
      <c r="P572" s="1159"/>
      <c r="Q572" s="1159"/>
      <c r="R572" s="1159"/>
    </row>
    <row r="573" spans="1:18">
      <c r="A573" s="1159"/>
      <c r="B573" s="1160"/>
      <c r="K573" s="1160"/>
      <c r="L573" s="1160"/>
      <c r="M573" s="1160"/>
      <c r="N573" s="1160"/>
      <c r="O573" s="1160"/>
      <c r="P573" s="1159"/>
      <c r="Q573" s="1159"/>
      <c r="R573" s="1159"/>
    </row>
    <row r="574" spans="1:18">
      <c r="A574" s="1159"/>
      <c r="B574" s="1160"/>
      <c r="K574" s="1160"/>
      <c r="L574" s="1160"/>
      <c r="M574" s="1160"/>
      <c r="N574" s="1160"/>
      <c r="O574" s="1160"/>
      <c r="P574" s="1159"/>
      <c r="Q574" s="1159"/>
      <c r="R574" s="1159"/>
    </row>
    <row r="575" spans="1:18">
      <c r="A575" s="1159"/>
      <c r="B575" s="1160"/>
      <c r="K575" s="1160"/>
      <c r="L575" s="1160"/>
      <c r="M575" s="1160"/>
      <c r="N575" s="1160"/>
      <c r="O575" s="1160"/>
      <c r="P575" s="1159"/>
      <c r="Q575" s="1159"/>
      <c r="R575" s="1159"/>
    </row>
    <row r="576" spans="1:18">
      <c r="A576" s="1159"/>
      <c r="B576" s="1160"/>
      <c r="K576" s="1160"/>
      <c r="L576" s="1160"/>
      <c r="M576" s="1160"/>
      <c r="N576" s="1160"/>
      <c r="O576" s="1160"/>
      <c r="P576" s="1159"/>
      <c r="Q576" s="1159"/>
      <c r="R576" s="1159"/>
    </row>
    <row r="577" spans="1:18">
      <c r="A577" s="1159"/>
      <c r="B577" s="1160"/>
      <c r="K577" s="1160"/>
      <c r="L577" s="1160"/>
      <c r="M577" s="1160"/>
      <c r="N577" s="1160"/>
      <c r="O577" s="1160"/>
      <c r="P577" s="1159"/>
      <c r="Q577" s="1159"/>
      <c r="R577" s="1159"/>
    </row>
    <row r="578" spans="1:18">
      <c r="A578" s="1159"/>
      <c r="B578" s="1160"/>
      <c r="K578" s="1160"/>
      <c r="L578" s="1160"/>
      <c r="M578" s="1160"/>
      <c r="N578" s="1160"/>
      <c r="O578" s="1160"/>
      <c r="P578" s="1159"/>
      <c r="Q578" s="1159"/>
      <c r="R578" s="1159"/>
    </row>
    <row r="579" spans="1:18">
      <c r="A579" s="1159"/>
      <c r="B579" s="1160"/>
      <c r="K579" s="1160"/>
      <c r="L579" s="1160"/>
      <c r="M579" s="1160"/>
      <c r="N579" s="1160"/>
      <c r="O579" s="1160"/>
      <c r="P579" s="1159"/>
      <c r="Q579" s="1159"/>
      <c r="R579" s="1159"/>
    </row>
    <row r="580" spans="1:18">
      <c r="A580" s="1159"/>
      <c r="B580" s="1160"/>
      <c r="K580" s="1160"/>
      <c r="L580" s="1160"/>
      <c r="M580" s="1160"/>
      <c r="N580" s="1160"/>
      <c r="O580" s="1160"/>
      <c r="P580" s="1159"/>
      <c r="Q580" s="1159"/>
      <c r="R580" s="1159"/>
    </row>
    <row r="581" spans="1:18">
      <c r="A581" s="1159"/>
      <c r="B581" s="1160"/>
      <c r="K581" s="1160"/>
      <c r="L581" s="1160"/>
      <c r="M581" s="1160"/>
      <c r="N581" s="1160"/>
      <c r="O581" s="1160"/>
      <c r="P581" s="1159"/>
      <c r="Q581" s="1159"/>
      <c r="R581" s="1159"/>
    </row>
    <row r="582" spans="1:18">
      <c r="A582" s="1159"/>
      <c r="B582" s="1160"/>
      <c r="K582" s="1160"/>
      <c r="L582" s="1160"/>
      <c r="M582" s="1160"/>
      <c r="N582" s="1160"/>
      <c r="O582" s="1160"/>
      <c r="P582" s="1159"/>
      <c r="Q582" s="1159"/>
      <c r="R582" s="1159"/>
    </row>
    <row r="583" spans="1:18">
      <c r="A583" s="1159"/>
      <c r="B583" s="1160"/>
      <c r="K583" s="1160"/>
      <c r="L583" s="1160"/>
      <c r="M583" s="1160"/>
      <c r="N583" s="1160"/>
      <c r="O583" s="1160"/>
      <c r="P583" s="1159"/>
      <c r="Q583" s="1159"/>
      <c r="R583" s="1159"/>
    </row>
    <row r="584" spans="1:18">
      <c r="A584" s="1159"/>
      <c r="B584" s="1160"/>
      <c r="K584" s="1160"/>
      <c r="L584" s="1160"/>
      <c r="M584" s="1160"/>
      <c r="N584" s="1160"/>
      <c r="O584" s="1160"/>
      <c r="P584" s="1159"/>
      <c r="Q584" s="1159"/>
      <c r="R584" s="1159"/>
    </row>
    <row r="585" spans="1:18">
      <c r="A585" s="1159"/>
      <c r="B585" s="1160"/>
      <c r="K585" s="1160"/>
      <c r="L585" s="1160"/>
      <c r="M585" s="1160"/>
      <c r="N585" s="1160"/>
      <c r="O585" s="1160"/>
      <c r="P585" s="1159"/>
      <c r="Q585" s="1159"/>
      <c r="R585" s="1159"/>
    </row>
    <row r="586" spans="1:18">
      <c r="A586" s="1159"/>
      <c r="B586" s="1160"/>
      <c r="K586" s="1160"/>
      <c r="L586" s="1160"/>
      <c r="M586" s="1160"/>
      <c r="N586" s="1160"/>
      <c r="O586" s="1160"/>
      <c r="P586" s="1159"/>
      <c r="Q586" s="1159"/>
      <c r="R586" s="1159"/>
    </row>
    <row r="587" spans="1:18">
      <c r="A587" s="1159"/>
      <c r="B587" s="1160"/>
      <c r="K587" s="1160"/>
      <c r="L587" s="1160"/>
      <c r="M587" s="1160"/>
      <c r="N587" s="1160"/>
      <c r="O587" s="1160"/>
      <c r="P587" s="1159"/>
      <c r="Q587" s="1159"/>
      <c r="R587" s="1159"/>
    </row>
    <row r="588" spans="1:18">
      <c r="A588" s="1159"/>
      <c r="B588" s="1160"/>
      <c r="K588" s="1160"/>
      <c r="L588" s="1160"/>
      <c r="M588" s="1160"/>
      <c r="N588" s="1160"/>
      <c r="O588" s="1160"/>
      <c r="P588" s="1159"/>
      <c r="Q588" s="1159"/>
      <c r="R588" s="1159"/>
    </row>
    <row r="589" spans="1:18">
      <c r="A589" s="1159"/>
      <c r="B589" s="1160"/>
      <c r="K589" s="1160"/>
      <c r="L589" s="1160"/>
      <c r="M589" s="1160"/>
      <c r="N589" s="1160"/>
      <c r="O589" s="1160"/>
      <c r="P589" s="1159"/>
      <c r="Q589" s="1159"/>
      <c r="R589" s="1159"/>
    </row>
    <row r="590" spans="1:18">
      <c r="A590" s="1159"/>
      <c r="B590" s="1160"/>
      <c r="K590" s="1160"/>
      <c r="L590" s="1160"/>
      <c r="M590" s="1160"/>
      <c r="N590" s="1160"/>
      <c r="O590" s="1160"/>
      <c r="P590" s="1159"/>
      <c r="Q590" s="1159"/>
      <c r="R590" s="1159"/>
    </row>
    <row r="591" spans="1:18">
      <c r="A591" s="1159"/>
      <c r="B591" s="1160"/>
      <c r="K591" s="1160"/>
      <c r="L591" s="1160"/>
      <c r="M591" s="1160"/>
      <c r="N591" s="1160"/>
      <c r="O591" s="1160"/>
      <c r="P591" s="1159"/>
      <c r="Q591" s="1159"/>
      <c r="R591" s="1159"/>
    </row>
    <row r="592" spans="1:18">
      <c r="A592" s="1159"/>
      <c r="B592" s="1160"/>
      <c r="K592" s="1160"/>
      <c r="L592" s="1160"/>
      <c r="M592" s="1160"/>
      <c r="N592" s="1160"/>
      <c r="O592" s="1160"/>
      <c r="P592" s="1159"/>
      <c r="Q592" s="1159"/>
      <c r="R592" s="1159"/>
    </row>
    <row r="593" spans="1:18">
      <c r="A593" s="1159"/>
      <c r="B593" s="1160"/>
      <c r="K593" s="1160"/>
      <c r="L593" s="1160"/>
      <c r="M593" s="1160"/>
      <c r="N593" s="1160"/>
      <c r="O593" s="1160"/>
      <c r="P593" s="1159"/>
      <c r="Q593" s="1159"/>
      <c r="R593" s="1159"/>
    </row>
    <row r="594" spans="1:18">
      <c r="A594" s="1159"/>
      <c r="B594" s="1160"/>
      <c r="K594" s="1160"/>
      <c r="L594" s="1160"/>
      <c r="M594" s="1160"/>
      <c r="N594" s="1160"/>
      <c r="O594" s="1160"/>
      <c r="P594" s="1159"/>
      <c r="Q594" s="1159"/>
      <c r="R594" s="1159"/>
    </row>
    <row r="595" spans="1:18">
      <c r="A595" s="1159"/>
      <c r="B595" s="1160"/>
      <c r="K595" s="1160"/>
      <c r="L595" s="1160"/>
      <c r="M595" s="1160"/>
      <c r="N595" s="1160"/>
      <c r="O595" s="1160"/>
      <c r="P595" s="1159"/>
      <c r="Q595" s="1159"/>
      <c r="R595" s="1159"/>
    </row>
    <row r="596" spans="1:18">
      <c r="A596" s="1159"/>
      <c r="B596" s="1160"/>
      <c r="K596" s="1160"/>
      <c r="L596" s="1160"/>
      <c r="M596" s="1160"/>
      <c r="N596" s="1160"/>
      <c r="O596" s="1160"/>
      <c r="P596" s="1159"/>
      <c r="Q596" s="1159"/>
      <c r="R596" s="1159"/>
    </row>
    <row r="597" spans="1:18">
      <c r="A597" s="1159"/>
      <c r="B597" s="1160"/>
      <c r="K597" s="1160"/>
      <c r="L597" s="1160"/>
      <c r="M597" s="1160"/>
      <c r="N597" s="1160"/>
      <c r="O597" s="1160"/>
      <c r="P597" s="1159"/>
      <c r="Q597" s="1159"/>
      <c r="R597" s="1159"/>
    </row>
    <row r="598" spans="1:18">
      <c r="A598" s="1159"/>
      <c r="B598" s="1160"/>
      <c r="K598" s="1160"/>
      <c r="L598" s="1160"/>
      <c r="M598" s="1160"/>
      <c r="N598" s="1160"/>
      <c r="O598" s="1160"/>
      <c r="P598" s="1159"/>
      <c r="Q598" s="1159"/>
      <c r="R598" s="1159"/>
    </row>
    <row r="599" spans="1:18">
      <c r="A599" s="1159"/>
      <c r="B599" s="1160"/>
      <c r="K599" s="1160"/>
      <c r="L599" s="1160"/>
      <c r="M599" s="1160"/>
      <c r="N599" s="1160"/>
      <c r="O599" s="1160"/>
      <c r="P599" s="1159"/>
      <c r="Q599" s="1159"/>
      <c r="R599" s="1159"/>
    </row>
    <row r="600" spans="1:18">
      <c r="A600" s="1159"/>
      <c r="B600" s="1160"/>
      <c r="K600" s="1160"/>
      <c r="L600" s="1160"/>
      <c r="M600" s="1160"/>
      <c r="N600" s="1160"/>
      <c r="O600" s="1160"/>
      <c r="P600" s="1159"/>
      <c r="Q600" s="1159"/>
      <c r="R600" s="1159"/>
    </row>
    <row r="601" spans="1:18">
      <c r="A601" s="1159"/>
      <c r="B601" s="1160"/>
      <c r="K601" s="1160"/>
      <c r="L601" s="1160"/>
      <c r="M601" s="1160"/>
      <c r="N601" s="1160"/>
      <c r="O601" s="1160"/>
      <c r="P601" s="1159"/>
      <c r="Q601" s="1159"/>
      <c r="R601" s="1159"/>
    </row>
    <row r="602" spans="1:18">
      <c r="A602" s="1159"/>
      <c r="B602" s="1160"/>
      <c r="K602" s="1160"/>
      <c r="L602" s="1160"/>
      <c r="M602" s="1160"/>
      <c r="N602" s="1160"/>
      <c r="O602" s="1160"/>
      <c r="P602" s="1159"/>
      <c r="Q602" s="1159"/>
      <c r="R602" s="1159"/>
    </row>
    <row r="603" spans="1:18">
      <c r="A603" s="1159"/>
      <c r="B603" s="1160"/>
      <c r="K603" s="1160"/>
      <c r="L603" s="1160"/>
      <c r="M603" s="1160"/>
      <c r="N603" s="1160"/>
      <c r="O603" s="1160"/>
      <c r="P603" s="1159"/>
      <c r="Q603" s="1159"/>
      <c r="R603" s="1159"/>
    </row>
    <row r="604" spans="1:18">
      <c r="A604" s="1159"/>
      <c r="B604" s="1160"/>
      <c r="K604" s="1160"/>
      <c r="L604" s="1160"/>
      <c r="M604" s="1160"/>
      <c r="N604" s="1160"/>
      <c r="O604" s="1160"/>
      <c r="P604" s="1159"/>
      <c r="Q604" s="1159"/>
      <c r="R604" s="1159"/>
    </row>
    <row r="605" spans="1:18">
      <c r="A605" s="1159"/>
      <c r="B605" s="1160"/>
      <c r="K605" s="1160"/>
      <c r="L605" s="1160"/>
      <c r="M605" s="1160"/>
      <c r="N605" s="1160"/>
      <c r="O605" s="1160"/>
      <c r="P605" s="1159"/>
      <c r="Q605" s="1159"/>
      <c r="R605" s="1159"/>
    </row>
    <row r="606" spans="1:18">
      <c r="A606" s="1159"/>
      <c r="B606" s="1160"/>
      <c r="K606" s="1160"/>
      <c r="L606" s="1160"/>
      <c r="M606" s="1160"/>
      <c r="N606" s="1160"/>
      <c r="O606" s="1160"/>
      <c r="P606" s="1159"/>
      <c r="Q606" s="1159"/>
      <c r="R606" s="1159"/>
    </row>
    <row r="607" spans="1:18">
      <c r="A607" s="1159"/>
      <c r="B607" s="1160"/>
      <c r="K607" s="1160"/>
      <c r="L607" s="1160"/>
      <c r="M607" s="1160"/>
      <c r="N607" s="1160"/>
      <c r="O607" s="1160"/>
      <c r="P607" s="1159"/>
      <c r="Q607" s="1159"/>
      <c r="R607" s="1159"/>
    </row>
    <row r="608" spans="1:18">
      <c r="A608" s="1159"/>
      <c r="B608" s="1160"/>
      <c r="K608" s="1160"/>
      <c r="L608" s="1160"/>
      <c r="M608" s="1160"/>
      <c r="N608" s="1160"/>
      <c r="O608" s="1160"/>
      <c r="P608" s="1159"/>
      <c r="Q608" s="1159"/>
      <c r="R608" s="1159"/>
    </row>
    <row r="609" spans="1:18">
      <c r="A609" s="1159"/>
      <c r="B609" s="1160"/>
      <c r="K609" s="1160"/>
      <c r="L609" s="1160"/>
      <c r="M609" s="1160"/>
      <c r="N609" s="1160"/>
      <c r="O609" s="1160"/>
      <c r="P609" s="1159"/>
      <c r="Q609" s="1159"/>
      <c r="R609" s="1159"/>
    </row>
    <row r="610" spans="1:18">
      <c r="A610" s="1159"/>
      <c r="B610" s="1160"/>
      <c r="K610" s="1160"/>
      <c r="L610" s="1160"/>
      <c r="M610" s="1160"/>
      <c r="N610" s="1160"/>
      <c r="O610" s="1160"/>
      <c r="P610" s="1159"/>
      <c r="Q610" s="1159"/>
      <c r="R610" s="1159"/>
    </row>
    <row r="611" spans="1:18">
      <c r="A611" s="1159"/>
      <c r="B611" s="1160"/>
      <c r="K611" s="1160"/>
      <c r="L611" s="1160"/>
      <c r="M611" s="1160"/>
      <c r="N611" s="1160"/>
      <c r="O611" s="1160"/>
      <c r="P611" s="1159"/>
      <c r="Q611" s="1159"/>
      <c r="R611" s="1159"/>
    </row>
    <row r="612" spans="1:18">
      <c r="A612" s="1159"/>
      <c r="B612" s="1160"/>
      <c r="K612" s="1160"/>
      <c r="L612" s="1160"/>
      <c r="M612" s="1160"/>
      <c r="N612" s="1160"/>
      <c r="O612" s="1160"/>
      <c r="P612" s="1159"/>
      <c r="Q612" s="1159"/>
      <c r="R612" s="1159"/>
    </row>
    <row r="613" spans="1:18">
      <c r="A613" s="1159"/>
      <c r="B613" s="1160"/>
      <c r="K613" s="1160"/>
      <c r="L613" s="1160"/>
      <c r="M613" s="1160"/>
      <c r="N613" s="1160"/>
      <c r="O613" s="1160"/>
      <c r="P613" s="1159"/>
      <c r="Q613" s="1159"/>
      <c r="R613" s="1159"/>
    </row>
    <row r="614" spans="1:18">
      <c r="A614" s="1159"/>
      <c r="B614" s="1160"/>
      <c r="K614" s="1160"/>
      <c r="L614" s="1160"/>
      <c r="M614" s="1160"/>
      <c r="N614" s="1160"/>
      <c r="O614" s="1160"/>
      <c r="P614" s="1159"/>
      <c r="Q614" s="1159"/>
      <c r="R614" s="1159"/>
    </row>
    <row r="615" spans="1:18">
      <c r="A615" s="1159"/>
      <c r="B615" s="1160"/>
      <c r="K615" s="1160"/>
      <c r="L615" s="1160"/>
      <c r="M615" s="1160"/>
      <c r="N615" s="1160"/>
      <c r="O615" s="1160"/>
      <c r="P615" s="1159"/>
      <c r="Q615" s="1159"/>
      <c r="R615" s="1159"/>
    </row>
    <row r="616" spans="1:18">
      <c r="A616" s="1159"/>
      <c r="B616" s="1160"/>
      <c r="K616" s="1160"/>
      <c r="L616" s="1160"/>
      <c r="M616" s="1160"/>
      <c r="N616" s="1160"/>
      <c r="O616" s="1160"/>
      <c r="P616" s="1159"/>
      <c r="Q616" s="1159"/>
      <c r="R616" s="1159"/>
    </row>
    <row r="617" spans="1:18">
      <c r="A617" s="1159"/>
      <c r="B617" s="1160"/>
      <c r="K617" s="1160"/>
      <c r="L617" s="1160"/>
      <c r="M617" s="1160"/>
      <c r="N617" s="1160"/>
      <c r="O617" s="1160"/>
      <c r="P617" s="1159"/>
      <c r="Q617" s="1159"/>
      <c r="R617" s="1159"/>
    </row>
    <row r="618" spans="1:18">
      <c r="A618" s="1159"/>
      <c r="B618" s="1160"/>
      <c r="K618" s="1160"/>
      <c r="L618" s="1160"/>
      <c r="M618" s="1160"/>
      <c r="N618" s="1160"/>
      <c r="O618" s="1160"/>
      <c r="P618" s="1159"/>
      <c r="Q618" s="1159"/>
      <c r="R618" s="1159"/>
    </row>
    <row r="619" spans="1:18">
      <c r="A619" s="1159"/>
      <c r="B619" s="1160"/>
      <c r="K619" s="1160"/>
      <c r="L619" s="1160"/>
      <c r="M619" s="1160"/>
      <c r="N619" s="1160"/>
      <c r="O619" s="1160"/>
      <c r="P619" s="1159"/>
      <c r="Q619" s="1159"/>
      <c r="R619" s="1159"/>
    </row>
    <row r="620" spans="1:18">
      <c r="A620" s="1159"/>
      <c r="B620" s="1160"/>
      <c r="K620" s="1160"/>
      <c r="L620" s="1160"/>
      <c r="M620" s="1160"/>
      <c r="N620" s="1160"/>
      <c r="O620" s="1160"/>
      <c r="P620" s="1159"/>
      <c r="Q620" s="1159"/>
      <c r="R620" s="1159"/>
    </row>
    <row r="621" spans="1:18">
      <c r="A621" s="1159"/>
      <c r="B621" s="1160"/>
      <c r="K621" s="1160"/>
      <c r="L621" s="1160"/>
      <c r="M621" s="1160"/>
      <c r="N621" s="1160"/>
      <c r="O621" s="1160"/>
      <c r="P621" s="1159"/>
      <c r="Q621" s="1159"/>
      <c r="R621" s="1159"/>
    </row>
    <row r="622" spans="1:18">
      <c r="A622" s="1159"/>
      <c r="B622" s="1160"/>
      <c r="K622" s="1160"/>
      <c r="L622" s="1160"/>
      <c r="M622" s="1160"/>
      <c r="N622" s="1160"/>
      <c r="O622" s="1160"/>
      <c r="P622" s="1159"/>
      <c r="Q622" s="1159"/>
      <c r="R622" s="1159"/>
    </row>
    <row r="623" spans="1:18">
      <c r="A623" s="1159"/>
      <c r="B623" s="1160"/>
      <c r="K623" s="1160"/>
      <c r="L623" s="1160"/>
      <c r="M623" s="1160"/>
      <c r="N623" s="1160"/>
      <c r="O623" s="1160"/>
      <c r="P623" s="1159"/>
      <c r="Q623" s="1159"/>
      <c r="R623" s="1159"/>
    </row>
    <row r="624" spans="1:18">
      <c r="A624" s="1159"/>
      <c r="B624" s="1160"/>
      <c r="K624" s="1160"/>
      <c r="L624" s="1160"/>
      <c r="M624" s="1160"/>
      <c r="N624" s="1160"/>
      <c r="O624" s="1160"/>
      <c r="P624" s="1159"/>
      <c r="Q624" s="1159"/>
      <c r="R624" s="1159"/>
    </row>
    <row r="625" spans="1:18">
      <c r="A625" s="1159"/>
      <c r="B625" s="1160"/>
      <c r="K625" s="1160"/>
      <c r="L625" s="1160"/>
      <c r="M625" s="1160"/>
      <c r="N625" s="1160"/>
      <c r="O625" s="1160"/>
      <c r="P625" s="1159"/>
      <c r="Q625" s="1159"/>
      <c r="R625" s="1159"/>
    </row>
    <row r="626" spans="1:18">
      <c r="A626" s="1159"/>
      <c r="B626" s="1160"/>
      <c r="K626" s="1160"/>
      <c r="L626" s="1160"/>
      <c r="M626" s="1160"/>
      <c r="N626" s="1160"/>
      <c r="O626" s="1160"/>
      <c r="P626" s="1159"/>
      <c r="Q626" s="1159"/>
      <c r="R626" s="1159"/>
    </row>
    <row r="627" spans="1:18">
      <c r="A627" s="1159"/>
      <c r="B627" s="1160"/>
      <c r="K627" s="1160"/>
      <c r="L627" s="1160"/>
      <c r="M627" s="1160"/>
      <c r="N627" s="1160"/>
      <c r="O627" s="1160"/>
      <c r="P627" s="1159"/>
      <c r="Q627" s="1159"/>
      <c r="R627" s="1159"/>
    </row>
    <row r="628" spans="1:18">
      <c r="A628" s="1159"/>
      <c r="B628" s="1160"/>
      <c r="K628" s="1160"/>
      <c r="L628" s="1160"/>
      <c r="M628" s="1160"/>
      <c r="N628" s="1160"/>
      <c r="O628" s="1160"/>
      <c r="P628" s="1159"/>
      <c r="Q628" s="1159"/>
      <c r="R628" s="1159"/>
    </row>
    <row r="629" spans="1:18">
      <c r="A629" s="1159"/>
      <c r="B629" s="1160"/>
      <c r="K629" s="1160"/>
      <c r="L629" s="1160"/>
      <c r="M629" s="1160"/>
      <c r="N629" s="1160"/>
      <c r="O629" s="1160"/>
      <c r="P629" s="1159"/>
      <c r="Q629" s="1159"/>
      <c r="R629" s="1159"/>
    </row>
    <row r="630" spans="1:18">
      <c r="A630" s="1159"/>
      <c r="B630" s="1160"/>
      <c r="K630" s="1160"/>
      <c r="L630" s="1160"/>
      <c r="M630" s="1160"/>
      <c r="N630" s="1160"/>
      <c r="O630" s="1160"/>
      <c r="P630" s="1159"/>
      <c r="Q630" s="1159"/>
      <c r="R630" s="1159"/>
    </row>
    <row r="631" spans="1:18">
      <c r="A631" s="1159"/>
      <c r="B631" s="1160"/>
      <c r="K631" s="1160"/>
      <c r="L631" s="1160"/>
      <c r="M631" s="1160"/>
      <c r="N631" s="1160"/>
      <c r="O631" s="1160"/>
      <c r="P631" s="1159"/>
      <c r="Q631" s="1159"/>
      <c r="R631" s="1159"/>
    </row>
    <row r="632" spans="1:18">
      <c r="A632" s="1159"/>
      <c r="B632" s="1160"/>
      <c r="K632" s="1160"/>
      <c r="L632" s="1160"/>
      <c r="M632" s="1160"/>
      <c r="N632" s="1160"/>
      <c r="O632" s="1160"/>
      <c r="P632" s="1159"/>
      <c r="Q632" s="1159"/>
      <c r="R632" s="1159"/>
    </row>
    <row r="633" spans="1:18">
      <c r="A633" s="1159"/>
      <c r="B633" s="1160"/>
      <c r="K633" s="1160"/>
      <c r="L633" s="1160"/>
      <c r="M633" s="1160"/>
      <c r="N633" s="1160"/>
      <c r="O633" s="1160"/>
      <c r="P633" s="1159"/>
      <c r="Q633" s="1159"/>
      <c r="R633" s="1159"/>
    </row>
    <row r="634" spans="1:18">
      <c r="A634" s="1159"/>
      <c r="B634" s="1160"/>
      <c r="K634" s="1160"/>
      <c r="L634" s="1160"/>
      <c r="M634" s="1160"/>
      <c r="N634" s="1160"/>
      <c r="O634" s="1160"/>
      <c r="P634" s="1159"/>
      <c r="Q634" s="1159"/>
      <c r="R634" s="1159"/>
    </row>
    <row r="635" spans="1:18">
      <c r="A635" s="1159"/>
      <c r="B635" s="1160"/>
      <c r="K635" s="1160"/>
      <c r="L635" s="1160"/>
      <c r="M635" s="1160"/>
      <c r="N635" s="1160"/>
      <c r="O635" s="1160"/>
      <c r="P635" s="1159"/>
      <c r="Q635" s="1159"/>
      <c r="R635" s="1159"/>
    </row>
    <row r="636" spans="1:18">
      <c r="A636" s="1159"/>
      <c r="B636" s="1160"/>
      <c r="K636" s="1160"/>
      <c r="L636" s="1160"/>
      <c r="M636" s="1160"/>
      <c r="N636" s="1160"/>
      <c r="O636" s="1160"/>
      <c r="P636" s="1159"/>
      <c r="Q636" s="1159"/>
      <c r="R636" s="1159"/>
    </row>
    <row r="637" spans="1:18">
      <c r="A637" s="1159"/>
      <c r="B637" s="1160"/>
      <c r="K637" s="1160"/>
      <c r="L637" s="1160"/>
      <c r="M637" s="1160"/>
      <c r="N637" s="1160"/>
      <c r="O637" s="1160"/>
      <c r="P637" s="1159"/>
      <c r="Q637" s="1159"/>
      <c r="R637" s="1159"/>
    </row>
    <row r="638" spans="1:18">
      <c r="A638" s="1159"/>
      <c r="B638" s="1160"/>
      <c r="K638" s="1160"/>
      <c r="L638" s="1160"/>
      <c r="M638" s="1160"/>
      <c r="N638" s="1160"/>
      <c r="O638" s="1160"/>
      <c r="P638" s="1159"/>
      <c r="Q638" s="1159"/>
      <c r="R638" s="1159"/>
    </row>
    <row r="639" spans="1:18">
      <c r="A639" s="1159"/>
      <c r="B639" s="1160"/>
      <c r="K639" s="1160"/>
      <c r="L639" s="1160"/>
      <c r="M639" s="1160"/>
      <c r="N639" s="1160"/>
      <c r="O639" s="1160"/>
      <c r="P639" s="1159"/>
      <c r="Q639" s="1159"/>
      <c r="R639" s="1159"/>
    </row>
    <row r="640" spans="1:18">
      <c r="A640" s="1159"/>
      <c r="B640" s="1160"/>
      <c r="K640" s="1160"/>
      <c r="L640" s="1160"/>
      <c r="M640" s="1160"/>
      <c r="N640" s="1160"/>
      <c r="O640" s="1160"/>
      <c r="P640" s="1159"/>
      <c r="Q640" s="1159"/>
      <c r="R640" s="1159"/>
    </row>
    <row r="641" spans="1:18">
      <c r="A641" s="1159"/>
      <c r="B641" s="1160"/>
      <c r="K641" s="1160"/>
      <c r="L641" s="1160"/>
      <c r="M641" s="1160"/>
      <c r="N641" s="1160"/>
      <c r="O641" s="1160"/>
      <c r="P641" s="1159"/>
      <c r="Q641" s="1159"/>
      <c r="R641" s="1159"/>
    </row>
    <row r="642" spans="1:18">
      <c r="A642" s="1159"/>
      <c r="B642" s="1160"/>
      <c r="K642" s="1160"/>
      <c r="L642" s="1160"/>
      <c r="M642" s="1160"/>
      <c r="N642" s="1160"/>
      <c r="O642" s="1160"/>
      <c r="P642" s="1159"/>
      <c r="Q642" s="1159"/>
      <c r="R642" s="1159"/>
    </row>
    <row r="643" spans="1:18">
      <c r="A643" s="1159"/>
      <c r="B643" s="1160"/>
      <c r="K643" s="1160"/>
      <c r="L643" s="1160"/>
      <c r="M643" s="1160"/>
      <c r="N643" s="1160"/>
      <c r="O643" s="1160"/>
      <c r="P643" s="1159"/>
      <c r="Q643" s="1159"/>
      <c r="R643" s="1159"/>
    </row>
    <row r="644" spans="1:18">
      <c r="A644" s="1159"/>
      <c r="B644" s="1160"/>
      <c r="K644" s="1160"/>
      <c r="L644" s="1160"/>
      <c r="M644" s="1160"/>
      <c r="N644" s="1160"/>
      <c r="O644" s="1160"/>
      <c r="P644" s="1159"/>
      <c r="Q644" s="1159"/>
      <c r="R644" s="1159"/>
    </row>
    <row r="645" spans="1:18">
      <c r="A645" s="1159"/>
      <c r="B645" s="1160"/>
      <c r="K645" s="1160"/>
      <c r="L645" s="1160"/>
      <c r="M645" s="1160"/>
      <c r="N645" s="1160"/>
      <c r="O645" s="1160"/>
      <c r="P645" s="1159"/>
      <c r="Q645" s="1159"/>
      <c r="R645" s="1159"/>
    </row>
    <row r="646" spans="1:18">
      <c r="A646" s="1159"/>
      <c r="B646" s="1160"/>
      <c r="K646" s="1160"/>
      <c r="L646" s="1160"/>
      <c r="M646" s="1160"/>
      <c r="N646" s="1160"/>
      <c r="O646" s="1160"/>
      <c r="P646" s="1159"/>
      <c r="Q646" s="1159"/>
      <c r="R646" s="1159"/>
    </row>
    <row r="647" spans="1:18">
      <c r="A647" s="1159"/>
      <c r="B647" s="1160"/>
      <c r="K647" s="1160"/>
      <c r="L647" s="1160"/>
      <c r="M647" s="1160"/>
      <c r="N647" s="1160"/>
      <c r="O647" s="1160"/>
      <c r="P647" s="1159"/>
      <c r="Q647" s="1159"/>
      <c r="R647" s="1159"/>
    </row>
    <row r="648" spans="1:18">
      <c r="A648" s="1159"/>
      <c r="B648" s="1160"/>
      <c r="K648" s="1160"/>
      <c r="L648" s="1160"/>
      <c r="M648" s="1160"/>
      <c r="N648" s="1160"/>
      <c r="O648" s="1160"/>
      <c r="P648" s="1159"/>
      <c r="Q648" s="1159"/>
      <c r="R648" s="1159"/>
    </row>
    <row r="649" spans="1:18">
      <c r="A649" s="1159"/>
      <c r="B649" s="1160"/>
      <c r="K649" s="1160"/>
      <c r="L649" s="1160"/>
      <c r="M649" s="1160"/>
      <c r="N649" s="1160"/>
      <c r="O649" s="1160"/>
      <c r="P649" s="1159"/>
      <c r="Q649" s="1159"/>
      <c r="R649" s="1159"/>
    </row>
    <row r="650" spans="1:18">
      <c r="A650" s="1159"/>
      <c r="B650" s="1160"/>
      <c r="K650" s="1160"/>
      <c r="L650" s="1160"/>
      <c r="M650" s="1160"/>
      <c r="N650" s="1160"/>
      <c r="O650" s="1160"/>
      <c r="P650" s="1159"/>
      <c r="Q650" s="1159"/>
      <c r="R650" s="1159"/>
    </row>
    <row r="651" spans="1:18">
      <c r="A651" s="1159"/>
      <c r="B651" s="1160"/>
      <c r="K651" s="1160"/>
      <c r="L651" s="1160"/>
      <c r="M651" s="1160"/>
      <c r="N651" s="1160"/>
      <c r="O651" s="1160"/>
      <c r="P651" s="1159"/>
      <c r="Q651" s="1159"/>
      <c r="R651" s="1159"/>
    </row>
    <row r="652" spans="1:18">
      <c r="A652" s="1159"/>
      <c r="B652" s="1160"/>
      <c r="K652" s="1160"/>
      <c r="L652" s="1160"/>
      <c r="M652" s="1160"/>
      <c r="N652" s="1160"/>
      <c r="O652" s="1160"/>
      <c r="P652" s="1159"/>
      <c r="Q652" s="1159"/>
      <c r="R652" s="1159"/>
    </row>
    <row r="653" spans="1:18">
      <c r="A653" s="1159"/>
      <c r="B653" s="1160"/>
      <c r="K653" s="1160"/>
      <c r="L653" s="1160"/>
      <c r="M653" s="1160"/>
      <c r="N653" s="1160"/>
      <c r="O653" s="1160"/>
      <c r="P653" s="1159"/>
      <c r="Q653" s="1159"/>
      <c r="R653" s="1159"/>
    </row>
    <row r="654" spans="1:18">
      <c r="A654" s="1159"/>
      <c r="B654" s="1160"/>
      <c r="K654" s="1160"/>
      <c r="L654" s="1160"/>
      <c r="M654" s="1160"/>
      <c r="N654" s="1160"/>
      <c r="O654" s="1160"/>
      <c r="P654" s="1159"/>
      <c r="Q654" s="1159"/>
      <c r="R654" s="1159"/>
    </row>
    <row r="655" spans="1:18">
      <c r="A655" s="1159"/>
      <c r="B655" s="1160"/>
      <c r="K655" s="1160"/>
      <c r="L655" s="1160"/>
      <c r="M655" s="1160"/>
      <c r="N655" s="1160"/>
      <c r="O655" s="1160"/>
      <c r="P655" s="1159"/>
      <c r="Q655" s="1159"/>
      <c r="R655" s="1159"/>
    </row>
    <row r="656" spans="1:18">
      <c r="A656" s="1159"/>
      <c r="B656" s="1160"/>
      <c r="K656" s="1160"/>
      <c r="L656" s="1160"/>
      <c r="M656" s="1160"/>
      <c r="N656" s="1160"/>
      <c r="O656" s="1160"/>
      <c r="P656" s="1159"/>
      <c r="Q656" s="1159"/>
      <c r="R656" s="1159"/>
    </row>
    <row r="657" spans="1:18">
      <c r="A657" s="1159"/>
      <c r="B657" s="1160"/>
      <c r="K657" s="1160"/>
      <c r="L657" s="1160"/>
      <c r="M657" s="1160"/>
      <c r="N657" s="1160"/>
      <c r="O657" s="1160"/>
      <c r="P657" s="1159"/>
      <c r="Q657" s="1159"/>
      <c r="R657" s="1159"/>
    </row>
    <row r="658" spans="1:18">
      <c r="A658" s="1159"/>
      <c r="B658" s="1160"/>
      <c r="K658" s="1160"/>
      <c r="L658" s="1160"/>
      <c r="M658" s="1160"/>
      <c r="N658" s="1160"/>
      <c r="O658" s="1160"/>
      <c r="P658" s="1159"/>
      <c r="Q658" s="1159"/>
      <c r="R658" s="1159"/>
    </row>
    <row r="659" spans="1:18">
      <c r="A659" s="1159"/>
      <c r="B659" s="1160"/>
      <c r="K659" s="1160"/>
      <c r="L659" s="1160"/>
      <c r="M659" s="1160"/>
      <c r="N659" s="1160"/>
      <c r="O659" s="1160"/>
      <c r="P659" s="1159"/>
      <c r="Q659" s="1159"/>
      <c r="R659" s="1159"/>
    </row>
    <row r="660" spans="1:18">
      <c r="A660" s="1159"/>
      <c r="B660" s="1160"/>
      <c r="K660" s="1160"/>
      <c r="L660" s="1160"/>
      <c r="M660" s="1160"/>
      <c r="N660" s="1160"/>
      <c r="O660" s="1160"/>
      <c r="P660" s="1159"/>
      <c r="Q660" s="1159"/>
      <c r="R660" s="1159"/>
    </row>
    <row r="661" spans="1:18">
      <c r="A661" s="1159"/>
      <c r="B661" s="1160"/>
      <c r="K661" s="1160"/>
      <c r="L661" s="1160"/>
      <c r="M661" s="1160"/>
      <c r="N661" s="1160"/>
      <c r="O661" s="1160"/>
      <c r="P661" s="1159"/>
      <c r="Q661" s="1159"/>
      <c r="R661" s="1159"/>
    </row>
    <row r="662" spans="1:18">
      <c r="A662" s="1159"/>
      <c r="B662" s="1160"/>
      <c r="K662" s="1160"/>
      <c r="L662" s="1160"/>
      <c r="M662" s="1160"/>
      <c r="N662" s="1160"/>
      <c r="O662" s="1160"/>
      <c r="P662" s="1159"/>
      <c r="Q662" s="1159"/>
      <c r="R662" s="1159"/>
    </row>
    <row r="663" spans="1:18">
      <c r="A663" s="1159"/>
      <c r="B663" s="1160"/>
      <c r="K663" s="1160"/>
      <c r="L663" s="1160"/>
      <c r="M663" s="1160"/>
      <c r="N663" s="1160"/>
      <c r="O663" s="1160"/>
      <c r="P663" s="1159"/>
      <c r="Q663" s="1159"/>
      <c r="R663" s="1159"/>
    </row>
    <row r="664" spans="1:18">
      <c r="A664" s="1159"/>
      <c r="B664" s="1160"/>
      <c r="K664" s="1160"/>
      <c r="L664" s="1160"/>
      <c r="M664" s="1160"/>
      <c r="N664" s="1160"/>
      <c r="O664" s="1160"/>
      <c r="P664" s="1159"/>
      <c r="Q664" s="1159"/>
      <c r="R664" s="1159"/>
    </row>
    <row r="665" spans="1:18">
      <c r="A665" s="1159"/>
      <c r="B665" s="1160"/>
      <c r="K665" s="1160"/>
      <c r="L665" s="1160"/>
      <c r="M665" s="1160"/>
      <c r="N665" s="1160"/>
      <c r="O665" s="1160"/>
      <c r="P665" s="1159"/>
      <c r="Q665" s="1159"/>
      <c r="R665" s="1159"/>
    </row>
    <row r="666" spans="1:18">
      <c r="A666" s="1159"/>
      <c r="B666" s="1160"/>
      <c r="K666" s="1160"/>
      <c r="L666" s="1160"/>
      <c r="M666" s="1160"/>
      <c r="N666" s="1160"/>
      <c r="O666" s="1160"/>
      <c r="P666" s="1159"/>
      <c r="Q666" s="1159"/>
      <c r="R666" s="1159"/>
    </row>
    <row r="667" spans="1:18">
      <c r="A667" s="1159"/>
      <c r="B667" s="1160"/>
      <c r="K667" s="1160"/>
      <c r="L667" s="1160"/>
      <c r="M667" s="1160"/>
      <c r="N667" s="1160"/>
      <c r="O667" s="1160"/>
      <c r="P667" s="1159"/>
      <c r="Q667" s="1159"/>
      <c r="R667" s="1159"/>
    </row>
    <row r="668" spans="1:18">
      <c r="A668" s="1159"/>
      <c r="B668" s="1160"/>
      <c r="K668" s="1160"/>
      <c r="L668" s="1160"/>
      <c r="M668" s="1160"/>
      <c r="N668" s="1160"/>
      <c r="O668" s="1160"/>
      <c r="P668" s="1159"/>
      <c r="Q668" s="1159"/>
      <c r="R668" s="1159"/>
    </row>
    <row r="669" spans="1:18">
      <c r="A669" s="1159"/>
      <c r="B669" s="1160"/>
      <c r="K669" s="1160"/>
      <c r="L669" s="1160"/>
      <c r="M669" s="1160"/>
      <c r="N669" s="1160"/>
      <c r="O669" s="1160"/>
      <c r="P669" s="1159"/>
      <c r="Q669" s="1159"/>
      <c r="R669" s="1159"/>
    </row>
    <row r="670" spans="1:18">
      <c r="A670" s="1159"/>
      <c r="B670" s="1160"/>
      <c r="K670" s="1160"/>
      <c r="L670" s="1160"/>
      <c r="M670" s="1160"/>
      <c r="N670" s="1160"/>
      <c r="O670" s="1160"/>
      <c r="P670" s="1159"/>
      <c r="Q670" s="1159"/>
      <c r="R670" s="1159"/>
    </row>
    <row r="671" spans="1:18">
      <c r="A671" s="1159"/>
      <c r="B671" s="1160"/>
      <c r="K671" s="1160"/>
      <c r="L671" s="1160"/>
      <c r="M671" s="1160"/>
      <c r="N671" s="1160"/>
      <c r="O671" s="1160"/>
      <c r="P671" s="1159"/>
      <c r="Q671" s="1159"/>
      <c r="R671" s="1159"/>
    </row>
    <row r="672" spans="1:18">
      <c r="A672" s="1159"/>
      <c r="B672" s="1160"/>
      <c r="K672" s="1160"/>
      <c r="L672" s="1160"/>
      <c r="M672" s="1160"/>
      <c r="N672" s="1160"/>
      <c r="O672" s="1160"/>
      <c r="P672" s="1159"/>
      <c r="Q672" s="1159"/>
      <c r="R672" s="1159"/>
    </row>
    <row r="673" spans="1:18">
      <c r="A673" s="1159"/>
      <c r="B673" s="1160"/>
      <c r="K673" s="1160"/>
      <c r="L673" s="1160"/>
      <c r="M673" s="1160"/>
      <c r="N673" s="1160"/>
      <c r="O673" s="1160"/>
      <c r="P673" s="1159"/>
      <c r="Q673" s="1159"/>
      <c r="R673" s="1159"/>
    </row>
    <row r="674" spans="1:18">
      <c r="A674" s="1159"/>
      <c r="B674" s="1160"/>
      <c r="K674" s="1160"/>
      <c r="L674" s="1160"/>
      <c r="M674" s="1160"/>
      <c r="N674" s="1160"/>
      <c r="O674" s="1160"/>
      <c r="P674" s="1159"/>
      <c r="Q674" s="1159"/>
      <c r="R674" s="1159"/>
    </row>
    <row r="675" spans="1:18">
      <c r="A675" s="1159"/>
      <c r="B675" s="1160"/>
      <c r="K675" s="1160"/>
      <c r="L675" s="1160"/>
      <c r="M675" s="1160"/>
      <c r="N675" s="1160"/>
      <c r="O675" s="1160"/>
      <c r="P675" s="1159"/>
      <c r="Q675" s="1159"/>
      <c r="R675" s="1159"/>
    </row>
    <row r="676" spans="1:18">
      <c r="A676" s="1159"/>
      <c r="B676" s="1160"/>
      <c r="K676" s="1160"/>
      <c r="L676" s="1160"/>
      <c r="M676" s="1160"/>
      <c r="N676" s="1160"/>
      <c r="O676" s="1160"/>
      <c r="P676" s="1159"/>
      <c r="Q676" s="1159"/>
      <c r="R676" s="1159"/>
    </row>
    <row r="677" spans="1:18">
      <c r="A677" s="1159"/>
      <c r="B677" s="1160"/>
      <c r="K677" s="1160"/>
      <c r="L677" s="1160"/>
      <c r="M677" s="1160"/>
      <c r="N677" s="1160"/>
      <c r="O677" s="1160"/>
      <c r="P677" s="1159"/>
      <c r="Q677" s="1159"/>
      <c r="R677" s="1159"/>
    </row>
    <row r="678" spans="1:18">
      <c r="A678" s="1159"/>
      <c r="B678" s="1160"/>
      <c r="K678" s="1160"/>
      <c r="L678" s="1160"/>
      <c r="M678" s="1160"/>
      <c r="N678" s="1160"/>
      <c r="O678" s="1160"/>
      <c r="P678" s="1159"/>
      <c r="Q678" s="1159"/>
      <c r="R678" s="1159"/>
    </row>
    <row r="679" spans="1:18">
      <c r="A679" s="1159"/>
      <c r="B679" s="1160"/>
      <c r="K679" s="1160"/>
      <c r="L679" s="1160"/>
      <c r="M679" s="1160"/>
      <c r="N679" s="1160"/>
      <c r="O679" s="1160"/>
      <c r="P679" s="1159"/>
      <c r="Q679" s="1159"/>
      <c r="R679" s="1159"/>
    </row>
    <row r="680" spans="1:18">
      <c r="A680" s="1159"/>
      <c r="B680" s="1160"/>
      <c r="K680" s="1160"/>
      <c r="L680" s="1160"/>
      <c r="M680" s="1160"/>
      <c r="N680" s="1160"/>
      <c r="O680" s="1160"/>
      <c r="P680" s="1159"/>
      <c r="Q680" s="1159"/>
      <c r="R680" s="1159"/>
    </row>
    <row r="681" spans="1:18">
      <c r="A681" s="1159"/>
      <c r="B681" s="1160"/>
      <c r="K681" s="1160"/>
      <c r="L681" s="1160"/>
      <c r="M681" s="1160"/>
      <c r="N681" s="1160"/>
      <c r="O681" s="1160"/>
      <c r="P681" s="1159"/>
      <c r="Q681" s="1159"/>
      <c r="R681" s="1159"/>
    </row>
    <row r="682" spans="1:18">
      <c r="A682" s="1159"/>
      <c r="B682" s="1160"/>
      <c r="K682" s="1160"/>
      <c r="L682" s="1160"/>
      <c r="M682" s="1160"/>
      <c r="N682" s="1160"/>
      <c r="O682" s="1160"/>
      <c r="P682" s="1159"/>
      <c r="Q682" s="1159"/>
      <c r="R682" s="1159"/>
    </row>
    <row r="683" spans="1:18">
      <c r="A683" s="1159"/>
      <c r="B683" s="1160"/>
      <c r="K683" s="1160"/>
      <c r="L683" s="1160"/>
      <c r="M683" s="1160"/>
      <c r="N683" s="1160"/>
      <c r="O683" s="1160"/>
      <c r="P683" s="1159"/>
      <c r="Q683" s="1159"/>
      <c r="R683" s="1159"/>
    </row>
    <row r="684" spans="1:18">
      <c r="A684" s="1159"/>
      <c r="B684" s="1160"/>
      <c r="K684" s="1160"/>
      <c r="L684" s="1160"/>
      <c r="M684" s="1160"/>
      <c r="N684" s="1160"/>
      <c r="O684" s="1160"/>
      <c r="P684" s="1159"/>
      <c r="Q684" s="1159"/>
      <c r="R684" s="1159"/>
    </row>
    <row r="685" spans="1:18">
      <c r="A685" s="1159"/>
      <c r="B685" s="1160"/>
      <c r="K685" s="1160"/>
      <c r="L685" s="1160"/>
      <c r="M685" s="1160"/>
      <c r="N685" s="1160"/>
      <c r="O685" s="1160"/>
      <c r="P685" s="1159"/>
      <c r="Q685" s="1159"/>
      <c r="R685" s="1159"/>
    </row>
    <row r="686" spans="1:18">
      <c r="A686" s="1159"/>
      <c r="B686" s="1160"/>
      <c r="K686" s="1160"/>
      <c r="L686" s="1160"/>
      <c r="M686" s="1160"/>
      <c r="N686" s="1160"/>
      <c r="O686" s="1160"/>
      <c r="P686" s="1159"/>
      <c r="Q686" s="1159"/>
      <c r="R686" s="1159"/>
    </row>
    <row r="687" spans="1:18">
      <c r="A687" s="1159"/>
      <c r="B687" s="1160"/>
      <c r="K687" s="1160"/>
      <c r="L687" s="1160"/>
      <c r="M687" s="1160"/>
      <c r="N687" s="1160"/>
      <c r="O687" s="1160"/>
      <c r="P687" s="1159"/>
      <c r="Q687" s="1159"/>
      <c r="R687" s="1159"/>
    </row>
    <row r="688" spans="1:18">
      <c r="A688" s="1159"/>
      <c r="B688" s="1160"/>
      <c r="K688" s="1160"/>
      <c r="L688" s="1160"/>
      <c r="M688" s="1160"/>
      <c r="N688" s="1160"/>
      <c r="O688" s="1160"/>
      <c r="P688" s="1159"/>
      <c r="Q688" s="1159"/>
      <c r="R688" s="1159"/>
    </row>
    <row r="689" spans="1:18">
      <c r="A689" s="1159"/>
      <c r="B689" s="1160"/>
      <c r="K689" s="1160"/>
      <c r="L689" s="1160"/>
      <c r="M689" s="1160"/>
      <c r="N689" s="1160"/>
      <c r="O689" s="1160"/>
      <c r="P689" s="1159"/>
      <c r="Q689" s="1159"/>
      <c r="R689" s="1159"/>
    </row>
    <row r="690" spans="1:18">
      <c r="A690" s="1159"/>
      <c r="B690" s="1160"/>
      <c r="K690" s="1160"/>
      <c r="L690" s="1160"/>
      <c r="M690" s="1160"/>
      <c r="N690" s="1160"/>
      <c r="O690" s="1160"/>
      <c r="P690" s="1159"/>
      <c r="Q690" s="1159"/>
      <c r="R690" s="1159"/>
    </row>
    <row r="691" spans="1:18">
      <c r="A691" s="1159"/>
      <c r="B691" s="1160"/>
      <c r="K691" s="1160"/>
      <c r="L691" s="1160"/>
      <c r="M691" s="1160"/>
      <c r="N691" s="1160"/>
      <c r="O691" s="1160"/>
      <c r="P691" s="1159"/>
      <c r="Q691" s="1159"/>
      <c r="R691" s="1159"/>
    </row>
    <row r="692" spans="1:18">
      <c r="A692" s="1159"/>
      <c r="B692" s="1160"/>
      <c r="K692" s="1160"/>
      <c r="L692" s="1160"/>
      <c r="M692" s="1160"/>
      <c r="N692" s="1160"/>
      <c r="O692" s="1160"/>
      <c r="P692" s="1159"/>
      <c r="Q692" s="1159"/>
      <c r="R692" s="1159"/>
    </row>
    <row r="693" spans="1:18">
      <c r="A693" s="1159"/>
      <c r="B693" s="1160"/>
      <c r="K693" s="1160"/>
      <c r="L693" s="1160"/>
      <c r="M693" s="1160"/>
      <c r="N693" s="1160"/>
      <c r="O693" s="1160"/>
      <c r="P693" s="1159"/>
      <c r="Q693" s="1159"/>
      <c r="R693" s="1159"/>
    </row>
    <row r="694" spans="1:18">
      <c r="A694" s="1159"/>
      <c r="B694" s="1160"/>
      <c r="K694" s="1160"/>
      <c r="L694" s="1160"/>
      <c r="M694" s="1160"/>
      <c r="N694" s="1160"/>
      <c r="O694" s="1160"/>
      <c r="P694" s="1159"/>
      <c r="Q694" s="1159"/>
      <c r="R694" s="1159"/>
    </row>
    <row r="695" spans="1:18">
      <c r="A695" s="1159"/>
      <c r="B695" s="1160"/>
      <c r="K695" s="1160"/>
      <c r="L695" s="1160"/>
      <c r="M695" s="1160"/>
      <c r="N695" s="1160"/>
      <c r="O695" s="1160"/>
      <c r="P695" s="1159"/>
      <c r="Q695" s="1159"/>
      <c r="R695" s="1159"/>
    </row>
    <row r="696" spans="1:18">
      <c r="A696" s="1159"/>
      <c r="B696" s="1160"/>
      <c r="K696" s="1160"/>
      <c r="L696" s="1160"/>
      <c r="M696" s="1160"/>
      <c r="N696" s="1160"/>
      <c r="O696" s="1160"/>
      <c r="P696" s="1159"/>
      <c r="Q696" s="1159"/>
      <c r="R696" s="1159"/>
    </row>
    <row r="697" spans="1:18">
      <c r="A697" s="1159"/>
      <c r="B697" s="1160"/>
      <c r="K697" s="1160"/>
      <c r="L697" s="1160"/>
      <c r="M697" s="1160"/>
      <c r="N697" s="1160"/>
      <c r="O697" s="1160"/>
      <c r="P697" s="1159"/>
      <c r="Q697" s="1159"/>
      <c r="R697" s="1159"/>
    </row>
    <row r="698" spans="1:18">
      <c r="A698" s="1159"/>
      <c r="B698" s="1160"/>
      <c r="K698" s="1160"/>
      <c r="L698" s="1160"/>
      <c r="M698" s="1160"/>
      <c r="N698" s="1160"/>
      <c r="O698" s="1160"/>
      <c r="P698" s="1159"/>
      <c r="Q698" s="1159"/>
      <c r="R698" s="1159"/>
    </row>
    <row r="699" spans="1:18">
      <c r="A699" s="1159"/>
      <c r="B699" s="1160"/>
      <c r="K699" s="1160"/>
      <c r="L699" s="1160"/>
      <c r="M699" s="1160"/>
      <c r="N699" s="1160"/>
      <c r="O699" s="1160"/>
      <c r="P699" s="1159"/>
      <c r="Q699" s="1159"/>
      <c r="R699" s="1159"/>
    </row>
    <row r="700" spans="1:18">
      <c r="A700" s="1159"/>
      <c r="B700" s="1160"/>
      <c r="K700" s="1160"/>
      <c r="L700" s="1160"/>
      <c r="M700" s="1160"/>
      <c r="N700" s="1160"/>
      <c r="O700" s="1160"/>
      <c r="P700" s="1159"/>
      <c r="Q700" s="1159"/>
      <c r="R700" s="1159"/>
    </row>
    <row r="701" spans="1:18">
      <c r="A701" s="1159"/>
      <c r="B701" s="1160"/>
      <c r="K701" s="1160"/>
      <c r="L701" s="1160"/>
      <c r="M701" s="1160"/>
      <c r="N701" s="1160"/>
      <c r="O701" s="1160"/>
      <c r="P701" s="1159"/>
      <c r="Q701" s="1159"/>
      <c r="R701" s="1159"/>
    </row>
    <row r="702" spans="1:18">
      <c r="A702" s="1159"/>
      <c r="B702" s="1160"/>
      <c r="K702" s="1160"/>
      <c r="L702" s="1160"/>
      <c r="M702" s="1160"/>
      <c r="N702" s="1160"/>
      <c r="O702" s="1160"/>
      <c r="P702" s="1159"/>
      <c r="Q702" s="1159"/>
      <c r="R702" s="1159"/>
    </row>
    <row r="703" spans="1:18">
      <c r="A703" s="1159"/>
      <c r="B703" s="1160"/>
      <c r="K703" s="1160"/>
      <c r="L703" s="1160"/>
      <c r="M703" s="1160"/>
      <c r="N703" s="1160"/>
      <c r="O703" s="1160"/>
      <c r="P703" s="1159"/>
      <c r="Q703" s="1159"/>
      <c r="R703" s="1159"/>
    </row>
    <row r="704" spans="1:18">
      <c r="A704" s="1159"/>
      <c r="B704" s="1160"/>
      <c r="K704" s="1160"/>
      <c r="L704" s="1160"/>
      <c r="M704" s="1160"/>
      <c r="N704" s="1160"/>
      <c r="O704" s="1160"/>
      <c r="P704" s="1159"/>
      <c r="Q704" s="1159"/>
      <c r="R704" s="1159"/>
    </row>
    <row r="705" spans="1:18">
      <c r="A705" s="1159"/>
      <c r="B705" s="1160"/>
      <c r="K705" s="1160"/>
      <c r="L705" s="1160"/>
      <c r="M705" s="1160"/>
      <c r="N705" s="1160"/>
      <c r="O705" s="1160"/>
      <c r="P705" s="1159"/>
      <c r="Q705" s="1159"/>
      <c r="R705" s="1159"/>
    </row>
    <row r="706" spans="1:18">
      <c r="A706" s="1159"/>
      <c r="B706" s="1160"/>
      <c r="K706" s="1160"/>
      <c r="L706" s="1160"/>
      <c r="M706" s="1160"/>
      <c r="N706" s="1160"/>
      <c r="O706" s="1160"/>
      <c r="P706" s="1159"/>
      <c r="Q706" s="1159"/>
      <c r="R706" s="1159"/>
    </row>
    <row r="707" spans="1:18">
      <c r="A707" s="1159"/>
      <c r="B707" s="1160"/>
      <c r="K707" s="1160"/>
      <c r="L707" s="1160"/>
      <c r="M707" s="1160"/>
      <c r="N707" s="1160"/>
      <c r="O707" s="1160"/>
      <c r="P707" s="1159"/>
      <c r="Q707" s="1159"/>
      <c r="R707" s="1159"/>
    </row>
    <row r="708" spans="1:18">
      <c r="A708" s="1159"/>
      <c r="B708" s="1160"/>
      <c r="K708" s="1160"/>
      <c r="L708" s="1160"/>
      <c r="M708" s="1160"/>
      <c r="N708" s="1160"/>
      <c r="O708" s="1160"/>
      <c r="P708" s="1159"/>
      <c r="Q708" s="1159"/>
      <c r="R708" s="1159"/>
    </row>
    <row r="709" spans="1:18">
      <c r="A709" s="1159"/>
      <c r="B709" s="1160"/>
      <c r="K709" s="1160"/>
      <c r="L709" s="1160"/>
      <c r="M709" s="1160"/>
      <c r="N709" s="1160"/>
      <c r="O709" s="1160"/>
      <c r="P709" s="1159"/>
      <c r="Q709" s="1159"/>
      <c r="R709" s="1159"/>
    </row>
    <row r="710" spans="1:18">
      <c r="A710" s="1159"/>
      <c r="B710" s="1160"/>
      <c r="K710" s="1160"/>
      <c r="L710" s="1160"/>
      <c r="M710" s="1160"/>
      <c r="N710" s="1160"/>
      <c r="O710" s="1160"/>
      <c r="P710" s="1159"/>
      <c r="Q710" s="1159"/>
      <c r="R710" s="1159"/>
    </row>
    <row r="711" spans="1:18">
      <c r="A711" s="1159"/>
      <c r="B711" s="1160"/>
      <c r="K711" s="1160"/>
      <c r="L711" s="1160"/>
      <c r="M711" s="1160"/>
      <c r="N711" s="1160"/>
      <c r="O711" s="1160"/>
      <c r="P711" s="1159"/>
      <c r="Q711" s="1159"/>
      <c r="R711" s="1159"/>
    </row>
    <row r="712" spans="1:18">
      <c r="A712" s="1159"/>
      <c r="B712" s="1160"/>
      <c r="K712" s="1160"/>
      <c r="L712" s="1160"/>
      <c r="M712" s="1160"/>
      <c r="N712" s="1160"/>
      <c r="O712" s="1160"/>
      <c r="P712" s="1159"/>
      <c r="Q712" s="1159"/>
      <c r="R712" s="1159"/>
    </row>
    <row r="713" spans="1:18">
      <c r="A713" s="1159"/>
      <c r="B713" s="1160"/>
      <c r="K713" s="1160"/>
      <c r="L713" s="1160"/>
      <c r="M713" s="1160"/>
      <c r="N713" s="1160"/>
      <c r="O713" s="1160"/>
      <c r="P713" s="1159"/>
      <c r="Q713" s="1159"/>
      <c r="R713" s="1159"/>
    </row>
    <row r="714" spans="1:18">
      <c r="A714" s="1159"/>
      <c r="B714" s="1160"/>
      <c r="K714" s="1160"/>
      <c r="L714" s="1160"/>
      <c r="M714" s="1160"/>
      <c r="N714" s="1160"/>
      <c r="O714" s="1160"/>
      <c r="P714" s="1159"/>
      <c r="Q714" s="1159"/>
      <c r="R714" s="1159"/>
    </row>
    <row r="715" spans="1:18">
      <c r="A715" s="1159"/>
      <c r="B715" s="1160"/>
      <c r="K715" s="1160"/>
      <c r="L715" s="1160"/>
      <c r="M715" s="1160"/>
      <c r="N715" s="1160"/>
      <c r="O715" s="1160"/>
      <c r="P715" s="1159"/>
      <c r="Q715" s="1159"/>
      <c r="R715" s="1159"/>
    </row>
    <row r="716" spans="1:18">
      <c r="A716" s="1159"/>
      <c r="B716" s="1160"/>
      <c r="K716" s="1160"/>
      <c r="L716" s="1160"/>
      <c r="M716" s="1160"/>
      <c r="N716" s="1160"/>
      <c r="O716" s="1160"/>
      <c r="P716" s="1159"/>
      <c r="Q716" s="1159"/>
      <c r="R716" s="1159"/>
    </row>
    <row r="717" spans="1:18">
      <c r="A717" s="1159"/>
      <c r="B717" s="1160"/>
      <c r="K717" s="1160"/>
      <c r="L717" s="1160"/>
      <c r="M717" s="1160"/>
      <c r="N717" s="1160"/>
      <c r="O717" s="1160"/>
      <c r="P717" s="1159"/>
      <c r="Q717" s="1159"/>
      <c r="R717" s="1159"/>
    </row>
    <row r="718" spans="1:18">
      <c r="A718" s="1159"/>
      <c r="B718" s="1160"/>
      <c r="K718" s="1160"/>
      <c r="L718" s="1160"/>
      <c r="M718" s="1160"/>
      <c r="N718" s="1160"/>
      <c r="O718" s="1160"/>
      <c r="P718" s="1159"/>
      <c r="Q718" s="1159"/>
      <c r="R718" s="1159"/>
    </row>
    <row r="719" spans="1:18">
      <c r="A719" s="1159"/>
      <c r="B719" s="1160"/>
      <c r="K719" s="1160"/>
      <c r="L719" s="1160"/>
      <c r="M719" s="1160"/>
      <c r="N719" s="1160"/>
      <c r="O719" s="1160"/>
      <c r="P719" s="1159"/>
      <c r="Q719" s="1159"/>
      <c r="R719" s="1159"/>
    </row>
    <row r="720" spans="1:18">
      <c r="A720" s="1159"/>
      <c r="B720" s="1160"/>
      <c r="K720" s="1160"/>
      <c r="L720" s="1160"/>
      <c r="M720" s="1160"/>
      <c r="N720" s="1160"/>
      <c r="O720" s="1160"/>
      <c r="P720" s="1159"/>
      <c r="Q720" s="1159"/>
      <c r="R720" s="1159"/>
    </row>
    <row r="721" spans="1:18">
      <c r="A721" s="1159"/>
      <c r="B721" s="1160"/>
      <c r="K721" s="1160"/>
      <c r="L721" s="1160"/>
      <c r="M721" s="1160"/>
      <c r="N721" s="1160"/>
      <c r="O721" s="1160"/>
      <c r="P721" s="1159"/>
      <c r="Q721" s="1159"/>
      <c r="R721" s="1159"/>
    </row>
    <row r="722" spans="1:18">
      <c r="A722" s="1159"/>
      <c r="B722" s="1160"/>
      <c r="K722" s="1160"/>
      <c r="L722" s="1160"/>
      <c r="M722" s="1160"/>
      <c r="N722" s="1160"/>
      <c r="O722" s="1160"/>
      <c r="P722" s="1159"/>
      <c r="Q722" s="1159"/>
      <c r="R722" s="1159"/>
    </row>
    <row r="723" spans="1:18">
      <c r="A723" s="1159"/>
      <c r="B723" s="1160"/>
      <c r="K723" s="1160"/>
      <c r="L723" s="1160"/>
      <c r="M723" s="1160"/>
      <c r="N723" s="1160"/>
      <c r="O723" s="1160"/>
      <c r="P723" s="1159"/>
      <c r="Q723" s="1159"/>
      <c r="R723" s="1159"/>
    </row>
    <row r="724" spans="1:18">
      <c r="A724" s="1159"/>
      <c r="B724" s="1160"/>
      <c r="K724" s="1160"/>
      <c r="L724" s="1160"/>
      <c r="M724" s="1160"/>
      <c r="N724" s="1160"/>
      <c r="O724" s="1160"/>
      <c r="P724" s="1159"/>
      <c r="Q724" s="1159"/>
      <c r="R724" s="1159"/>
    </row>
    <row r="725" spans="1:18">
      <c r="A725" s="1159"/>
      <c r="B725" s="1160"/>
      <c r="K725" s="1160"/>
      <c r="L725" s="1160"/>
      <c r="M725" s="1160"/>
      <c r="N725" s="1160"/>
      <c r="O725" s="1160"/>
      <c r="P725" s="1159"/>
      <c r="Q725" s="1159"/>
      <c r="R725" s="1159"/>
    </row>
    <row r="726" spans="1:18">
      <c r="A726" s="1159"/>
      <c r="B726" s="1160"/>
      <c r="K726" s="1160"/>
      <c r="L726" s="1160"/>
      <c r="M726" s="1160"/>
      <c r="N726" s="1160"/>
      <c r="O726" s="1160"/>
      <c r="P726" s="1159"/>
      <c r="Q726" s="1159"/>
      <c r="R726" s="1159"/>
    </row>
    <row r="727" spans="1:18">
      <c r="A727" s="1159"/>
      <c r="B727" s="1160"/>
      <c r="K727" s="1160"/>
      <c r="L727" s="1160"/>
      <c r="M727" s="1160"/>
      <c r="N727" s="1160"/>
      <c r="O727" s="1160"/>
      <c r="P727" s="1159"/>
      <c r="Q727" s="1159"/>
      <c r="R727" s="1159"/>
    </row>
    <row r="728" spans="1:18">
      <c r="A728" s="1159"/>
      <c r="B728" s="1160"/>
      <c r="K728" s="1160"/>
      <c r="L728" s="1160"/>
      <c r="M728" s="1160"/>
      <c r="N728" s="1160"/>
      <c r="O728" s="1160"/>
      <c r="P728" s="1159"/>
      <c r="Q728" s="1159"/>
      <c r="R728" s="1159"/>
    </row>
    <row r="729" spans="1:18">
      <c r="A729" s="1159"/>
      <c r="B729" s="1160"/>
      <c r="K729" s="1160"/>
      <c r="L729" s="1160"/>
      <c r="M729" s="1160"/>
      <c r="N729" s="1160"/>
      <c r="O729" s="1160"/>
      <c r="P729" s="1159"/>
      <c r="Q729" s="1159"/>
      <c r="R729" s="1159"/>
    </row>
    <row r="730" spans="1:18">
      <c r="A730" s="1159"/>
      <c r="B730" s="1160"/>
      <c r="K730" s="1160"/>
      <c r="L730" s="1160"/>
      <c r="M730" s="1160"/>
      <c r="N730" s="1160"/>
      <c r="O730" s="1160"/>
      <c r="P730" s="1159"/>
      <c r="Q730" s="1159"/>
      <c r="R730" s="1159"/>
    </row>
    <row r="731" spans="1:18">
      <c r="A731" s="1159"/>
      <c r="B731" s="1160"/>
      <c r="K731" s="1160"/>
      <c r="L731" s="1160"/>
      <c r="M731" s="1160"/>
      <c r="N731" s="1160"/>
      <c r="O731" s="1160"/>
      <c r="P731" s="1159"/>
      <c r="Q731" s="1159"/>
      <c r="R731" s="1159"/>
    </row>
    <row r="732" spans="1:18">
      <c r="A732" s="1159"/>
      <c r="B732" s="1160"/>
      <c r="K732" s="1160"/>
      <c r="L732" s="1160"/>
      <c r="M732" s="1160"/>
      <c r="N732" s="1160"/>
      <c r="O732" s="1160"/>
      <c r="P732" s="1159"/>
      <c r="Q732" s="1159"/>
      <c r="R732" s="1159"/>
    </row>
    <row r="733" spans="1:18">
      <c r="A733" s="1159"/>
      <c r="B733" s="1160"/>
      <c r="K733" s="1160"/>
      <c r="L733" s="1160"/>
      <c r="M733" s="1160"/>
      <c r="N733" s="1160"/>
      <c r="O733" s="1160"/>
      <c r="P733" s="1159"/>
      <c r="Q733" s="1159"/>
      <c r="R733" s="1159"/>
    </row>
    <row r="734" spans="1:18">
      <c r="A734" s="1159"/>
      <c r="B734" s="1160"/>
      <c r="K734" s="1160"/>
      <c r="L734" s="1160"/>
      <c r="M734" s="1160"/>
      <c r="N734" s="1160"/>
      <c r="O734" s="1160"/>
      <c r="P734" s="1159"/>
      <c r="Q734" s="1159"/>
      <c r="R734" s="1159"/>
    </row>
    <row r="735" spans="1:18">
      <c r="A735" s="1159"/>
      <c r="B735" s="1160"/>
      <c r="K735" s="1160"/>
      <c r="L735" s="1160"/>
      <c r="M735" s="1160"/>
      <c r="N735" s="1160"/>
      <c r="O735" s="1160"/>
      <c r="P735" s="1159"/>
      <c r="Q735" s="1159"/>
      <c r="R735" s="1159"/>
    </row>
    <row r="736" spans="1:18">
      <c r="A736" s="1159"/>
      <c r="B736" s="1160"/>
      <c r="K736" s="1160"/>
      <c r="L736" s="1160"/>
      <c r="M736" s="1160"/>
      <c r="N736" s="1160"/>
      <c r="O736" s="1160"/>
      <c r="P736" s="1159"/>
      <c r="Q736" s="1159"/>
      <c r="R736" s="1159"/>
    </row>
    <row r="737" spans="1:18">
      <c r="A737" s="1159"/>
      <c r="B737" s="1160"/>
      <c r="K737" s="1160"/>
      <c r="L737" s="1160"/>
      <c r="M737" s="1160"/>
      <c r="N737" s="1160"/>
      <c r="O737" s="1160"/>
      <c r="P737" s="1159"/>
      <c r="Q737" s="1159"/>
      <c r="R737" s="1159"/>
    </row>
    <row r="738" spans="1:18">
      <c r="A738" s="1159"/>
      <c r="B738" s="1160"/>
      <c r="K738" s="1160"/>
      <c r="L738" s="1160"/>
      <c r="M738" s="1160"/>
      <c r="N738" s="1160"/>
      <c r="O738" s="1160"/>
      <c r="P738" s="1159"/>
      <c r="Q738" s="1159"/>
      <c r="R738" s="1159"/>
    </row>
    <row r="739" spans="1:18">
      <c r="A739" s="1159"/>
      <c r="B739" s="1160"/>
      <c r="K739" s="1160"/>
      <c r="L739" s="1160"/>
      <c r="M739" s="1160"/>
      <c r="N739" s="1160"/>
      <c r="O739" s="1160"/>
      <c r="P739" s="1159"/>
      <c r="Q739" s="1159"/>
      <c r="R739" s="1159"/>
    </row>
    <row r="740" spans="1:18">
      <c r="A740" s="1159"/>
      <c r="B740" s="1160"/>
      <c r="K740" s="1160"/>
      <c r="L740" s="1160"/>
      <c r="M740" s="1160"/>
      <c r="N740" s="1160"/>
      <c r="O740" s="1160"/>
      <c r="P740" s="1159"/>
      <c r="Q740" s="1159"/>
      <c r="R740" s="1159"/>
    </row>
    <row r="741" spans="1:18">
      <c r="A741" s="1159"/>
      <c r="B741" s="1160"/>
      <c r="K741" s="1160"/>
      <c r="L741" s="1160"/>
      <c r="M741" s="1160"/>
      <c r="N741" s="1160"/>
      <c r="O741" s="1160"/>
      <c r="P741" s="1159"/>
      <c r="Q741" s="1159"/>
      <c r="R741" s="1159"/>
    </row>
    <row r="742" spans="1:18">
      <c r="A742" s="1159"/>
      <c r="B742" s="1160"/>
      <c r="K742" s="1160"/>
      <c r="L742" s="1160"/>
      <c r="M742" s="1160"/>
      <c r="N742" s="1160"/>
      <c r="O742" s="1160"/>
      <c r="P742" s="1159"/>
      <c r="Q742" s="1159"/>
      <c r="R742" s="1159"/>
    </row>
    <row r="743" spans="1:18">
      <c r="A743" s="1159"/>
      <c r="B743" s="1160"/>
      <c r="K743" s="1160"/>
      <c r="L743" s="1160"/>
      <c r="M743" s="1160"/>
      <c r="N743" s="1160"/>
      <c r="O743" s="1160"/>
      <c r="P743" s="1159"/>
      <c r="Q743" s="1159"/>
      <c r="R743" s="1159"/>
    </row>
    <row r="744" spans="1:18">
      <c r="A744" s="1159"/>
      <c r="B744" s="1160"/>
      <c r="K744" s="1160"/>
      <c r="L744" s="1160"/>
      <c r="M744" s="1160"/>
      <c r="N744" s="1160"/>
      <c r="O744" s="1160"/>
      <c r="P744" s="1159"/>
      <c r="Q744" s="1159"/>
      <c r="R744" s="1159"/>
    </row>
    <row r="745" spans="1:18">
      <c r="A745" s="1159"/>
      <c r="B745" s="1160"/>
      <c r="K745" s="1160"/>
      <c r="L745" s="1160"/>
      <c r="M745" s="1160"/>
      <c r="N745" s="1160"/>
      <c r="O745" s="1160"/>
      <c r="P745" s="1159"/>
      <c r="Q745" s="1159"/>
      <c r="R745" s="1159"/>
    </row>
    <row r="746" spans="1:18">
      <c r="A746" s="1159"/>
      <c r="B746" s="1160"/>
      <c r="K746" s="1160"/>
      <c r="L746" s="1160"/>
      <c r="M746" s="1160"/>
      <c r="N746" s="1160"/>
      <c r="O746" s="1160"/>
      <c r="P746" s="1159"/>
      <c r="Q746" s="1159"/>
      <c r="R746" s="1159"/>
    </row>
    <row r="747" spans="1:18">
      <c r="A747" s="1159"/>
      <c r="B747" s="1160"/>
      <c r="K747" s="1160"/>
      <c r="L747" s="1160"/>
      <c r="M747" s="1160"/>
      <c r="N747" s="1160"/>
      <c r="O747" s="1160"/>
      <c r="P747" s="1159"/>
      <c r="Q747" s="1159"/>
      <c r="R747" s="1159"/>
    </row>
    <row r="748" spans="1:18">
      <c r="A748" s="1159"/>
      <c r="B748" s="1160"/>
      <c r="K748" s="1160"/>
      <c r="L748" s="1160"/>
      <c r="M748" s="1160"/>
      <c r="N748" s="1160"/>
      <c r="O748" s="1160"/>
      <c r="P748" s="1159"/>
      <c r="Q748" s="1159"/>
      <c r="R748" s="1159"/>
    </row>
    <row r="749" spans="1:18">
      <c r="A749" s="1159"/>
      <c r="B749" s="1160"/>
      <c r="K749" s="1160"/>
      <c r="L749" s="1160"/>
      <c r="M749" s="1160"/>
      <c r="N749" s="1160"/>
      <c r="O749" s="1160"/>
      <c r="P749" s="1159"/>
      <c r="Q749" s="1159"/>
      <c r="R749" s="1159"/>
    </row>
    <row r="750" spans="1:18">
      <c r="A750" s="1159"/>
      <c r="B750" s="1160"/>
      <c r="K750" s="1160"/>
      <c r="L750" s="1160"/>
      <c r="M750" s="1160"/>
      <c r="N750" s="1160"/>
      <c r="O750" s="1160"/>
      <c r="P750" s="1159"/>
      <c r="Q750" s="1159"/>
      <c r="R750" s="1159"/>
    </row>
    <row r="751" spans="1:18">
      <c r="A751" s="1159"/>
      <c r="B751" s="1160"/>
      <c r="K751" s="1160"/>
      <c r="L751" s="1160"/>
      <c r="M751" s="1160"/>
      <c r="N751" s="1160"/>
      <c r="O751" s="1160"/>
      <c r="P751" s="1159"/>
      <c r="Q751" s="1159"/>
      <c r="R751" s="1159"/>
    </row>
    <row r="752" spans="1:18">
      <c r="A752" s="1159"/>
      <c r="B752" s="1160"/>
      <c r="K752" s="1160"/>
      <c r="L752" s="1160"/>
      <c r="M752" s="1160"/>
      <c r="N752" s="1160"/>
      <c r="O752" s="1160"/>
      <c r="P752" s="1159"/>
      <c r="Q752" s="1159"/>
      <c r="R752" s="1159"/>
    </row>
    <row r="753" spans="1:18">
      <c r="A753" s="1159"/>
      <c r="B753" s="1160"/>
      <c r="K753" s="1160"/>
      <c r="L753" s="1160"/>
      <c r="M753" s="1160"/>
      <c r="N753" s="1160"/>
      <c r="O753" s="1160"/>
      <c r="P753" s="1159"/>
      <c r="Q753" s="1159"/>
      <c r="R753" s="1159"/>
    </row>
    <row r="754" spans="1:18">
      <c r="A754" s="1159"/>
      <c r="B754" s="1160"/>
      <c r="K754" s="1160"/>
      <c r="L754" s="1160"/>
      <c r="M754" s="1160"/>
      <c r="N754" s="1160"/>
      <c r="O754" s="1160"/>
      <c r="P754" s="1159"/>
      <c r="Q754" s="1159"/>
      <c r="R754" s="1159"/>
    </row>
    <row r="755" spans="1:18">
      <c r="A755" s="1159"/>
      <c r="B755" s="1160"/>
      <c r="K755" s="1160"/>
      <c r="L755" s="1160"/>
      <c r="M755" s="1160"/>
      <c r="N755" s="1160"/>
      <c r="O755" s="1160"/>
      <c r="P755" s="1159"/>
      <c r="Q755" s="1159"/>
      <c r="R755" s="1159"/>
    </row>
    <row r="756" spans="1:18">
      <c r="A756" s="1159"/>
      <c r="B756" s="1160"/>
      <c r="K756" s="1160"/>
      <c r="L756" s="1160"/>
      <c r="M756" s="1160"/>
      <c r="N756" s="1160"/>
      <c r="O756" s="1160"/>
      <c r="P756" s="1159"/>
      <c r="Q756" s="1159"/>
      <c r="R756" s="1159"/>
    </row>
    <row r="757" spans="1:18">
      <c r="A757" s="1159"/>
      <c r="B757" s="1160"/>
      <c r="K757" s="1160"/>
      <c r="L757" s="1160"/>
      <c r="M757" s="1160"/>
      <c r="N757" s="1160"/>
      <c r="O757" s="1160"/>
      <c r="P757" s="1159"/>
      <c r="Q757" s="1159"/>
      <c r="R757" s="1159"/>
    </row>
    <row r="758" spans="1:18">
      <c r="A758" s="1159"/>
      <c r="B758" s="1160"/>
      <c r="K758" s="1160"/>
      <c r="L758" s="1160"/>
      <c r="M758" s="1160"/>
      <c r="N758" s="1160"/>
      <c r="O758" s="1160"/>
      <c r="P758" s="1159"/>
      <c r="Q758" s="1159"/>
      <c r="R758" s="1159"/>
    </row>
    <row r="759" spans="1:18">
      <c r="A759" s="1159"/>
      <c r="B759" s="1160"/>
      <c r="K759" s="1160"/>
      <c r="L759" s="1160"/>
      <c r="M759" s="1160"/>
      <c r="N759" s="1160"/>
      <c r="O759" s="1160"/>
      <c r="P759" s="1159"/>
      <c r="Q759" s="1159"/>
      <c r="R759" s="1159"/>
    </row>
    <row r="760" spans="1:18">
      <c r="A760" s="1159"/>
      <c r="B760" s="1160"/>
      <c r="K760" s="1160"/>
      <c r="L760" s="1160"/>
      <c r="M760" s="1160"/>
      <c r="N760" s="1160"/>
      <c r="O760" s="1160"/>
      <c r="P760" s="1159"/>
      <c r="Q760" s="1159"/>
      <c r="R760" s="1159"/>
    </row>
    <row r="761" spans="1:18">
      <c r="A761" s="1159"/>
      <c r="B761" s="1160"/>
      <c r="K761" s="1160"/>
      <c r="L761" s="1160"/>
      <c r="M761" s="1160"/>
      <c r="N761" s="1160"/>
      <c r="O761" s="1160"/>
      <c r="P761" s="1159"/>
      <c r="Q761" s="1159"/>
      <c r="R761" s="1159"/>
    </row>
    <row r="762" spans="1:18">
      <c r="A762" s="1159"/>
      <c r="B762" s="1160"/>
      <c r="K762" s="1160"/>
      <c r="L762" s="1160"/>
      <c r="M762" s="1160"/>
      <c r="N762" s="1160"/>
      <c r="O762" s="1160"/>
      <c r="P762" s="1159"/>
      <c r="Q762" s="1159"/>
      <c r="R762" s="1159"/>
    </row>
    <row r="763" spans="1:18">
      <c r="A763" s="1159"/>
      <c r="B763" s="1160"/>
      <c r="K763" s="1160"/>
      <c r="L763" s="1160"/>
      <c r="M763" s="1160"/>
      <c r="N763" s="1160"/>
      <c r="O763" s="1160"/>
      <c r="P763" s="1159"/>
      <c r="Q763" s="1159"/>
      <c r="R763" s="1159"/>
    </row>
    <row r="764" spans="1:18">
      <c r="A764" s="1159"/>
      <c r="B764" s="1160"/>
      <c r="K764" s="1160"/>
      <c r="L764" s="1160"/>
      <c r="M764" s="1160"/>
      <c r="N764" s="1160"/>
      <c r="O764" s="1160"/>
      <c r="P764" s="1159"/>
      <c r="Q764" s="1159"/>
      <c r="R764" s="1159"/>
    </row>
    <row r="765" spans="1:18">
      <c r="A765" s="1159"/>
      <c r="B765" s="1160"/>
      <c r="K765" s="1160"/>
      <c r="L765" s="1160"/>
      <c r="M765" s="1160"/>
      <c r="N765" s="1160"/>
      <c r="O765" s="1160"/>
      <c r="P765" s="1159"/>
      <c r="Q765" s="1159"/>
      <c r="R765" s="1159"/>
    </row>
    <row r="766" spans="1:18">
      <c r="A766" s="1159"/>
      <c r="B766" s="1160"/>
      <c r="K766" s="1160"/>
      <c r="L766" s="1160"/>
      <c r="M766" s="1160"/>
      <c r="N766" s="1160"/>
      <c r="O766" s="1160"/>
      <c r="P766" s="1159"/>
      <c r="Q766" s="1159"/>
      <c r="R766" s="1159"/>
    </row>
    <row r="767" spans="1:18">
      <c r="A767" s="1159"/>
      <c r="B767" s="1160"/>
      <c r="K767" s="1160"/>
      <c r="L767" s="1160"/>
      <c r="M767" s="1160"/>
      <c r="N767" s="1160"/>
      <c r="O767" s="1160"/>
      <c r="P767" s="1159"/>
      <c r="Q767" s="1159"/>
      <c r="R767" s="1159"/>
    </row>
    <row r="768" spans="1:18">
      <c r="A768" s="1159"/>
      <c r="B768" s="1160"/>
      <c r="K768" s="1160"/>
      <c r="L768" s="1160"/>
      <c r="M768" s="1160"/>
      <c r="N768" s="1160"/>
      <c r="O768" s="1160"/>
      <c r="P768" s="1159"/>
      <c r="Q768" s="1159"/>
      <c r="R768" s="1159"/>
    </row>
    <row r="769" spans="1:18">
      <c r="A769" s="1159"/>
      <c r="B769" s="1160"/>
      <c r="K769" s="1160"/>
      <c r="L769" s="1160"/>
      <c r="M769" s="1160"/>
      <c r="N769" s="1160"/>
      <c r="O769" s="1160"/>
      <c r="P769" s="1159"/>
      <c r="Q769" s="1159"/>
      <c r="R769" s="1159"/>
    </row>
    <row r="770" spans="1:18">
      <c r="A770" s="1159"/>
      <c r="B770" s="1160"/>
      <c r="K770" s="1160"/>
      <c r="L770" s="1160"/>
      <c r="M770" s="1160"/>
      <c r="N770" s="1160"/>
      <c r="O770" s="1160"/>
      <c r="P770" s="1159"/>
      <c r="Q770" s="1159"/>
      <c r="R770" s="1159"/>
    </row>
    <row r="771" spans="1:18">
      <c r="A771" s="1159"/>
      <c r="B771" s="1160"/>
      <c r="K771" s="1160"/>
      <c r="L771" s="1160"/>
      <c r="M771" s="1160"/>
      <c r="N771" s="1160"/>
      <c r="O771" s="1160"/>
      <c r="P771" s="1159"/>
      <c r="Q771" s="1159"/>
      <c r="R771" s="1159"/>
    </row>
    <row r="772" spans="1:18">
      <c r="A772" s="1159"/>
      <c r="B772" s="1160"/>
      <c r="K772" s="1160"/>
      <c r="L772" s="1160"/>
      <c r="M772" s="1160"/>
      <c r="N772" s="1160"/>
      <c r="O772" s="1160"/>
      <c r="P772" s="1159"/>
      <c r="Q772" s="1159"/>
      <c r="R772" s="1159"/>
    </row>
    <row r="773" spans="1:18">
      <c r="A773" s="1159"/>
      <c r="B773" s="1160"/>
      <c r="K773" s="1160"/>
      <c r="L773" s="1160"/>
      <c r="M773" s="1160"/>
      <c r="N773" s="1160"/>
      <c r="O773" s="1160"/>
      <c r="P773" s="1159"/>
      <c r="Q773" s="1159"/>
      <c r="R773" s="1159"/>
    </row>
    <row r="774" spans="1:18">
      <c r="A774" s="1159"/>
      <c r="B774" s="1160"/>
      <c r="K774" s="1160"/>
      <c r="L774" s="1160"/>
      <c r="M774" s="1160"/>
      <c r="N774" s="1160"/>
      <c r="O774" s="1160"/>
      <c r="P774" s="1159"/>
      <c r="Q774" s="1159"/>
      <c r="R774" s="1159"/>
    </row>
    <row r="775" spans="1:18">
      <c r="A775" s="1159"/>
      <c r="B775" s="1160"/>
      <c r="K775" s="1160"/>
      <c r="L775" s="1160"/>
      <c r="M775" s="1160"/>
      <c r="N775" s="1160"/>
      <c r="O775" s="1160"/>
      <c r="P775" s="1159"/>
      <c r="Q775" s="1159"/>
      <c r="R775" s="1159"/>
    </row>
    <row r="776" spans="1:18">
      <c r="A776" s="1159"/>
      <c r="B776" s="1160"/>
      <c r="K776" s="1160"/>
      <c r="L776" s="1160"/>
      <c r="M776" s="1160"/>
      <c r="N776" s="1160"/>
      <c r="O776" s="1160"/>
      <c r="P776" s="1159"/>
      <c r="Q776" s="1159"/>
      <c r="R776" s="1159"/>
    </row>
    <row r="777" spans="1:18">
      <c r="A777" s="1159"/>
      <c r="B777" s="1160"/>
      <c r="K777" s="1160"/>
      <c r="L777" s="1160"/>
      <c r="M777" s="1160"/>
      <c r="N777" s="1160"/>
      <c r="O777" s="1160"/>
      <c r="P777" s="1159"/>
      <c r="Q777" s="1159"/>
      <c r="R777" s="1159"/>
    </row>
    <row r="778" spans="1:18">
      <c r="A778" s="1159"/>
      <c r="B778" s="1160"/>
      <c r="K778" s="1160"/>
      <c r="L778" s="1160"/>
      <c r="M778" s="1160"/>
      <c r="N778" s="1160"/>
      <c r="O778" s="1160"/>
      <c r="P778" s="1159"/>
      <c r="Q778" s="1159"/>
      <c r="R778" s="1159"/>
    </row>
    <row r="779" spans="1:18">
      <c r="A779" s="1159"/>
      <c r="B779" s="1160"/>
      <c r="K779" s="1160"/>
      <c r="L779" s="1160"/>
      <c r="M779" s="1160"/>
      <c r="N779" s="1160"/>
      <c r="O779" s="1160"/>
      <c r="P779" s="1159"/>
      <c r="Q779" s="1159"/>
      <c r="R779" s="1159"/>
    </row>
    <row r="780" spans="1:18">
      <c r="A780" s="1159"/>
      <c r="B780" s="1160"/>
      <c r="K780" s="1160"/>
      <c r="L780" s="1160"/>
      <c r="M780" s="1160"/>
      <c r="N780" s="1160"/>
      <c r="O780" s="1160"/>
      <c r="P780" s="1159"/>
      <c r="Q780" s="1159"/>
      <c r="R780" s="1159"/>
    </row>
    <row r="781" spans="1:18">
      <c r="A781" s="1159"/>
      <c r="B781" s="1160"/>
      <c r="K781" s="1160"/>
      <c r="L781" s="1160"/>
      <c r="M781" s="1160"/>
      <c r="N781" s="1160"/>
      <c r="O781" s="1160"/>
      <c r="P781" s="1159"/>
      <c r="Q781" s="1159"/>
      <c r="R781" s="1159"/>
    </row>
    <row r="782" spans="1:18">
      <c r="A782" s="1159"/>
      <c r="B782" s="1160"/>
      <c r="K782" s="1160"/>
      <c r="L782" s="1160"/>
      <c r="M782" s="1160"/>
      <c r="N782" s="1160"/>
      <c r="O782" s="1160"/>
      <c r="P782" s="1159"/>
      <c r="Q782" s="1159"/>
      <c r="R782" s="1159"/>
    </row>
    <row r="783" spans="1:18">
      <c r="A783" s="1159"/>
      <c r="B783" s="1160"/>
      <c r="K783" s="1160"/>
      <c r="L783" s="1160"/>
      <c r="M783" s="1160"/>
      <c r="N783" s="1160"/>
      <c r="O783" s="1160"/>
      <c r="P783" s="1159"/>
      <c r="Q783" s="1159"/>
      <c r="R783" s="1159"/>
    </row>
    <row r="784" spans="1:18">
      <c r="A784" s="1159"/>
      <c r="B784" s="1160"/>
      <c r="K784" s="1160"/>
      <c r="L784" s="1160"/>
      <c r="M784" s="1160"/>
      <c r="N784" s="1160"/>
      <c r="O784" s="1160"/>
      <c r="P784" s="1159"/>
      <c r="Q784" s="1159"/>
      <c r="R784" s="1159"/>
    </row>
    <row r="785" spans="1:18">
      <c r="A785" s="1159"/>
      <c r="B785" s="1160"/>
      <c r="K785" s="1160"/>
      <c r="L785" s="1160"/>
      <c r="M785" s="1160"/>
      <c r="N785" s="1160"/>
      <c r="O785" s="1160"/>
      <c r="P785" s="1159"/>
      <c r="Q785" s="1159"/>
      <c r="R785" s="1159"/>
    </row>
    <row r="786" spans="1:18">
      <c r="A786" s="1159"/>
      <c r="B786" s="1160"/>
      <c r="K786" s="1160"/>
      <c r="L786" s="1160"/>
      <c r="M786" s="1160"/>
      <c r="N786" s="1160"/>
      <c r="O786" s="1160"/>
      <c r="P786" s="1159"/>
      <c r="Q786" s="1159"/>
      <c r="R786" s="1159"/>
    </row>
    <row r="787" spans="1:18">
      <c r="A787" s="1159"/>
      <c r="B787" s="1160"/>
      <c r="K787" s="1160"/>
      <c r="L787" s="1160"/>
      <c r="M787" s="1160"/>
      <c r="N787" s="1160"/>
      <c r="O787" s="1160"/>
      <c r="P787" s="1159"/>
      <c r="Q787" s="1159"/>
      <c r="R787" s="1159"/>
    </row>
    <row r="788" spans="1:18">
      <c r="A788" s="1159"/>
      <c r="B788" s="1160"/>
      <c r="K788" s="1160"/>
      <c r="L788" s="1160"/>
      <c r="M788" s="1160"/>
      <c r="N788" s="1160"/>
      <c r="O788" s="1160"/>
      <c r="P788" s="1159"/>
      <c r="Q788" s="1159"/>
      <c r="R788" s="1159"/>
    </row>
    <row r="789" spans="1:18">
      <c r="A789" s="1159"/>
      <c r="B789" s="1160"/>
      <c r="K789" s="1160"/>
      <c r="L789" s="1160"/>
      <c r="M789" s="1160"/>
      <c r="N789" s="1160"/>
      <c r="O789" s="1160"/>
      <c r="P789" s="1159"/>
      <c r="Q789" s="1159"/>
      <c r="R789" s="1159"/>
    </row>
    <row r="790" spans="1:18">
      <c r="A790" s="1159"/>
      <c r="B790" s="1160"/>
      <c r="K790" s="1160"/>
      <c r="L790" s="1160"/>
      <c r="M790" s="1160"/>
      <c r="N790" s="1160"/>
      <c r="O790" s="1160"/>
      <c r="P790" s="1159"/>
      <c r="Q790" s="1159"/>
      <c r="R790" s="1159"/>
    </row>
    <row r="791" spans="1:18">
      <c r="A791" s="1159"/>
      <c r="B791" s="1160"/>
      <c r="K791" s="1160"/>
      <c r="L791" s="1160"/>
      <c r="M791" s="1160"/>
      <c r="N791" s="1160"/>
      <c r="O791" s="1160"/>
      <c r="P791" s="1159"/>
      <c r="Q791" s="1159"/>
      <c r="R791" s="1159"/>
    </row>
    <row r="792" spans="1:18">
      <c r="A792" s="1159"/>
      <c r="B792" s="1160"/>
      <c r="K792" s="1160"/>
      <c r="L792" s="1160"/>
      <c r="M792" s="1160"/>
      <c r="N792" s="1160"/>
      <c r="O792" s="1160"/>
      <c r="P792" s="1159"/>
      <c r="Q792" s="1159"/>
      <c r="R792" s="1159"/>
    </row>
    <row r="793" spans="1:18">
      <c r="A793" s="1159"/>
      <c r="B793" s="1160"/>
      <c r="K793" s="1160"/>
      <c r="L793" s="1160"/>
      <c r="M793" s="1160"/>
      <c r="N793" s="1160"/>
      <c r="O793" s="1160"/>
      <c r="P793" s="1159"/>
      <c r="Q793" s="1159"/>
      <c r="R793" s="1159"/>
    </row>
    <row r="794" spans="1:18">
      <c r="A794" s="1159"/>
      <c r="B794" s="1160"/>
      <c r="K794" s="1160"/>
      <c r="L794" s="1160"/>
      <c r="M794" s="1160"/>
      <c r="N794" s="1160"/>
      <c r="O794" s="1160"/>
      <c r="P794" s="1159"/>
      <c r="Q794" s="1159"/>
      <c r="R794" s="1159"/>
    </row>
    <row r="795" spans="1:18">
      <c r="A795" s="1159"/>
      <c r="B795" s="1160"/>
      <c r="K795" s="1160"/>
      <c r="L795" s="1160"/>
      <c r="M795" s="1160"/>
      <c r="N795" s="1160"/>
      <c r="O795" s="1160"/>
      <c r="P795" s="1159"/>
      <c r="Q795" s="1159"/>
      <c r="R795" s="1159"/>
    </row>
    <row r="796" spans="1:18">
      <c r="A796" s="1159"/>
      <c r="B796" s="1160"/>
      <c r="K796" s="1160"/>
      <c r="L796" s="1160"/>
      <c r="M796" s="1160"/>
      <c r="N796" s="1160"/>
      <c r="O796" s="1160"/>
      <c r="P796" s="1159"/>
      <c r="Q796" s="1159"/>
      <c r="R796" s="1159"/>
    </row>
    <row r="797" spans="1:18">
      <c r="A797" s="1159"/>
      <c r="B797" s="1160"/>
      <c r="K797" s="1160"/>
      <c r="L797" s="1160"/>
      <c r="M797" s="1160"/>
      <c r="N797" s="1160"/>
      <c r="O797" s="1160"/>
      <c r="P797" s="1159"/>
      <c r="Q797" s="1159"/>
      <c r="R797" s="1159"/>
    </row>
    <row r="798" spans="1:18">
      <c r="A798" s="1159"/>
      <c r="B798" s="1160"/>
      <c r="K798" s="1160"/>
      <c r="L798" s="1160"/>
      <c r="M798" s="1160"/>
      <c r="N798" s="1160"/>
      <c r="O798" s="1160"/>
      <c r="P798" s="1159"/>
      <c r="Q798" s="1159"/>
      <c r="R798" s="1159"/>
    </row>
    <row r="799" spans="1:18">
      <c r="A799" s="1159"/>
      <c r="B799" s="1160"/>
      <c r="K799" s="1160"/>
      <c r="L799" s="1160"/>
      <c r="M799" s="1160"/>
      <c r="N799" s="1160"/>
      <c r="O799" s="1160"/>
      <c r="P799" s="1159"/>
      <c r="Q799" s="1159"/>
      <c r="R799" s="1159"/>
    </row>
    <row r="800" spans="1:18">
      <c r="A800" s="1159"/>
      <c r="B800" s="1160"/>
      <c r="K800" s="1160"/>
      <c r="L800" s="1160"/>
      <c r="M800" s="1160"/>
      <c r="N800" s="1160"/>
      <c r="O800" s="1160"/>
      <c r="P800" s="1159"/>
      <c r="Q800" s="1159"/>
      <c r="R800" s="1159"/>
    </row>
    <row r="801" spans="1:18">
      <c r="A801" s="1159"/>
      <c r="B801" s="1160"/>
      <c r="K801" s="1160"/>
      <c r="L801" s="1160"/>
      <c r="M801" s="1160"/>
      <c r="N801" s="1160"/>
      <c r="O801" s="1160"/>
      <c r="P801" s="1159"/>
      <c r="Q801" s="1159"/>
      <c r="R801" s="1159"/>
    </row>
    <row r="802" spans="1:18">
      <c r="A802" s="1159"/>
      <c r="B802" s="1160"/>
      <c r="K802" s="1160"/>
      <c r="L802" s="1160"/>
      <c r="M802" s="1160"/>
      <c r="N802" s="1160"/>
      <c r="O802" s="1160"/>
      <c r="P802" s="1159"/>
      <c r="Q802" s="1159"/>
      <c r="R802" s="1159"/>
    </row>
    <row r="803" spans="1:18">
      <c r="A803" s="1159"/>
      <c r="B803" s="1160"/>
      <c r="K803" s="1160"/>
      <c r="L803" s="1160"/>
      <c r="M803" s="1160"/>
      <c r="N803" s="1160"/>
      <c r="O803" s="1160"/>
      <c r="P803" s="1159"/>
      <c r="Q803" s="1159"/>
      <c r="R803" s="1159"/>
    </row>
    <row r="804" spans="1:18">
      <c r="A804" s="1159"/>
      <c r="B804" s="1160"/>
      <c r="K804" s="1160"/>
      <c r="L804" s="1160"/>
      <c r="M804" s="1160"/>
      <c r="N804" s="1160"/>
      <c r="O804" s="1160"/>
      <c r="P804" s="1159"/>
      <c r="Q804" s="1159"/>
      <c r="R804" s="1159"/>
    </row>
    <row r="805" spans="1:18">
      <c r="A805" s="1159"/>
      <c r="B805" s="1160"/>
      <c r="K805" s="1160"/>
      <c r="L805" s="1160"/>
      <c r="M805" s="1160"/>
      <c r="N805" s="1160"/>
      <c r="O805" s="1160"/>
      <c r="P805" s="1159"/>
      <c r="Q805" s="1159"/>
      <c r="R805" s="1159"/>
    </row>
    <row r="806" spans="1:18">
      <c r="A806" s="1159"/>
      <c r="B806" s="1160"/>
      <c r="K806" s="1160"/>
      <c r="L806" s="1160"/>
      <c r="M806" s="1160"/>
      <c r="N806" s="1160"/>
      <c r="O806" s="1160"/>
      <c r="P806" s="1159"/>
      <c r="Q806" s="1159"/>
      <c r="R806" s="1159"/>
    </row>
    <row r="807" spans="1:18">
      <c r="A807" s="1159"/>
      <c r="B807" s="1160"/>
      <c r="K807" s="1160"/>
      <c r="L807" s="1160"/>
      <c r="M807" s="1160"/>
      <c r="N807" s="1160"/>
      <c r="O807" s="1160"/>
      <c r="P807" s="1159"/>
      <c r="Q807" s="1159"/>
      <c r="R807" s="1159"/>
    </row>
    <row r="808" spans="1:18">
      <c r="A808" s="1159"/>
      <c r="B808" s="1160"/>
      <c r="K808" s="1160"/>
      <c r="L808" s="1160"/>
      <c r="M808" s="1160"/>
      <c r="N808" s="1160"/>
      <c r="O808" s="1160"/>
      <c r="P808" s="1159"/>
      <c r="Q808" s="1159"/>
      <c r="R808" s="1159"/>
    </row>
    <row r="809" spans="1:18">
      <c r="A809" s="1159"/>
      <c r="B809" s="1160"/>
      <c r="K809" s="1160"/>
      <c r="L809" s="1160"/>
      <c r="M809" s="1160"/>
      <c r="N809" s="1160"/>
      <c r="O809" s="1160"/>
      <c r="P809" s="1159"/>
      <c r="Q809" s="1159"/>
      <c r="R809" s="1159"/>
    </row>
    <row r="810" spans="1:18">
      <c r="A810" s="1159"/>
      <c r="B810" s="1160"/>
      <c r="K810" s="1160"/>
      <c r="L810" s="1160"/>
      <c r="M810" s="1160"/>
      <c r="N810" s="1160"/>
      <c r="O810" s="1160"/>
      <c r="P810" s="1159"/>
      <c r="Q810" s="1159"/>
      <c r="R810" s="1159"/>
    </row>
    <row r="811" spans="1:18">
      <c r="A811" s="1159"/>
      <c r="B811" s="1160"/>
      <c r="K811" s="1160"/>
      <c r="L811" s="1160"/>
      <c r="M811" s="1160"/>
      <c r="N811" s="1160"/>
      <c r="O811" s="1160"/>
      <c r="P811" s="1159"/>
      <c r="Q811" s="1159"/>
      <c r="R811" s="1159"/>
    </row>
    <row r="812" spans="1:18">
      <c r="A812" s="1159"/>
      <c r="B812" s="1160"/>
      <c r="K812" s="1160"/>
      <c r="L812" s="1160"/>
      <c r="M812" s="1160"/>
      <c r="N812" s="1160"/>
      <c r="O812" s="1160"/>
      <c r="P812" s="1159"/>
      <c r="Q812" s="1159"/>
      <c r="R812" s="1159"/>
    </row>
    <row r="813" spans="1:18">
      <c r="A813" s="1159"/>
      <c r="B813" s="1160"/>
      <c r="K813" s="1160"/>
      <c r="L813" s="1160"/>
      <c r="M813" s="1160"/>
      <c r="N813" s="1160"/>
      <c r="O813" s="1160"/>
      <c r="P813" s="1159"/>
      <c r="Q813" s="1159"/>
      <c r="R813" s="1159"/>
    </row>
    <row r="814" spans="1:18">
      <c r="A814" s="1159"/>
      <c r="B814" s="1160"/>
      <c r="K814" s="1160"/>
      <c r="L814" s="1160"/>
      <c r="M814" s="1160"/>
      <c r="N814" s="1160"/>
      <c r="O814" s="1160"/>
      <c r="P814" s="1159"/>
      <c r="Q814" s="1159"/>
      <c r="R814" s="1159"/>
    </row>
    <row r="815" spans="1:18">
      <c r="A815" s="1159"/>
      <c r="B815" s="1160"/>
      <c r="K815" s="1160"/>
      <c r="L815" s="1160"/>
      <c r="M815" s="1160"/>
      <c r="N815" s="1160"/>
      <c r="O815" s="1160"/>
      <c r="P815" s="1159"/>
      <c r="Q815" s="1159"/>
      <c r="R815" s="1159"/>
    </row>
    <row r="816" spans="1:18">
      <c r="A816" s="1159"/>
      <c r="B816" s="1160"/>
      <c r="K816" s="1160"/>
      <c r="L816" s="1160"/>
      <c r="M816" s="1160"/>
      <c r="N816" s="1160"/>
      <c r="O816" s="1160"/>
      <c r="P816" s="1159"/>
      <c r="Q816" s="1159"/>
      <c r="R816" s="1159"/>
    </row>
    <row r="817" spans="1:18">
      <c r="A817" s="1159"/>
      <c r="B817" s="1160"/>
      <c r="K817" s="1160"/>
      <c r="L817" s="1160"/>
      <c r="M817" s="1160"/>
      <c r="N817" s="1160"/>
      <c r="O817" s="1160"/>
      <c r="P817" s="1159"/>
      <c r="Q817" s="1159"/>
      <c r="R817" s="1159"/>
    </row>
    <row r="818" spans="1:18">
      <c r="A818" s="1159"/>
      <c r="B818" s="1160"/>
      <c r="K818" s="1160"/>
      <c r="L818" s="1160"/>
      <c r="M818" s="1160"/>
      <c r="N818" s="1160"/>
      <c r="O818" s="1160"/>
      <c r="P818" s="1159"/>
      <c r="Q818" s="1159"/>
      <c r="R818" s="1159"/>
    </row>
    <row r="819" spans="1:18">
      <c r="A819" s="1159"/>
      <c r="B819" s="1160"/>
      <c r="K819" s="1160"/>
      <c r="L819" s="1160"/>
      <c r="M819" s="1160"/>
      <c r="N819" s="1160"/>
      <c r="O819" s="1160"/>
      <c r="P819" s="1159"/>
      <c r="Q819" s="1159"/>
      <c r="R819" s="1159"/>
    </row>
    <row r="820" spans="1:18">
      <c r="A820" s="1159"/>
      <c r="B820" s="1160"/>
      <c r="K820" s="1160"/>
      <c r="L820" s="1160"/>
      <c r="M820" s="1160"/>
      <c r="N820" s="1160"/>
      <c r="O820" s="1160"/>
      <c r="P820" s="1159"/>
      <c r="Q820" s="1159"/>
      <c r="R820" s="1159"/>
    </row>
    <row r="821" spans="1:18">
      <c r="A821" s="1159"/>
      <c r="B821" s="1160"/>
      <c r="K821" s="1160"/>
      <c r="L821" s="1160"/>
      <c r="M821" s="1160"/>
      <c r="N821" s="1160"/>
      <c r="O821" s="1160"/>
      <c r="P821" s="1159"/>
      <c r="Q821" s="1159"/>
      <c r="R821" s="1159"/>
    </row>
    <row r="822" spans="1:18">
      <c r="A822" s="1159"/>
      <c r="B822" s="1160"/>
      <c r="K822" s="1160"/>
      <c r="L822" s="1160"/>
      <c r="M822" s="1160"/>
      <c r="N822" s="1160"/>
      <c r="O822" s="1160"/>
      <c r="P822" s="1159"/>
      <c r="Q822" s="1159"/>
      <c r="R822" s="1159"/>
    </row>
    <row r="823" spans="1:18">
      <c r="A823" s="1159"/>
      <c r="B823" s="1160"/>
      <c r="K823" s="1160"/>
      <c r="L823" s="1160"/>
      <c r="M823" s="1160"/>
      <c r="N823" s="1160"/>
      <c r="O823" s="1160"/>
      <c r="P823" s="1159"/>
      <c r="Q823" s="1159"/>
      <c r="R823" s="1159"/>
    </row>
    <row r="824" spans="1:18">
      <c r="A824" s="1159"/>
      <c r="B824" s="1160"/>
      <c r="K824" s="1160"/>
      <c r="L824" s="1160"/>
      <c r="M824" s="1160"/>
      <c r="N824" s="1160"/>
      <c r="O824" s="1160"/>
      <c r="P824" s="1159"/>
      <c r="Q824" s="1159"/>
      <c r="R824" s="1159"/>
    </row>
    <row r="825" spans="1:18">
      <c r="A825" s="1159"/>
      <c r="B825" s="1160"/>
      <c r="K825" s="1160"/>
      <c r="L825" s="1160"/>
      <c r="M825" s="1160"/>
      <c r="N825" s="1160"/>
      <c r="O825" s="1160"/>
      <c r="P825" s="1159"/>
      <c r="Q825" s="1159"/>
      <c r="R825" s="1159"/>
    </row>
    <row r="826" spans="1:18">
      <c r="A826" s="1159"/>
      <c r="B826" s="1160"/>
      <c r="K826" s="1160"/>
      <c r="L826" s="1160"/>
      <c r="M826" s="1160"/>
      <c r="N826" s="1160"/>
      <c r="O826" s="1160"/>
      <c r="P826" s="1159"/>
      <c r="Q826" s="1159"/>
      <c r="R826" s="1159"/>
    </row>
    <row r="827" spans="1:18">
      <c r="A827" s="1159"/>
      <c r="B827" s="1160"/>
      <c r="K827" s="1160"/>
      <c r="L827" s="1160"/>
      <c r="M827" s="1160"/>
      <c r="N827" s="1160"/>
      <c r="O827" s="1160"/>
      <c r="P827" s="1159"/>
      <c r="Q827" s="1159"/>
      <c r="R827" s="1159"/>
    </row>
    <row r="828" spans="1:18">
      <c r="A828" s="1159"/>
      <c r="B828" s="1160"/>
      <c r="K828" s="1160"/>
      <c r="L828" s="1160"/>
      <c r="M828" s="1160"/>
      <c r="N828" s="1160"/>
      <c r="O828" s="1160"/>
      <c r="P828" s="1159"/>
      <c r="Q828" s="1159"/>
      <c r="R828" s="1159"/>
    </row>
    <row r="829" spans="1:18">
      <c r="A829" s="1159"/>
      <c r="B829" s="1160"/>
      <c r="K829" s="1160"/>
      <c r="L829" s="1160"/>
      <c r="M829" s="1160"/>
      <c r="N829" s="1160"/>
      <c r="O829" s="1160"/>
      <c r="P829" s="1159"/>
      <c r="Q829" s="1159"/>
      <c r="R829" s="1159"/>
    </row>
    <row r="830" spans="1:18">
      <c r="A830" s="1159"/>
      <c r="B830" s="1160"/>
      <c r="K830" s="1160"/>
      <c r="L830" s="1160"/>
      <c r="M830" s="1160"/>
      <c r="N830" s="1160"/>
      <c r="O830" s="1160"/>
      <c r="P830" s="1159"/>
      <c r="Q830" s="1159"/>
      <c r="R830" s="1159"/>
    </row>
    <row r="831" spans="1:18">
      <c r="A831" s="1159"/>
      <c r="B831" s="1160"/>
      <c r="K831" s="1160"/>
      <c r="L831" s="1160"/>
      <c r="M831" s="1160"/>
      <c r="N831" s="1160"/>
      <c r="O831" s="1160"/>
      <c r="P831" s="1159"/>
      <c r="Q831" s="1159"/>
      <c r="R831" s="1159"/>
    </row>
    <row r="832" spans="1:18">
      <c r="A832" s="1159"/>
      <c r="B832" s="1160"/>
      <c r="K832" s="1160"/>
      <c r="L832" s="1160"/>
      <c r="M832" s="1160"/>
      <c r="N832" s="1160"/>
      <c r="O832" s="1160"/>
      <c r="P832" s="1159"/>
      <c r="Q832" s="1159"/>
      <c r="R832" s="1159"/>
    </row>
    <row r="833" spans="1:18">
      <c r="A833" s="1159"/>
      <c r="B833" s="1160"/>
      <c r="K833" s="1160"/>
      <c r="L833" s="1160"/>
      <c r="M833" s="1160"/>
      <c r="N833" s="1160"/>
      <c r="O833" s="1160"/>
      <c r="P833" s="1159"/>
      <c r="Q833" s="1159"/>
      <c r="R833" s="1159"/>
    </row>
    <row r="834" spans="1:18">
      <c r="A834" s="1159"/>
      <c r="B834" s="1160"/>
      <c r="K834" s="1160"/>
      <c r="L834" s="1160"/>
      <c r="M834" s="1160"/>
      <c r="N834" s="1160"/>
      <c r="O834" s="1160"/>
      <c r="P834" s="1159"/>
      <c r="Q834" s="1159"/>
      <c r="R834" s="1159"/>
    </row>
    <row r="835" spans="1:18">
      <c r="A835" s="1159"/>
      <c r="B835" s="1160"/>
      <c r="K835" s="1160"/>
      <c r="L835" s="1160"/>
      <c r="M835" s="1160"/>
      <c r="N835" s="1160"/>
      <c r="O835" s="1160"/>
      <c r="P835" s="1159"/>
      <c r="Q835" s="1159"/>
      <c r="R835" s="1159"/>
    </row>
    <row r="836" spans="1:18">
      <c r="A836" s="1159"/>
      <c r="B836" s="1160"/>
      <c r="K836" s="1160"/>
      <c r="L836" s="1160"/>
      <c r="M836" s="1160"/>
      <c r="N836" s="1160"/>
      <c r="O836" s="1160"/>
      <c r="P836" s="1159"/>
      <c r="Q836" s="1159"/>
      <c r="R836" s="1159"/>
    </row>
    <row r="837" spans="1:18">
      <c r="A837" s="1159"/>
      <c r="B837" s="1160"/>
      <c r="K837" s="1160"/>
      <c r="L837" s="1160"/>
      <c r="M837" s="1160"/>
      <c r="N837" s="1160"/>
      <c r="O837" s="1160"/>
      <c r="P837" s="1159"/>
      <c r="Q837" s="1159"/>
      <c r="R837" s="1159"/>
    </row>
    <row r="838" spans="1:18">
      <c r="A838" s="1159"/>
      <c r="B838" s="1160"/>
      <c r="K838" s="1160"/>
      <c r="L838" s="1160"/>
      <c r="M838" s="1160"/>
      <c r="N838" s="1160"/>
      <c r="O838" s="1160"/>
      <c r="P838" s="1159"/>
      <c r="Q838" s="1159"/>
      <c r="R838" s="1159"/>
    </row>
    <row r="839" spans="1:18">
      <c r="A839" s="1159"/>
      <c r="B839" s="1160"/>
      <c r="K839" s="1160"/>
      <c r="L839" s="1160"/>
      <c r="M839" s="1160"/>
      <c r="N839" s="1160"/>
      <c r="O839" s="1160"/>
      <c r="P839" s="1159"/>
      <c r="Q839" s="1159"/>
      <c r="R839" s="1159"/>
    </row>
    <row r="840" spans="1:18">
      <c r="A840" s="1159"/>
      <c r="B840" s="1160"/>
      <c r="K840" s="1160"/>
      <c r="L840" s="1160"/>
      <c r="M840" s="1160"/>
      <c r="N840" s="1160"/>
      <c r="O840" s="1160"/>
      <c r="P840" s="1159"/>
      <c r="Q840" s="1159"/>
      <c r="R840" s="1159"/>
    </row>
    <row r="841" spans="1:18">
      <c r="A841" s="1159"/>
      <c r="B841" s="1160"/>
      <c r="K841" s="1160"/>
      <c r="L841" s="1160"/>
      <c r="M841" s="1160"/>
      <c r="N841" s="1160"/>
      <c r="O841" s="1160"/>
      <c r="P841" s="1159"/>
      <c r="Q841" s="1159"/>
      <c r="R841" s="1159"/>
    </row>
    <row r="842" spans="1:18">
      <c r="A842" s="1159"/>
      <c r="B842" s="1160"/>
      <c r="K842" s="1160"/>
      <c r="L842" s="1160"/>
      <c r="M842" s="1160"/>
      <c r="N842" s="1160"/>
      <c r="O842" s="1160"/>
      <c r="P842" s="1159"/>
      <c r="Q842" s="1159"/>
      <c r="R842" s="1159"/>
    </row>
    <row r="843" spans="1:18">
      <c r="A843" s="1159"/>
      <c r="B843" s="1160"/>
      <c r="K843" s="1160"/>
      <c r="L843" s="1160"/>
      <c r="M843" s="1160"/>
      <c r="N843" s="1160"/>
      <c r="O843" s="1160"/>
      <c r="P843" s="1159"/>
      <c r="Q843" s="1159"/>
      <c r="R843" s="1159"/>
    </row>
    <row r="844" spans="1:18">
      <c r="A844" s="1159"/>
      <c r="B844" s="1160"/>
      <c r="K844" s="1160"/>
      <c r="L844" s="1160"/>
      <c r="M844" s="1160"/>
      <c r="N844" s="1160"/>
      <c r="O844" s="1160"/>
      <c r="P844" s="1159"/>
      <c r="Q844" s="1159"/>
      <c r="R844" s="1159"/>
    </row>
    <row r="845" spans="1:18">
      <c r="A845" s="1159"/>
      <c r="B845" s="1160"/>
      <c r="K845" s="1160"/>
      <c r="L845" s="1160"/>
      <c r="M845" s="1160"/>
      <c r="N845" s="1160"/>
      <c r="O845" s="1160"/>
      <c r="P845" s="1159"/>
      <c r="Q845" s="1159"/>
      <c r="R845" s="1159"/>
    </row>
    <row r="846" spans="1:18">
      <c r="A846" s="1159"/>
      <c r="B846" s="1160"/>
      <c r="K846" s="1160"/>
      <c r="L846" s="1160"/>
      <c r="M846" s="1160"/>
      <c r="N846" s="1160"/>
      <c r="O846" s="1160"/>
      <c r="P846" s="1159"/>
      <c r="Q846" s="1159"/>
      <c r="R846" s="1159"/>
    </row>
    <row r="847" spans="1:18">
      <c r="A847" s="1159"/>
      <c r="B847" s="1160"/>
      <c r="K847" s="1160"/>
      <c r="L847" s="1160"/>
      <c r="M847" s="1160"/>
      <c r="N847" s="1160"/>
      <c r="O847" s="1160"/>
      <c r="P847" s="1159"/>
      <c r="Q847" s="1159"/>
      <c r="R847" s="1159"/>
    </row>
    <row r="848" spans="1:18">
      <c r="A848" s="1159"/>
      <c r="B848" s="1160"/>
      <c r="K848" s="1160"/>
      <c r="L848" s="1160"/>
      <c r="M848" s="1160"/>
      <c r="N848" s="1160"/>
      <c r="O848" s="1160"/>
      <c r="P848" s="1159"/>
      <c r="Q848" s="1159"/>
      <c r="R848" s="1159"/>
    </row>
    <row r="849" spans="1:18">
      <c r="A849" s="1159"/>
      <c r="B849" s="1160"/>
      <c r="K849" s="1160"/>
      <c r="L849" s="1160"/>
      <c r="M849" s="1160"/>
      <c r="N849" s="1160"/>
      <c r="O849" s="1160"/>
      <c r="P849" s="1159"/>
      <c r="Q849" s="1159"/>
      <c r="R849" s="1159"/>
    </row>
    <row r="850" spans="1:18">
      <c r="A850" s="1159"/>
      <c r="B850" s="1160"/>
      <c r="K850" s="1160"/>
      <c r="L850" s="1160"/>
      <c r="M850" s="1160"/>
      <c r="N850" s="1160"/>
      <c r="O850" s="1160"/>
      <c r="P850" s="1159"/>
      <c r="Q850" s="1159"/>
      <c r="R850" s="1159"/>
    </row>
    <row r="851" spans="1:18">
      <c r="A851" s="1159"/>
      <c r="B851" s="1160"/>
      <c r="K851" s="1160"/>
      <c r="L851" s="1160"/>
      <c r="M851" s="1160"/>
      <c r="N851" s="1160"/>
      <c r="O851" s="1160"/>
      <c r="P851" s="1159"/>
      <c r="Q851" s="1159"/>
      <c r="R851" s="1159"/>
    </row>
    <row r="852" spans="1:18">
      <c r="A852" s="1159"/>
      <c r="B852" s="1160"/>
      <c r="K852" s="1160"/>
      <c r="L852" s="1160"/>
      <c r="M852" s="1160"/>
      <c r="N852" s="1160"/>
      <c r="O852" s="1160"/>
      <c r="P852" s="1159"/>
      <c r="Q852" s="1159"/>
      <c r="R852" s="1159"/>
    </row>
    <row r="853" spans="1:18">
      <c r="A853" s="1159"/>
      <c r="B853" s="1160"/>
      <c r="K853" s="1160"/>
      <c r="L853" s="1160"/>
      <c r="M853" s="1160"/>
      <c r="N853" s="1160"/>
      <c r="O853" s="1160"/>
      <c r="P853" s="1159"/>
      <c r="Q853" s="1159"/>
      <c r="R853" s="1159"/>
    </row>
    <row r="854" spans="1:18">
      <c r="A854" s="1159"/>
      <c r="B854" s="1160"/>
      <c r="K854" s="1160"/>
      <c r="L854" s="1160"/>
      <c r="M854" s="1160"/>
      <c r="N854" s="1160"/>
      <c r="O854" s="1160"/>
      <c r="P854" s="1159"/>
      <c r="Q854" s="1159"/>
      <c r="R854" s="1159"/>
    </row>
    <row r="855" spans="1:18">
      <c r="A855" s="1159"/>
      <c r="B855" s="1160"/>
      <c r="K855" s="1160"/>
      <c r="L855" s="1160"/>
      <c r="M855" s="1160"/>
      <c r="N855" s="1160"/>
      <c r="O855" s="1160"/>
      <c r="P855" s="1159"/>
      <c r="Q855" s="1159"/>
      <c r="R855" s="1159"/>
    </row>
    <row r="856" spans="1:18">
      <c r="A856" s="1159"/>
      <c r="B856" s="1160"/>
      <c r="K856" s="1160"/>
      <c r="L856" s="1160"/>
      <c r="M856" s="1160"/>
      <c r="N856" s="1160"/>
      <c r="O856" s="1160"/>
      <c r="P856" s="1159"/>
      <c r="Q856" s="1159"/>
      <c r="R856" s="1159"/>
    </row>
    <row r="857" spans="1:18">
      <c r="A857" s="1159"/>
      <c r="B857" s="1160"/>
      <c r="K857" s="1160"/>
      <c r="L857" s="1160"/>
      <c r="M857" s="1160"/>
      <c r="N857" s="1160"/>
      <c r="O857" s="1160"/>
      <c r="P857" s="1159"/>
      <c r="Q857" s="1159"/>
      <c r="R857" s="1159"/>
    </row>
    <row r="858" spans="1:18">
      <c r="A858" s="1159"/>
      <c r="B858" s="1160"/>
      <c r="K858" s="1160"/>
      <c r="L858" s="1160"/>
      <c r="M858" s="1160"/>
      <c r="N858" s="1160"/>
      <c r="O858" s="1160"/>
      <c r="P858" s="1159"/>
      <c r="Q858" s="1159"/>
      <c r="R858" s="1159"/>
    </row>
    <row r="859" spans="1:18">
      <c r="A859" s="1159"/>
      <c r="B859" s="1160"/>
      <c r="K859" s="1160"/>
      <c r="L859" s="1160"/>
      <c r="M859" s="1160"/>
      <c r="N859" s="1160"/>
      <c r="O859" s="1160"/>
      <c r="P859" s="1159"/>
      <c r="Q859" s="1159"/>
      <c r="R859" s="1159"/>
    </row>
    <row r="860" spans="1:18">
      <c r="A860" s="1159"/>
      <c r="B860" s="1160"/>
      <c r="K860" s="1160"/>
      <c r="L860" s="1160"/>
      <c r="M860" s="1160"/>
      <c r="N860" s="1160"/>
      <c r="O860" s="1160"/>
      <c r="P860" s="1159"/>
      <c r="Q860" s="1159"/>
      <c r="R860" s="1159"/>
    </row>
    <row r="861" spans="1:18">
      <c r="A861" s="1159"/>
      <c r="B861" s="1160"/>
      <c r="K861" s="1160"/>
      <c r="L861" s="1160"/>
      <c r="M861" s="1160"/>
      <c r="N861" s="1160"/>
      <c r="O861" s="1160"/>
      <c r="P861" s="1159"/>
      <c r="Q861" s="1159"/>
      <c r="R861" s="1159"/>
    </row>
    <row r="862" spans="1:18">
      <c r="A862" s="1159"/>
      <c r="B862" s="1160"/>
      <c r="K862" s="1160"/>
      <c r="L862" s="1160"/>
      <c r="M862" s="1160"/>
      <c r="N862" s="1160"/>
      <c r="O862" s="1160"/>
      <c r="P862" s="1159"/>
      <c r="Q862" s="1159"/>
      <c r="R862" s="1159"/>
    </row>
    <row r="863" spans="1:18">
      <c r="A863" s="1159"/>
      <c r="B863" s="1160"/>
      <c r="K863" s="1160"/>
      <c r="L863" s="1160"/>
      <c r="M863" s="1160"/>
      <c r="N863" s="1160"/>
      <c r="O863" s="1160"/>
      <c r="P863" s="1159"/>
      <c r="Q863" s="1159"/>
      <c r="R863" s="1159"/>
    </row>
    <row r="864" spans="1:18">
      <c r="A864" s="1159"/>
      <c r="B864" s="1160"/>
      <c r="K864" s="1160"/>
      <c r="L864" s="1160"/>
      <c r="M864" s="1160"/>
      <c r="N864" s="1160"/>
      <c r="O864" s="1160"/>
      <c r="P864" s="1159"/>
      <c r="Q864" s="1159"/>
      <c r="R864" s="1159"/>
    </row>
    <row r="865" spans="1:18">
      <c r="A865" s="1159"/>
      <c r="B865" s="1160"/>
      <c r="K865" s="1160"/>
      <c r="L865" s="1160"/>
      <c r="M865" s="1160"/>
      <c r="N865" s="1160"/>
      <c r="O865" s="1160"/>
      <c r="P865" s="1159"/>
      <c r="Q865" s="1159"/>
      <c r="R865" s="1159"/>
    </row>
    <row r="866" spans="1:18">
      <c r="A866" s="1159"/>
      <c r="B866" s="1160"/>
      <c r="K866" s="1160"/>
      <c r="L866" s="1160"/>
      <c r="M866" s="1160"/>
      <c r="N866" s="1160"/>
      <c r="O866" s="1160"/>
      <c r="P866" s="1159"/>
      <c r="Q866" s="1159"/>
      <c r="R866" s="1159"/>
    </row>
    <row r="867" spans="1:18">
      <c r="A867" s="1159"/>
      <c r="B867" s="1160"/>
      <c r="K867" s="1160"/>
      <c r="L867" s="1160"/>
      <c r="M867" s="1160"/>
      <c r="N867" s="1160"/>
      <c r="O867" s="1160"/>
      <c r="P867" s="1159"/>
      <c r="Q867" s="1159"/>
      <c r="R867" s="1159"/>
    </row>
    <row r="868" spans="1:18">
      <c r="A868" s="1159"/>
      <c r="B868" s="1160"/>
      <c r="K868" s="1160"/>
      <c r="L868" s="1160"/>
      <c r="M868" s="1160"/>
      <c r="N868" s="1160"/>
      <c r="O868" s="1160"/>
      <c r="P868" s="1159"/>
      <c r="Q868" s="1159"/>
      <c r="R868" s="1159"/>
    </row>
    <row r="869" spans="1:18">
      <c r="A869" s="1159"/>
      <c r="B869" s="1160"/>
      <c r="K869" s="1160"/>
      <c r="L869" s="1160"/>
      <c r="M869" s="1160"/>
      <c r="N869" s="1160"/>
      <c r="O869" s="1160"/>
      <c r="P869" s="1159"/>
      <c r="Q869" s="1159"/>
      <c r="R869" s="1159"/>
    </row>
    <row r="870" spans="1:18">
      <c r="A870" s="1159"/>
      <c r="B870" s="1160"/>
      <c r="K870" s="1160"/>
      <c r="L870" s="1160"/>
      <c r="M870" s="1160"/>
      <c r="N870" s="1160"/>
      <c r="O870" s="1160"/>
      <c r="P870" s="1159"/>
      <c r="Q870" s="1159"/>
      <c r="R870" s="1159"/>
    </row>
    <row r="871" spans="1:18">
      <c r="A871" s="1159"/>
      <c r="B871" s="1160"/>
      <c r="K871" s="1160"/>
      <c r="L871" s="1160"/>
      <c r="M871" s="1160"/>
      <c r="N871" s="1160"/>
      <c r="O871" s="1160"/>
      <c r="P871" s="1159"/>
      <c r="Q871" s="1159"/>
      <c r="R871" s="1159"/>
    </row>
    <row r="872" spans="1:18">
      <c r="A872" s="1159"/>
      <c r="B872" s="1160"/>
      <c r="K872" s="1160"/>
      <c r="L872" s="1160"/>
      <c r="M872" s="1160"/>
      <c r="N872" s="1160"/>
      <c r="O872" s="1160"/>
      <c r="P872" s="1159"/>
      <c r="Q872" s="1159"/>
      <c r="R872" s="1159"/>
    </row>
    <row r="873" spans="1:18">
      <c r="A873" s="1159"/>
      <c r="B873" s="1160"/>
      <c r="K873" s="1160"/>
      <c r="L873" s="1160"/>
      <c r="M873" s="1160"/>
      <c r="N873" s="1160"/>
      <c r="O873" s="1160"/>
      <c r="P873" s="1159"/>
      <c r="Q873" s="1159"/>
      <c r="R873" s="1159"/>
    </row>
    <row r="874" spans="1:18">
      <c r="A874" s="1159"/>
      <c r="B874" s="1160"/>
      <c r="K874" s="1160"/>
      <c r="L874" s="1160"/>
      <c r="M874" s="1160"/>
      <c r="N874" s="1160"/>
      <c r="O874" s="1160"/>
      <c r="P874" s="1159"/>
      <c r="Q874" s="1159"/>
      <c r="R874" s="1159"/>
    </row>
    <row r="875" spans="1:18">
      <c r="A875" s="1159"/>
      <c r="B875" s="1160"/>
      <c r="K875" s="1160"/>
      <c r="L875" s="1160"/>
      <c r="M875" s="1160"/>
      <c r="N875" s="1160"/>
      <c r="O875" s="1160"/>
      <c r="P875" s="1159"/>
      <c r="Q875" s="1159"/>
      <c r="R875" s="1159"/>
    </row>
    <row r="876" spans="1:18">
      <c r="A876" s="1159"/>
      <c r="B876" s="1160"/>
      <c r="K876" s="1160"/>
      <c r="L876" s="1160"/>
      <c r="M876" s="1160"/>
      <c r="N876" s="1160"/>
      <c r="O876" s="1160"/>
      <c r="P876" s="1159"/>
      <c r="Q876" s="1159"/>
      <c r="R876" s="1159"/>
    </row>
    <row r="877" spans="1:18">
      <c r="A877" s="1159"/>
      <c r="B877" s="1160"/>
      <c r="K877" s="1160"/>
      <c r="L877" s="1160"/>
      <c r="M877" s="1160"/>
      <c r="N877" s="1160"/>
      <c r="O877" s="1160"/>
      <c r="P877" s="1159"/>
      <c r="Q877" s="1159"/>
      <c r="R877" s="1159"/>
    </row>
    <row r="878" spans="1:18">
      <c r="A878" s="1159"/>
      <c r="B878" s="1160"/>
      <c r="K878" s="1160"/>
      <c r="L878" s="1160"/>
      <c r="M878" s="1160"/>
      <c r="N878" s="1160"/>
      <c r="O878" s="1160"/>
      <c r="P878" s="1159"/>
      <c r="Q878" s="1159"/>
      <c r="R878" s="1159"/>
    </row>
    <row r="879" spans="1:18">
      <c r="A879" s="1159"/>
      <c r="B879" s="1160"/>
      <c r="K879" s="1160"/>
      <c r="L879" s="1160"/>
      <c r="M879" s="1160"/>
      <c r="N879" s="1160"/>
      <c r="O879" s="1160"/>
      <c r="P879" s="1159"/>
      <c r="Q879" s="1159"/>
      <c r="R879" s="1159"/>
    </row>
    <row r="880" spans="1:18">
      <c r="A880" s="1159"/>
      <c r="B880" s="1160"/>
      <c r="K880" s="1160"/>
      <c r="L880" s="1160"/>
      <c r="M880" s="1160"/>
      <c r="N880" s="1160"/>
      <c r="O880" s="1160"/>
      <c r="P880" s="1159"/>
      <c r="Q880" s="1159"/>
      <c r="R880" s="1159"/>
    </row>
    <row r="881" spans="1:18">
      <c r="A881" s="1159"/>
      <c r="B881" s="1160"/>
      <c r="K881" s="1160"/>
      <c r="L881" s="1160"/>
      <c r="M881" s="1160"/>
      <c r="N881" s="1160"/>
      <c r="O881" s="1160"/>
      <c r="P881" s="1159"/>
      <c r="Q881" s="1159"/>
      <c r="R881" s="1159"/>
    </row>
    <row r="882" spans="1:18">
      <c r="A882" s="1159"/>
      <c r="B882" s="1160"/>
      <c r="K882" s="1160"/>
      <c r="L882" s="1160"/>
      <c r="M882" s="1160"/>
      <c r="N882" s="1160"/>
      <c r="O882" s="1160"/>
      <c r="P882" s="1159"/>
      <c r="Q882" s="1159"/>
      <c r="R882" s="1159"/>
    </row>
    <row r="883" spans="1:18">
      <c r="A883" s="1159"/>
      <c r="B883" s="1160"/>
      <c r="K883" s="1160"/>
      <c r="L883" s="1160"/>
      <c r="M883" s="1160"/>
      <c r="N883" s="1160"/>
      <c r="O883" s="1160"/>
      <c r="P883" s="1159"/>
      <c r="Q883" s="1159"/>
      <c r="R883" s="1159"/>
    </row>
    <row r="884" spans="1:18">
      <c r="A884" s="1159"/>
      <c r="B884" s="1160"/>
      <c r="K884" s="1160"/>
      <c r="L884" s="1160"/>
      <c r="M884" s="1160"/>
      <c r="N884" s="1160"/>
      <c r="O884" s="1160"/>
      <c r="P884" s="1159"/>
      <c r="Q884" s="1159"/>
      <c r="R884" s="1159"/>
    </row>
    <row r="885" spans="1:18">
      <c r="A885" s="1159"/>
      <c r="B885" s="1160"/>
      <c r="K885" s="1160"/>
      <c r="L885" s="1160"/>
      <c r="M885" s="1160"/>
      <c r="N885" s="1160"/>
      <c r="O885" s="1160"/>
      <c r="P885" s="1159"/>
      <c r="Q885" s="1159"/>
      <c r="R885" s="1159"/>
    </row>
    <row r="886" spans="1:18">
      <c r="A886" s="1159"/>
      <c r="B886" s="1160"/>
      <c r="K886" s="1160"/>
      <c r="L886" s="1160"/>
      <c r="M886" s="1160"/>
      <c r="N886" s="1160"/>
      <c r="O886" s="1160"/>
      <c r="P886" s="1159"/>
      <c r="Q886" s="1159"/>
      <c r="R886" s="1159"/>
    </row>
    <row r="887" spans="1:18">
      <c r="A887" s="1159"/>
      <c r="B887" s="1160"/>
      <c r="K887" s="1160"/>
      <c r="L887" s="1160"/>
      <c r="M887" s="1160"/>
      <c r="N887" s="1160"/>
      <c r="O887" s="1160"/>
      <c r="P887" s="1159"/>
      <c r="Q887" s="1159"/>
      <c r="R887" s="1159"/>
    </row>
    <row r="888" spans="1:18">
      <c r="A888" s="1159"/>
      <c r="B888" s="1160"/>
      <c r="K888" s="1160"/>
      <c r="L888" s="1160"/>
      <c r="M888" s="1160"/>
      <c r="N888" s="1160"/>
      <c r="O888" s="1160"/>
      <c r="P888" s="1159"/>
      <c r="Q888" s="1159"/>
      <c r="R888" s="1159"/>
    </row>
    <row r="889" spans="1:18">
      <c r="A889" s="1159"/>
      <c r="B889" s="1160"/>
      <c r="K889" s="1160"/>
      <c r="L889" s="1160"/>
      <c r="M889" s="1160"/>
      <c r="N889" s="1160"/>
      <c r="O889" s="1160"/>
      <c r="P889" s="1159"/>
      <c r="Q889" s="1159"/>
      <c r="R889" s="1159"/>
    </row>
    <row r="890" spans="1:18">
      <c r="A890" s="1159"/>
      <c r="B890" s="1160"/>
      <c r="K890" s="1160"/>
      <c r="L890" s="1160"/>
      <c r="M890" s="1160"/>
      <c r="N890" s="1160"/>
      <c r="O890" s="1160"/>
      <c r="P890" s="1159"/>
      <c r="Q890" s="1159"/>
      <c r="R890" s="1159"/>
    </row>
    <row r="891" spans="1:18">
      <c r="A891" s="1159"/>
      <c r="B891" s="1160"/>
      <c r="K891" s="1160"/>
      <c r="L891" s="1160"/>
      <c r="M891" s="1160"/>
      <c r="N891" s="1160"/>
      <c r="O891" s="1160"/>
      <c r="P891" s="1159"/>
      <c r="Q891" s="1159"/>
      <c r="R891" s="1159"/>
    </row>
    <row r="892" spans="1:18">
      <c r="A892" s="1159"/>
      <c r="B892" s="1160"/>
      <c r="K892" s="1160"/>
      <c r="L892" s="1160"/>
      <c r="M892" s="1160"/>
      <c r="N892" s="1160"/>
      <c r="O892" s="1160"/>
      <c r="P892" s="1159"/>
      <c r="Q892" s="1159"/>
      <c r="R892" s="1159"/>
    </row>
    <row r="893" spans="1:18">
      <c r="A893" s="1159"/>
      <c r="B893" s="1160"/>
      <c r="K893" s="1160"/>
      <c r="L893" s="1160"/>
      <c r="M893" s="1160"/>
      <c r="N893" s="1160"/>
      <c r="O893" s="1160"/>
      <c r="P893" s="1159"/>
      <c r="Q893" s="1159"/>
      <c r="R893" s="1159"/>
    </row>
    <row r="894" spans="1:18">
      <c r="A894" s="1159"/>
      <c r="B894" s="1160"/>
      <c r="K894" s="1160"/>
      <c r="L894" s="1160"/>
      <c r="M894" s="1160"/>
      <c r="N894" s="1160"/>
      <c r="O894" s="1160"/>
      <c r="P894" s="1159"/>
      <c r="Q894" s="1159"/>
      <c r="R894" s="1159"/>
    </row>
    <row r="895" spans="1:18">
      <c r="A895" s="1159"/>
      <c r="B895" s="1160"/>
      <c r="K895" s="1160"/>
      <c r="L895" s="1160"/>
      <c r="M895" s="1160"/>
      <c r="N895" s="1160"/>
      <c r="O895" s="1160"/>
      <c r="P895" s="1159"/>
      <c r="Q895" s="1159"/>
      <c r="R895" s="1159"/>
    </row>
    <row r="896" spans="1:18">
      <c r="A896" s="1159"/>
      <c r="B896" s="1160"/>
      <c r="K896" s="1160"/>
      <c r="L896" s="1160"/>
      <c r="M896" s="1160"/>
      <c r="N896" s="1160"/>
      <c r="O896" s="1160"/>
      <c r="P896" s="1159"/>
      <c r="Q896" s="1159"/>
      <c r="R896" s="1159"/>
    </row>
    <row r="897" spans="1:18">
      <c r="A897" s="1159"/>
      <c r="B897" s="1160"/>
      <c r="K897" s="1160"/>
      <c r="L897" s="1160"/>
      <c r="M897" s="1160"/>
      <c r="N897" s="1160"/>
      <c r="O897" s="1160"/>
      <c r="P897" s="1159"/>
      <c r="Q897" s="1159"/>
      <c r="R897" s="1159"/>
    </row>
    <row r="898" spans="1:18">
      <c r="A898" s="1159"/>
      <c r="B898" s="1160"/>
      <c r="K898" s="1160"/>
      <c r="L898" s="1160"/>
      <c r="M898" s="1160"/>
      <c r="N898" s="1160"/>
      <c r="O898" s="1160"/>
      <c r="P898" s="1159"/>
      <c r="Q898" s="1159"/>
      <c r="R898" s="1159"/>
    </row>
    <row r="899" spans="1:18">
      <c r="A899" s="1159"/>
      <c r="B899" s="1160"/>
      <c r="K899" s="1160"/>
      <c r="L899" s="1160"/>
      <c r="M899" s="1160"/>
      <c r="N899" s="1160"/>
      <c r="O899" s="1160"/>
      <c r="P899" s="1159"/>
      <c r="Q899" s="1159"/>
      <c r="R899" s="1159"/>
    </row>
    <row r="900" spans="1:18">
      <c r="A900" s="1159"/>
      <c r="B900" s="1160"/>
      <c r="K900" s="1160"/>
      <c r="L900" s="1160"/>
      <c r="M900" s="1160"/>
      <c r="N900" s="1160"/>
      <c r="O900" s="1160"/>
      <c r="P900" s="1159"/>
      <c r="Q900" s="1159"/>
      <c r="R900" s="1159"/>
    </row>
    <row r="901" spans="1:18">
      <c r="A901" s="1159"/>
      <c r="B901" s="1160"/>
      <c r="K901" s="1160"/>
      <c r="L901" s="1160"/>
      <c r="M901" s="1160"/>
      <c r="N901" s="1160"/>
      <c r="O901" s="1160"/>
      <c r="P901" s="1159"/>
      <c r="Q901" s="1159"/>
      <c r="R901" s="1159"/>
    </row>
    <row r="902" spans="1:18">
      <c r="A902" s="1159"/>
      <c r="B902" s="1160"/>
      <c r="K902" s="1160"/>
      <c r="L902" s="1160"/>
      <c r="M902" s="1160"/>
      <c r="N902" s="1160"/>
      <c r="O902" s="1160"/>
      <c r="P902" s="1159"/>
      <c r="Q902" s="1159"/>
      <c r="R902" s="1159"/>
    </row>
    <row r="903" spans="1:18">
      <c r="A903" s="1159"/>
      <c r="B903" s="1160"/>
      <c r="K903" s="1160"/>
      <c r="L903" s="1160"/>
      <c r="M903" s="1160"/>
      <c r="N903" s="1160"/>
      <c r="O903" s="1160"/>
      <c r="P903" s="1159"/>
      <c r="Q903" s="1159"/>
      <c r="R903" s="1159"/>
    </row>
    <row r="904" spans="1:18">
      <c r="A904" s="1159"/>
      <c r="B904" s="1160"/>
      <c r="K904" s="1160"/>
      <c r="L904" s="1160"/>
      <c r="M904" s="1160"/>
      <c r="N904" s="1160"/>
      <c r="O904" s="1160"/>
      <c r="P904" s="1159"/>
      <c r="Q904" s="1159"/>
      <c r="R904" s="1159"/>
    </row>
    <row r="905" spans="1:18">
      <c r="A905" s="1159"/>
      <c r="B905" s="1160"/>
      <c r="K905" s="1160"/>
      <c r="L905" s="1160"/>
      <c r="M905" s="1160"/>
      <c r="N905" s="1160"/>
      <c r="O905" s="1160"/>
      <c r="P905" s="1159"/>
      <c r="Q905" s="1159"/>
      <c r="R905" s="1159"/>
    </row>
    <row r="906" spans="1:18">
      <c r="A906" s="1159"/>
      <c r="B906" s="1160"/>
      <c r="K906" s="1160"/>
      <c r="L906" s="1160"/>
      <c r="M906" s="1160"/>
      <c r="N906" s="1160"/>
      <c r="O906" s="1160"/>
      <c r="P906" s="1159"/>
      <c r="Q906" s="1159"/>
      <c r="R906" s="1159"/>
    </row>
    <row r="907" spans="1:18">
      <c r="A907" s="1159"/>
      <c r="B907" s="1160"/>
      <c r="K907" s="1160"/>
      <c r="L907" s="1160"/>
      <c r="M907" s="1160"/>
      <c r="N907" s="1160"/>
      <c r="O907" s="1160"/>
      <c r="P907" s="1159"/>
      <c r="Q907" s="1159"/>
      <c r="R907" s="1159"/>
    </row>
    <row r="908" spans="1:18">
      <c r="A908" s="1159"/>
      <c r="B908" s="1160"/>
      <c r="K908" s="1160"/>
      <c r="L908" s="1160"/>
      <c r="M908" s="1160"/>
      <c r="N908" s="1160"/>
      <c r="O908" s="1160"/>
      <c r="P908" s="1159"/>
      <c r="Q908" s="1159"/>
      <c r="R908" s="1159"/>
    </row>
    <row r="909" spans="1:18">
      <c r="A909" s="1159"/>
      <c r="B909" s="1160"/>
      <c r="K909" s="1160"/>
      <c r="L909" s="1160"/>
      <c r="M909" s="1160"/>
      <c r="N909" s="1160"/>
      <c r="O909" s="1160"/>
      <c r="P909" s="1159"/>
      <c r="Q909" s="1159"/>
      <c r="R909" s="1159"/>
    </row>
    <row r="910" spans="1:18">
      <c r="A910" s="1159"/>
      <c r="B910" s="1160"/>
      <c r="K910" s="1160"/>
      <c r="L910" s="1160"/>
      <c r="M910" s="1160"/>
      <c r="N910" s="1160"/>
      <c r="O910" s="1160"/>
      <c r="P910" s="1159"/>
      <c r="Q910" s="1159"/>
      <c r="R910" s="1159"/>
    </row>
    <row r="911" spans="1:18">
      <c r="A911" s="1159"/>
      <c r="B911" s="1160"/>
      <c r="K911" s="1160"/>
      <c r="L911" s="1160"/>
      <c r="M911" s="1160"/>
      <c r="N911" s="1160"/>
      <c r="O911" s="1160"/>
      <c r="P911" s="1159"/>
      <c r="Q911" s="1159"/>
      <c r="R911" s="1159"/>
    </row>
    <row r="912" spans="1:18">
      <c r="A912" s="1159"/>
      <c r="B912" s="1160"/>
      <c r="K912" s="1160"/>
      <c r="L912" s="1160"/>
      <c r="M912" s="1160"/>
      <c r="N912" s="1160"/>
      <c r="O912" s="1160"/>
      <c r="P912" s="1159"/>
      <c r="Q912" s="1159"/>
      <c r="R912" s="1159"/>
    </row>
    <row r="913" spans="1:18">
      <c r="A913" s="1159"/>
      <c r="B913" s="1160"/>
      <c r="K913" s="1160"/>
      <c r="L913" s="1160"/>
      <c r="M913" s="1160"/>
      <c r="N913" s="1160"/>
      <c r="O913" s="1160"/>
      <c r="P913" s="1159"/>
      <c r="Q913" s="1159"/>
      <c r="R913" s="1159"/>
    </row>
    <row r="914" spans="1:18">
      <c r="A914" s="1159"/>
      <c r="B914" s="1160"/>
      <c r="K914" s="1160"/>
      <c r="L914" s="1160"/>
      <c r="M914" s="1160"/>
      <c r="N914" s="1160"/>
      <c r="O914" s="1160"/>
      <c r="P914" s="1159"/>
      <c r="Q914" s="1159"/>
      <c r="R914" s="1159"/>
    </row>
    <row r="915" spans="1:18">
      <c r="A915" s="1159"/>
      <c r="B915" s="1160"/>
      <c r="K915" s="1160"/>
      <c r="L915" s="1160"/>
      <c r="M915" s="1160"/>
      <c r="N915" s="1160"/>
      <c r="O915" s="1160"/>
      <c r="P915" s="1159"/>
      <c r="Q915" s="1159"/>
      <c r="R915" s="1159"/>
    </row>
    <row r="916" spans="1:18">
      <c r="A916" s="1159"/>
      <c r="B916" s="1160"/>
      <c r="K916" s="1160"/>
      <c r="L916" s="1160"/>
      <c r="M916" s="1160"/>
      <c r="N916" s="1160"/>
      <c r="O916" s="1160"/>
      <c r="P916" s="1159"/>
      <c r="Q916" s="1159"/>
      <c r="R916" s="1159"/>
    </row>
    <row r="917" spans="1:18">
      <c r="A917" s="1159"/>
      <c r="B917" s="1160"/>
      <c r="K917" s="1160"/>
      <c r="L917" s="1160"/>
      <c r="M917" s="1160"/>
      <c r="N917" s="1160"/>
      <c r="O917" s="1160"/>
      <c r="P917" s="1159"/>
      <c r="Q917" s="1159"/>
      <c r="R917" s="1159"/>
    </row>
    <row r="918" spans="1:18">
      <c r="A918" s="1159"/>
      <c r="B918" s="1160"/>
      <c r="K918" s="1160"/>
      <c r="L918" s="1160"/>
      <c r="M918" s="1160"/>
      <c r="N918" s="1160"/>
      <c r="O918" s="1160"/>
      <c r="P918" s="1159"/>
      <c r="Q918" s="1159"/>
      <c r="R918" s="1159"/>
    </row>
    <row r="919" spans="1:18">
      <c r="A919" s="1159"/>
      <c r="B919" s="1160"/>
      <c r="K919" s="1160"/>
      <c r="L919" s="1160"/>
      <c r="M919" s="1160"/>
      <c r="N919" s="1160"/>
      <c r="O919" s="1160"/>
      <c r="P919" s="1159"/>
      <c r="Q919" s="1159"/>
      <c r="R919" s="1159"/>
    </row>
    <row r="920" spans="1:18">
      <c r="A920" s="1159"/>
      <c r="B920" s="1160"/>
      <c r="K920" s="1160"/>
      <c r="L920" s="1160"/>
      <c r="M920" s="1160"/>
      <c r="N920" s="1160"/>
      <c r="O920" s="1160"/>
      <c r="P920" s="1159"/>
      <c r="Q920" s="1159"/>
      <c r="R920" s="1159"/>
    </row>
    <row r="921" spans="1:18">
      <c r="A921" s="1159"/>
      <c r="B921" s="1160"/>
      <c r="K921" s="1160"/>
      <c r="L921" s="1160"/>
      <c r="M921" s="1160"/>
      <c r="N921" s="1160"/>
      <c r="O921" s="1160"/>
      <c r="P921" s="1159"/>
      <c r="Q921" s="1159"/>
      <c r="R921" s="1159"/>
    </row>
    <row r="922" spans="1:18">
      <c r="A922" s="1159"/>
      <c r="B922" s="1160"/>
      <c r="K922" s="1160"/>
      <c r="L922" s="1160"/>
      <c r="M922" s="1160"/>
      <c r="N922" s="1160"/>
      <c r="O922" s="1160"/>
      <c r="P922" s="1159"/>
      <c r="Q922" s="1159"/>
      <c r="R922" s="1159"/>
    </row>
    <row r="923" spans="1:18">
      <c r="A923" s="1159"/>
      <c r="B923" s="1160"/>
      <c r="K923" s="1160"/>
      <c r="L923" s="1160"/>
      <c r="M923" s="1160"/>
      <c r="N923" s="1160"/>
      <c r="O923" s="1160"/>
      <c r="P923" s="1159"/>
      <c r="Q923" s="1159"/>
      <c r="R923" s="1159"/>
    </row>
    <row r="924" spans="1:18">
      <c r="A924" s="1159"/>
      <c r="B924" s="1160"/>
      <c r="K924" s="1160"/>
      <c r="L924" s="1160"/>
      <c r="M924" s="1160"/>
      <c r="N924" s="1160"/>
      <c r="O924" s="1160"/>
      <c r="P924" s="1159"/>
      <c r="Q924" s="1159"/>
      <c r="R924" s="1159"/>
    </row>
    <row r="925" spans="1:18">
      <c r="A925" s="1159"/>
      <c r="B925" s="1160"/>
      <c r="K925" s="1160"/>
      <c r="L925" s="1160"/>
      <c r="M925" s="1160"/>
      <c r="N925" s="1160"/>
      <c r="O925" s="1160"/>
      <c r="P925" s="1159"/>
      <c r="Q925" s="1159"/>
      <c r="R925" s="1159"/>
    </row>
    <row r="926" spans="1:18">
      <c r="A926" s="1159"/>
      <c r="B926" s="1160"/>
      <c r="K926" s="1160"/>
      <c r="L926" s="1160"/>
      <c r="M926" s="1160"/>
      <c r="N926" s="1160"/>
      <c r="O926" s="1160"/>
      <c r="P926" s="1159"/>
      <c r="Q926" s="1159"/>
      <c r="R926" s="1159"/>
    </row>
    <row r="927" spans="1:18">
      <c r="A927" s="1159"/>
      <c r="B927" s="1160"/>
      <c r="K927" s="1160"/>
      <c r="L927" s="1160"/>
      <c r="M927" s="1160"/>
      <c r="N927" s="1160"/>
      <c r="O927" s="1160"/>
      <c r="P927" s="1159"/>
      <c r="Q927" s="1159"/>
      <c r="R927" s="1159"/>
    </row>
    <row r="928" spans="1:18">
      <c r="A928" s="1159"/>
      <c r="B928" s="1160"/>
      <c r="K928" s="1160"/>
      <c r="L928" s="1160"/>
      <c r="M928" s="1160"/>
      <c r="N928" s="1160"/>
      <c r="O928" s="1160"/>
      <c r="P928" s="1159"/>
      <c r="Q928" s="1159"/>
      <c r="R928" s="1159"/>
    </row>
    <row r="929" spans="1:18">
      <c r="A929" s="1159"/>
      <c r="B929" s="1160"/>
      <c r="K929" s="1160"/>
      <c r="L929" s="1160"/>
      <c r="M929" s="1160"/>
      <c r="N929" s="1160"/>
      <c r="O929" s="1160"/>
      <c r="P929" s="1159"/>
      <c r="Q929" s="1159"/>
      <c r="R929" s="1159"/>
    </row>
    <row r="930" spans="1:18">
      <c r="A930" s="1159"/>
      <c r="B930" s="1160"/>
      <c r="K930" s="1160"/>
      <c r="L930" s="1160"/>
      <c r="M930" s="1160"/>
      <c r="N930" s="1160"/>
      <c r="O930" s="1160"/>
      <c r="P930" s="1159"/>
      <c r="Q930" s="1159"/>
      <c r="R930" s="1159"/>
    </row>
    <row r="931" spans="1:18">
      <c r="A931" s="1159"/>
      <c r="B931" s="1160"/>
      <c r="K931" s="1160"/>
      <c r="L931" s="1160"/>
      <c r="M931" s="1160"/>
      <c r="N931" s="1160"/>
      <c r="O931" s="1160"/>
      <c r="P931" s="1159"/>
      <c r="Q931" s="1159"/>
      <c r="R931" s="1159"/>
    </row>
    <row r="932" spans="1:18">
      <c r="A932" s="1159"/>
      <c r="B932" s="1160"/>
      <c r="K932" s="1160"/>
      <c r="L932" s="1160"/>
      <c r="M932" s="1160"/>
      <c r="N932" s="1160"/>
      <c r="O932" s="1160"/>
      <c r="P932" s="1159"/>
      <c r="Q932" s="1159"/>
      <c r="R932" s="1159"/>
    </row>
    <row r="933" spans="1:18">
      <c r="A933" s="1159"/>
      <c r="B933" s="1160"/>
      <c r="K933" s="1160"/>
      <c r="L933" s="1160"/>
      <c r="M933" s="1160"/>
      <c r="N933" s="1160"/>
      <c r="O933" s="1160"/>
      <c r="P933" s="1159"/>
      <c r="Q933" s="1159"/>
      <c r="R933" s="1159"/>
    </row>
    <row r="934" spans="1:18">
      <c r="A934" s="1159"/>
      <c r="B934" s="1160"/>
      <c r="K934" s="1160"/>
      <c r="L934" s="1160"/>
      <c r="M934" s="1160"/>
      <c r="N934" s="1160"/>
      <c r="O934" s="1160"/>
      <c r="P934" s="1159"/>
      <c r="Q934" s="1159"/>
      <c r="R934" s="1159"/>
    </row>
    <row r="935" spans="1:18">
      <c r="A935" s="1159"/>
      <c r="B935" s="1160"/>
      <c r="K935" s="1160"/>
      <c r="L935" s="1160"/>
      <c r="M935" s="1160"/>
      <c r="N935" s="1160"/>
      <c r="O935" s="1160"/>
      <c r="P935" s="1159"/>
      <c r="Q935" s="1159"/>
      <c r="R935" s="1159"/>
    </row>
    <row r="936" spans="1:18">
      <c r="A936" s="1159"/>
      <c r="B936" s="1160"/>
      <c r="K936" s="1160"/>
      <c r="L936" s="1160"/>
      <c r="M936" s="1160"/>
      <c r="N936" s="1160"/>
      <c r="O936" s="1160"/>
      <c r="P936" s="1159"/>
      <c r="Q936" s="1159"/>
      <c r="R936" s="1159"/>
    </row>
    <row r="937" spans="1:18">
      <c r="A937" s="1159"/>
      <c r="B937" s="1160"/>
      <c r="K937" s="1160"/>
      <c r="L937" s="1160"/>
      <c r="M937" s="1160"/>
      <c r="N937" s="1160"/>
      <c r="O937" s="1160"/>
      <c r="P937" s="1159"/>
      <c r="Q937" s="1159"/>
      <c r="R937" s="1159"/>
    </row>
    <row r="938" spans="1:18">
      <c r="A938" s="1159"/>
      <c r="B938" s="1160"/>
      <c r="K938" s="1160"/>
      <c r="L938" s="1160"/>
      <c r="M938" s="1160"/>
      <c r="N938" s="1160"/>
      <c r="O938" s="1160"/>
      <c r="P938" s="1159"/>
      <c r="Q938" s="1159"/>
      <c r="R938" s="1159"/>
    </row>
    <row r="939" spans="1:18">
      <c r="A939" s="1159"/>
      <c r="B939" s="1160"/>
      <c r="K939" s="1160"/>
      <c r="L939" s="1160"/>
      <c r="M939" s="1160"/>
      <c r="N939" s="1160"/>
      <c r="O939" s="1160"/>
      <c r="P939" s="1159"/>
      <c r="Q939" s="1159"/>
      <c r="R939" s="1159"/>
    </row>
    <row r="940" spans="1:18">
      <c r="A940" s="1159"/>
      <c r="B940" s="1160"/>
      <c r="K940" s="1160"/>
      <c r="L940" s="1160"/>
      <c r="M940" s="1160"/>
      <c r="N940" s="1160"/>
      <c r="O940" s="1160"/>
      <c r="P940" s="1159"/>
      <c r="Q940" s="1159"/>
      <c r="R940" s="1159"/>
    </row>
    <row r="941" spans="1:18">
      <c r="A941" s="1159"/>
      <c r="B941" s="1160"/>
      <c r="K941" s="1160"/>
      <c r="L941" s="1160"/>
      <c r="M941" s="1160"/>
      <c r="N941" s="1160"/>
      <c r="O941" s="1160"/>
      <c r="P941" s="1159"/>
      <c r="Q941" s="1159"/>
      <c r="R941" s="1159"/>
    </row>
    <row r="942" spans="1:18">
      <c r="A942" s="1159"/>
      <c r="B942" s="1160"/>
      <c r="K942" s="1160"/>
      <c r="L942" s="1160"/>
      <c r="M942" s="1160"/>
      <c r="N942" s="1160"/>
      <c r="O942" s="1160"/>
      <c r="P942" s="1159"/>
      <c r="Q942" s="1159"/>
      <c r="R942" s="1159"/>
    </row>
    <row r="943" spans="1:18">
      <c r="A943" s="1159"/>
      <c r="B943" s="1160"/>
      <c r="K943" s="1160"/>
      <c r="L943" s="1160"/>
      <c r="M943" s="1160"/>
      <c r="N943" s="1160"/>
      <c r="O943" s="1160"/>
      <c r="P943" s="1159"/>
      <c r="Q943" s="1159"/>
      <c r="R943" s="1159"/>
    </row>
    <row r="944" spans="1:18">
      <c r="A944" s="1159"/>
      <c r="B944" s="1160"/>
      <c r="K944" s="1160"/>
      <c r="L944" s="1160"/>
      <c r="M944" s="1160"/>
      <c r="N944" s="1160"/>
      <c r="O944" s="1160"/>
      <c r="P944" s="1159"/>
      <c r="Q944" s="1159"/>
      <c r="R944" s="1159"/>
    </row>
    <row r="945" spans="1:18">
      <c r="A945" s="1159"/>
      <c r="B945" s="1160"/>
      <c r="K945" s="1160"/>
      <c r="L945" s="1160"/>
      <c r="M945" s="1160"/>
      <c r="N945" s="1160"/>
      <c r="O945" s="1160"/>
      <c r="P945" s="1159"/>
      <c r="Q945" s="1159"/>
      <c r="R945" s="1159"/>
    </row>
    <row r="946" spans="1:18">
      <c r="A946" s="1159"/>
      <c r="B946" s="1160"/>
      <c r="K946" s="1160"/>
      <c r="L946" s="1160"/>
      <c r="M946" s="1160"/>
      <c r="N946" s="1160"/>
      <c r="O946" s="1160"/>
      <c r="P946" s="1159"/>
      <c r="Q946" s="1159"/>
      <c r="R946" s="1159"/>
    </row>
    <row r="947" spans="1:18">
      <c r="A947" s="1159"/>
      <c r="B947" s="1160"/>
      <c r="K947" s="1160"/>
      <c r="L947" s="1160"/>
      <c r="M947" s="1160"/>
      <c r="N947" s="1160"/>
      <c r="O947" s="1160"/>
      <c r="P947" s="1159"/>
      <c r="Q947" s="1159"/>
      <c r="R947" s="1159"/>
    </row>
    <row r="948" spans="1:18">
      <c r="A948" s="1159"/>
      <c r="B948" s="1160"/>
      <c r="K948" s="1160"/>
      <c r="L948" s="1160"/>
      <c r="M948" s="1160"/>
      <c r="N948" s="1160"/>
      <c r="O948" s="1160"/>
      <c r="P948" s="1159"/>
      <c r="Q948" s="1159"/>
      <c r="R948" s="1159"/>
    </row>
    <row r="949" spans="1:18">
      <c r="A949" s="1159"/>
      <c r="B949" s="1160"/>
      <c r="K949" s="1160"/>
      <c r="L949" s="1160"/>
      <c r="M949" s="1160"/>
      <c r="N949" s="1160"/>
      <c r="O949" s="1160"/>
      <c r="P949" s="1159"/>
      <c r="Q949" s="1159"/>
      <c r="R949" s="1159"/>
    </row>
    <row r="950" spans="1:18">
      <c r="A950" s="1159"/>
      <c r="B950" s="1160"/>
      <c r="K950" s="1160"/>
      <c r="L950" s="1160"/>
      <c r="M950" s="1160"/>
      <c r="N950" s="1160"/>
      <c r="O950" s="1160"/>
      <c r="P950" s="1159"/>
      <c r="Q950" s="1159"/>
      <c r="R950" s="1159"/>
    </row>
    <row r="951" spans="1:18">
      <c r="A951" s="1159"/>
      <c r="B951" s="1160"/>
      <c r="K951" s="1160"/>
      <c r="L951" s="1160"/>
      <c r="M951" s="1160"/>
      <c r="N951" s="1160"/>
      <c r="O951" s="1160"/>
      <c r="P951" s="1159"/>
      <c r="Q951" s="1159"/>
      <c r="R951" s="1159"/>
    </row>
    <row r="952" spans="1:18">
      <c r="A952" s="1159"/>
      <c r="B952" s="1160"/>
      <c r="K952" s="1160"/>
      <c r="L952" s="1160"/>
      <c r="M952" s="1160"/>
      <c r="N952" s="1160"/>
      <c r="O952" s="1160"/>
      <c r="P952" s="1159"/>
      <c r="Q952" s="1159"/>
      <c r="R952" s="1159"/>
    </row>
    <row r="953" spans="1:18">
      <c r="A953" s="1159"/>
      <c r="B953" s="1160"/>
      <c r="K953" s="1160"/>
      <c r="L953" s="1160"/>
      <c r="M953" s="1160"/>
      <c r="N953" s="1160"/>
      <c r="O953" s="1160"/>
      <c r="P953" s="1159"/>
      <c r="Q953" s="1159"/>
      <c r="R953" s="1159"/>
    </row>
    <row r="954" spans="1:18">
      <c r="A954" s="1159"/>
      <c r="B954" s="1160"/>
      <c r="K954" s="1160"/>
      <c r="L954" s="1160"/>
      <c r="M954" s="1160"/>
      <c r="N954" s="1160"/>
      <c r="O954" s="1160"/>
      <c r="P954" s="1159"/>
      <c r="Q954" s="1159"/>
      <c r="R954" s="1159"/>
    </row>
    <row r="955" spans="1:18">
      <c r="A955" s="1159"/>
      <c r="B955" s="1160"/>
      <c r="K955" s="1160"/>
      <c r="L955" s="1160"/>
      <c r="M955" s="1160"/>
      <c r="N955" s="1160"/>
      <c r="O955" s="1160"/>
      <c r="P955" s="1159"/>
      <c r="Q955" s="1159"/>
      <c r="R955" s="1159"/>
    </row>
    <row r="956" spans="1:18">
      <c r="A956" s="1159"/>
      <c r="B956" s="1160"/>
      <c r="K956" s="1160"/>
      <c r="L956" s="1160"/>
      <c r="M956" s="1160"/>
      <c r="N956" s="1160"/>
      <c r="O956" s="1160"/>
      <c r="P956" s="1159"/>
      <c r="Q956" s="1159"/>
      <c r="R956" s="1159"/>
    </row>
    <row r="957" spans="1:18">
      <c r="A957" s="1159"/>
      <c r="B957" s="1160"/>
      <c r="K957" s="1160"/>
      <c r="L957" s="1160"/>
      <c r="M957" s="1160"/>
      <c r="N957" s="1160"/>
      <c r="O957" s="1160"/>
      <c r="P957" s="1159"/>
      <c r="Q957" s="1159"/>
      <c r="R957" s="1159"/>
    </row>
    <row r="958" spans="1:18">
      <c r="A958" s="1159"/>
      <c r="B958" s="1160"/>
      <c r="K958" s="1160"/>
      <c r="L958" s="1160"/>
      <c r="M958" s="1160"/>
      <c r="N958" s="1160"/>
      <c r="O958" s="1160"/>
      <c r="P958" s="1159"/>
      <c r="Q958" s="1159"/>
      <c r="R958" s="1159"/>
    </row>
    <row r="959" spans="1:18">
      <c r="A959" s="1159"/>
      <c r="B959" s="1160"/>
      <c r="K959" s="1160"/>
      <c r="L959" s="1160"/>
      <c r="M959" s="1160"/>
      <c r="N959" s="1160"/>
      <c r="O959" s="1160"/>
      <c r="P959" s="1159"/>
      <c r="Q959" s="1159"/>
      <c r="R959" s="1159"/>
    </row>
    <row r="960" spans="1:18">
      <c r="A960" s="1159"/>
      <c r="B960" s="1160"/>
      <c r="K960" s="1160"/>
      <c r="L960" s="1160"/>
      <c r="M960" s="1160"/>
      <c r="N960" s="1160"/>
      <c r="O960" s="1160"/>
      <c r="P960" s="1159"/>
      <c r="Q960" s="1159"/>
      <c r="R960" s="1159"/>
    </row>
    <row r="961" spans="1:18">
      <c r="A961" s="1159"/>
      <c r="B961" s="1160"/>
      <c r="K961" s="1160"/>
      <c r="L961" s="1160"/>
      <c r="M961" s="1160"/>
      <c r="N961" s="1160"/>
      <c r="O961" s="1160"/>
      <c r="P961" s="1159"/>
      <c r="Q961" s="1159"/>
      <c r="R961" s="1159"/>
    </row>
    <row r="962" spans="1:18">
      <c r="A962" s="1159"/>
      <c r="B962" s="1160"/>
      <c r="K962" s="1160"/>
      <c r="L962" s="1160"/>
      <c r="M962" s="1160"/>
      <c r="N962" s="1160"/>
      <c r="O962" s="1160"/>
      <c r="P962" s="1159"/>
      <c r="Q962" s="1159"/>
      <c r="R962" s="1159"/>
    </row>
    <row r="963" spans="1:18">
      <c r="A963" s="1159"/>
      <c r="B963" s="1160"/>
      <c r="K963" s="1160"/>
      <c r="L963" s="1160"/>
      <c r="M963" s="1160"/>
      <c r="N963" s="1160"/>
      <c r="O963" s="1160"/>
      <c r="P963" s="1159"/>
      <c r="Q963" s="1159"/>
      <c r="R963" s="1159"/>
    </row>
    <row r="964" spans="1:18">
      <c r="A964" s="1159"/>
      <c r="B964" s="1160"/>
      <c r="K964" s="1160"/>
      <c r="L964" s="1160"/>
      <c r="M964" s="1160"/>
      <c r="N964" s="1160"/>
      <c r="O964" s="1160"/>
      <c r="P964" s="1159"/>
      <c r="Q964" s="1159"/>
      <c r="R964" s="1159"/>
    </row>
    <row r="965" spans="1:18">
      <c r="A965" s="1159"/>
      <c r="B965" s="1160"/>
      <c r="K965" s="1160"/>
      <c r="L965" s="1160"/>
      <c r="M965" s="1160"/>
      <c r="N965" s="1160"/>
      <c r="O965" s="1160"/>
      <c r="P965" s="1159"/>
      <c r="Q965" s="1159"/>
      <c r="R965" s="1159"/>
    </row>
    <row r="966" spans="1:18">
      <c r="A966" s="1159"/>
      <c r="B966" s="1160"/>
      <c r="K966" s="1160"/>
      <c r="L966" s="1160"/>
      <c r="M966" s="1160"/>
      <c r="N966" s="1160"/>
      <c r="O966" s="1160"/>
      <c r="P966" s="1159"/>
      <c r="Q966" s="1159"/>
      <c r="R966" s="1159"/>
    </row>
    <row r="967" spans="1:18">
      <c r="A967" s="1159"/>
      <c r="B967" s="1160"/>
      <c r="K967" s="1160"/>
      <c r="L967" s="1160"/>
      <c r="M967" s="1160"/>
      <c r="N967" s="1160"/>
      <c r="O967" s="1160"/>
      <c r="P967" s="1159"/>
      <c r="Q967" s="1159"/>
      <c r="R967" s="1159"/>
    </row>
    <row r="968" spans="1:18">
      <c r="A968" s="1159"/>
      <c r="B968" s="1160"/>
      <c r="K968" s="1160"/>
      <c r="L968" s="1160"/>
      <c r="M968" s="1160"/>
      <c r="N968" s="1160"/>
      <c r="O968" s="1160"/>
      <c r="P968" s="1159"/>
      <c r="Q968" s="1159"/>
      <c r="R968" s="1159"/>
    </row>
    <row r="969" spans="1:18">
      <c r="A969" s="1159"/>
      <c r="B969" s="1160"/>
      <c r="K969" s="1160"/>
      <c r="L969" s="1160"/>
      <c r="M969" s="1160"/>
      <c r="N969" s="1160"/>
      <c r="O969" s="1160"/>
      <c r="P969" s="1159"/>
      <c r="Q969" s="1159"/>
      <c r="R969" s="1159"/>
    </row>
    <row r="970" spans="1:18">
      <c r="A970" s="1159"/>
      <c r="B970" s="1160"/>
      <c r="K970" s="1160"/>
      <c r="L970" s="1160"/>
      <c r="M970" s="1160"/>
      <c r="N970" s="1160"/>
      <c r="O970" s="1160"/>
      <c r="P970" s="1159"/>
      <c r="Q970" s="1159"/>
      <c r="R970" s="1159"/>
    </row>
    <row r="971" spans="1:18">
      <c r="A971" s="1159"/>
      <c r="B971" s="1160"/>
      <c r="K971" s="1160"/>
      <c r="L971" s="1160"/>
      <c r="M971" s="1160"/>
      <c r="N971" s="1160"/>
      <c r="O971" s="1160"/>
      <c r="P971" s="1159"/>
      <c r="Q971" s="1159"/>
      <c r="R971" s="1159"/>
    </row>
    <row r="972" spans="1:18">
      <c r="A972" s="1159"/>
      <c r="B972" s="1160"/>
      <c r="K972" s="1160"/>
      <c r="L972" s="1160"/>
      <c r="M972" s="1160"/>
      <c r="N972" s="1160"/>
      <c r="O972" s="1160"/>
      <c r="P972" s="1159"/>
      <c r="Q972" s="1159"/>
      <c r="R972" s="1159"/>
    </row>
    <row r="973" spans="1:18">
      <c r="A973" s="1159"/>
      <c r="B973" s="1160"/>
      <c r="K973" s="1160"/>
      <c r="L973" s="1160"/>
      <c r="M973" s="1160"/>
      <c r="N973" s="1160"/>
      <c r="O973" s="1160"/>
      <c r="P973" s="1159"/>
      <c r="Q973" s="1159"/>
      <c r="R973" s="1159"/>
    </row>
    <row r="974" spans="1:18">
      <c r="A974" s="1159"/>
      <c r="B974" s="1160"/>
      <c r="K974" s="1160"/>
      <c r="L974" s="1160"/>
      <c r="M974" s="1160"/>
      <c r="N974" s="1160"/>
      <c r="O974" s="1160"/>
      <c r="P974" s="1159"/>
      <c r="Q974" s="1159"/>
      <c r="R974" s="1159"/>
    </row>
    <row r="975" spans="1:18">
      <c r="A975" s="1159"/>
      <c r="B975" s="1160"/>
      <c r="K975" s="1160"/>
      <c r="L975" s="1160"/>
      <c r="M975" s="1160"/>
      <c r="N975" s="1160"/>
      <c r="O975" s="1160"/>
      <c r="P975" s="1159"/>
      <c r="Q975" s="1159"/>
      <c r="R975" s="1159"/>
    </row>
    <row r="976" spans="1:18">
      <c r="A976" s="1159"/>
      <c r="B976" s="1160"/>
      <c r="K976" s="1160"/>
      <c r="L976" s="1160"/>
      <c r="M976" s="1160"/>
      <c r="N976" s="1160"/>
      <c r="O976" s="1160"/>
      <c r="P976" s="1159"/>
      <c r="Q976" s="1159"/>
      <c r="R976" s="1159"/>
    </row>
    <row r="977" spans="1:18">
      <c r="A977" s="1159"/>
      <c r="B977" s="1160"/>
      <c r="K977" s="1160"/>
      <c r="L977" s="1160"/>
      <c r="M977" s="1160"/>
      <c r="N977" s="1160"/>
      <c r="O977" s="1160"/>
      <c r="P977" s="1159"/>
      <c r="Q977" s="1159"/>
      <c r="R977" s="1159"/>
    </row>
    <row r="978" spans="1:18">
      <c r="A978" s="1159"/>
      <c r="B978" s="1160"/>
      <c r="K978" s="1160"/>
      <c r="L978" s="1160"/>
      <c r="M978" s="1160"/>
      <c r="N978" s="1160"/>
      <c r="O978" s="1160"/>
      <c r="P978" s="1159"/>
      <c r="Q978" s="1159"/>
      <c r="R978" s="1159"/>
    </row>
    <row r="979" spans="1:18">
      <c r="A979" s="1159"/>
      <c r="B979" s="1160"/>
      <c r="K979" s="1160"/>
      <c r="L979" s="1160"/>
      <c r="M979" s="1160"/>
      <c r="N979" s="1160"/>
      <c r="O979" s="1160"/>
      <c r="P979" s="1159"/>
      <c r="Q979" s="1159"/>
      <c r="R979" s="1159"/>
    </row>
    <row r="980" spans="1:18">
      <c r="A980" s="1159"/>
      <c r="B980" s="1160"/>
      <c r="K980" s="1160"/>
      <c r="L980" s="1160"/>
      <c r="M980" s="1160"/>
      <c r="N980" s="1160"/>
      <c r="O980" s="1160"/>
      <c r="P980" s="1159"/>
      <c r="Q980" s="1159"/>
      <c r="R980" s="1159"/>
    </row>
    <row r="981" spans="1:18">
      <c r="A981" s="1159"/>
      <c r="B981" s="1160"/>
      <c r="K981" s="1160"/>
      <c r="L981" s="1160"/>
      <c r="M981" s="1160"/>
      <c r="N981" s="1160"/>
      <c r="O981" s="1160"/>
      <c r="P981" s="1159"/>
      <c r="Q981" s="1159"/>
      <c r="R981" s="1159"/>
    </row>
    <row r="982" spans="1:18">
      <c r="A982" s="1159"/>
      <c r="B982" s="1160"/>
      <c r="K982" s="1160"/>
      <c r="L982" s="1160"/>
      <c r="M982" s="1160"/>
      <c r="N982" s="1160"/>
      <c r="O982" s="1160"/>
      <c r="P982" s="1159"/>
      <c r="Q982" s="1159"/>
      <c r="R982" s="1159"/>
    </row>
    <row r="983" spans="1:18">
      <c r="A983" s="1159"/>
      <c r="B983" s="1160"/>
      <c r="K983" s="1160"/>
      <c r="L983" s="1160"/>
      <c r="M983" s="1160"/>
      <c r="N983" s="1160"/>
      <c r="O983" s="1160"/>
      <c r="P983" s="1159"/>
      <c r="Q983" s="1159"/>
      <c r="R983" s="1159"/>
    </row>
    <row r="984" spans="1:18">
      <c r="A984" s="1159"/>
      <c r="B984" s="1160"/>
      <c r="K984" s="1160"/>
      <c r="L984" s="1160"/>
      <c r="M984" s="1160"/>
      <c r="N984" s="1160"/>
      <c r="O984" s="1160"/>
      <c r="P984" s="1159"/>
      <c r="Q984" s="1159"/>
      <c r="R984" s="1159"/>
    </row>
    <row r="985" spans="1:18">
      <c r="A985" s="1159"/>
      <c r="B985" s="1160"/>
      <c r="K985" s="1160"/>
      <c r="L985" s="1160"/>
      <c r="M985" s="1160"/>
      <c r="N985" s="1160"/>
      <c r="O985" s="1160"/>
      <c r="P985" s="1159"/>
      <c r="Q985" s="1159"/>
      <c r="R985" s="1159"/>
    </row>
    <row r="986" spans="1:18">
      <c r="A986" s="1159"/>
      <c r="B986" s="1160"/>
      <c r="K986" s="1160"/>
      <c r="L986" s="1160"/>
      <c r="M986" s="1160"/>
      <c r="N986" s="1160"/>
      <c r="O986" s="1160"/>
      <c r="P986" s="1159"/>
      <c r="Q986" s="1159"/>
      <c r="R986" s="1159"/>
    </row>
    <row r="987" spans="1:18">
      <c r="A987" s="1159"/>
      <c r="B987" s="1160"/>
      <c r="K987" s="1160"/>
      <c r="L987" s="1160"/>
      <c r="M987" s="1160"/>
      <c r="N987" s="1160"/>
      <c r="O987" s="1160"/>
      <c r="P987" s="1159"/>
      <c r="Q987" s="1159"/>
      <c r="R987" s="1159"/>
    </row>
    <row r="988" spans="1:18">
      <c r="A988" s="1159"/>
      <c r="B988" s="1160"/>
      <c r="K988" s="1160"/>
      <c r="L988" s="1160"/>
      <c r="M988" s="1160"/>
      <c r="N988" s="1160"/>
      <c r="O988" s="1160"/>
      <c r="P988" s="1159"/>
      <c r="Q988" s="1159"/>
      <c r="R988" s="1159"/>
    </row>
    <row r="989" spans="1:18">
      <c r="A989" s="1159"/>
      <c r="B989" s="1160"/>
      <c r="K989" s="1160"/>
      <c r="L989" s="1160"/>
      <c r="M989" s="1160"/>
      <c r="N989" s="1160"/>
      <c r="O989" s="1160"/>
      <c r="P989" s="1159"/>
      <c r="Q989" s="1159"/>
      <c r="R989" s="1159"/>
    </row>
    <row r="990" spans="1:18">
      <c r="A990" s="1159"/>
      <c r="B990" s="1160"/>
      <c r="K990" s="1160"/>
      <c r="L990" s="1160"/>
      <c r="M990" s="1160"/>
      <c r="N990" s="1160"/>
      <c r="O990" s="1160"/>
      <c r="P990" s="1159"/>
      <c r="Q990" s="1159"/>
      <c r="R990" s="1159"/>
    </row>
    <row r="991" spans="1:18">
      <c r="A991" s="1159"/>
      <c r="B991" s="1160"/>
      <c r="K991" s="1160"/>
      <c r="L991" s="1160"/>
      <c r="M991" s="1160"/>
      <c r="N991" s="1160"/>
      <c r="O991" s="1160"/>
      <c r="P991" s="1159"/>
      <c r="Q991" s="1159"/>
      <c r="R991" s="1159"/>
    </row>
    <row r="992" spans="1:18">
      <c r="A992" s="1159"/>
      <c r="B992" s="1160"/>
      <c r="K992" s="1160"/>
      <c r="L992" s="1160"/>
      <c r="M992" s="1160"/>
      <c r="N992" s="1160"/>
      <c r="O992" s="1160"/>
      <c r="P992" s="1159"/>
      <c r="Q992" s="1159"/>
      <c r="R992" s="1159"/>
    </row>
    <row r="993" spans="1:18">
      <c r="A993" s="1159"/>
      <c r="B993" s="1160"/>
      <c r="K993" s="1160"/>
      <c r="L993" s="1160"/>
      <c r="M993" s="1160"/>
      <c r="N993" s="1160"/>
      <c r="O993" s="1160"/>
      <c r="P993" s="1159"/>
      <c r="Q993" s="1159"/>
      <c r="R993" s="1159"/>
    </row>
    <row r="994" spans="1:18">
      <c r="A994" s="1159"/>
      <c r="B994" s="1160"/>
      <c r="K994" s="1160"/>
      <c r="L994" s="1160"/>
      <c r="M994" s="1160"/>
      <c r="N994" s="1160"/>
      <c r="O994" s="1160"/>
      <c r="P994" s="1159"/>
      <c r="Q994" s="1159"/>
      <c r="R994" s="1159"/>
    </row>
    <row r="995" spans="1:18">
      <c r="A995" s="1159"/>
      <c r="B995" s="1160"/>
      <c r="K995" s="1160"/>
      <c r="L995" s="1160"/>
      <c r="M995" s="1160"/>
      <c r="N995" s="1160"/>
      <c r="O995" s="1160"/>
      <c r="P995" s="1159"/>
      <c r="Q995" s="1159"/>
      <c r="R995" s="1159"/>
    </row>
    <row r="996" spans="1:18">
      <c r="A996" s="1159"/>
      <c r="B996" s="1160"/>
      <c r="K996" s="1160"/>
      <c r="L996" s="1160"/>
      <c r="M996" s="1160"/>
      <c r="N996" s="1160"/>
      <c r="O996" s="1160"/>
      <c r="P996" s="1159"/>
      <c r="Q996" s="1159"/>
      <c r="R996" s="1159"/>
    </row>
    <row r="997" spans="1:18">
      <c r="A997" s="1159"/>
      <c r="B997" s="1160"/>
      <c r="K997" s="1160"/>
      <c r="L997" s="1160"/>
      <c r="M997" s="1160"/>
      <c r="N997" s="1160"/>
      <c r="O997" s="1160"/>
      <c r="P997" s="1159"/>
      <c r="Q997" s="1159"/>
      <c r="R997" s="1159"/>
    </row>
    <row r="998" spans="1:18">
      <c r="A998" s="1159"/>
      <c r="B998" s="1160"/>
      <c r="K998" s="1160"/>
      <c r="L998" s="1160"/>
      <c r="M998" s="1160"/>
      <c r="N998" s="1160"/>
      <c r="O998" s="1160"/>
      <c r="P998" s="1159"/>
      <c r="Q998" s="1159"/>
      <c r="R998" s="1159"/>
    </row>
    <row r="999" spans="1:18">
      <c r="A999" s="1159"/>
      <c r="B999" s="1160"/>
      <c r="K999" s="1160"/>
      <c r="L999" s="1160"/>
      <c r="M999" s="1160"/>
      <c r="N999" s="1160"/>
      <c r="O999" s="1160"/>
      <c r="P999" s="1159"/>
      <c r="Q999" s="1159"/>
      <c r="R999" s="1159"/>
    </row>
    <row r="1000" spans="1:18">
      <c r="A1000" s="1159"/>
      <c r="B1000" s="1160"/>
      <c r="K1000" s="1160"/>
      <c r="L1000" s="1160"/>
      <c r="M1000" s="1160"/>
      <c r="N1000" s="1160"/>
      <c r="O1000" s="1160"/>
      <c r="P1000" s="1159"/>
      <c r="Q1000" s="1159"/>
      <c r="R1000" s="1159"/>
    </row>
    <row r="1001" spans="1:18">
      <c r="A1001" s="1159"/>
      <c r="B1001" s="1160"/>
      <c r="K1001" s="1160"/>
      <c r="L1001" s="1160"/>
      <c r="M1001" s="1160"/>
      <c r="N1001" s="1160"/>
      <c r="O1001" s="1160"/>
      <c r="P1001" s="1159"/>
      <c r="Q1001" s="1159"/>
      <c r="R1001" s="1159"/>
    </row>
    <row r="1002" spans="1:18">
      <c r="A1002" s="1159"/>
      <c r="B1002" s="1160"/>
      <c r="K1002" s="1160"/>
      <c r="L1002" s="1160"/>
      <c r="M1002" s="1160"/>
      <c r="N1002" s="1160"/>
      <c r="O1002" s="1160"/>
      <c r="P1002" s="1159"/>
      <c r="Q1002" s="1159"/>
      <c r="R1002" s="1159"/>
    </row>
    <row r="1003" spans="1:18">
      <c r="A1003" s="1159"/>
      <c r="B1003" s="1160"/>
      <c r="K1003" s="1160"/>
      <c r="L1003" s="1160"/>
      <c r="M1003" s="1160"/>
      <c r="N1003" s="1160"/>
      <c r="O1003" s="1160"/>
      <c r="P1003" s="1159"/>
      <c r="Q1003" s="1159"/>
      <c r="R1003" s="1159"/>
    </row>
    <row r="1004" spans="1:18">
      <c r="A1004" s="1159"/>
      <c r="B1004" s="1160"/>
      <c r="K1004" s="1160"/>
      <c r="L1004" s="1160"/>
      <c r="M1004" s="1160"/>
      <c r="N1004" s="1160"/>
      <c r="O1004" s="1160"/>
      <c r="P1004" s="1159"/>
      <c r="Q1004" s="1159"/>
      <c r="R1004" s="1159"/>
    </row>
    <row r="1005" spans="1:18">
      <c r="A1005" s="1159"/>
      <c r="B1005" s="1160"/>
      <c r="K1005" s="1160"/>
      <c r="L1005" s="1160"/>
      <c r="M1005" s="1160"/>
      <c r="N1005" s="1160"/>
      <c r="O1005" s="1160"/>
      <c r="P1005" s="1159"/>
      <c r="Q1005" s="1159"/>
      <c r="R1005" s="1159"/>
    </row>
    <row r="1006" spans="1:18">
      <c r="A1006" s="1159"/>
      <c r="B1006" s="1160"/>
      <c r="K1006" s="1160"/>
      <c r="L1006" s="1160"/>
      <c r="M1006" s="1160"/>
      <c r="N1006" s="1160"/>
      <c r="O1006" s="1160"/>
      <c r="P1006" s="1159"/>
      <c r="Q1006" s="1159"/>
      <c r="R1006" s="1159"/>
    </row>
    <row r="1007" spans="1:18">
      <c r="A1007" s="1159"/>
      <c r="B1007" s="1160"/>
      <c r="K1007" s="1160"/>
      <c r="L1007" s="1160"/>
      <c r="M1007" s="1160"/>
      <c r="N1007" s="1160"/>
      <c r="O1007" s="1160"/>
      <c r="P1007" s="1159"/>
      <c r="Q1007" s="1159"/>
      <c r="R1007" s="1159"/>
    </row>
    <row r="1008" spans="1:18">
      <c r="A1008" s="1159"/>
      <c r="B1008" s="1160"/>
      <c r="K1008" s="1160"/>
      <c r="L1008" s="1160"/>
      <c r="M1008" s="1160"/>
      <c r="N1008" s="1160"/>
      <c r="O1008" s="1160"/>
      <c r="P1008" s="1159"/>
      <c r="Q1008" s="1159"/>
      <c r="R1008" s="1159"/>
    </row>
    <row r="1009" spans="1:18">
      <c r="A1009" s="1159"/>
      <c r="B1009" s="1160"/>
      <c r="K1009" s="1160"/>
      <c r="L1009" s="1160"/>
      <c r="M1009" s="1160"/>
      <c r="N1009" s="1160"/>
      <c r="O1009" s="1160"/>
      <c r="P1009" s="1159"/>
      <c r="Q1009" s="1159"/>
      <c r="R1009" s="1159"/>
    </row>
    <row r="1010" spans="1:18">
      <c r="A1010" s="1159"/>
      <c r="B1010" s="1160"/>
      <c r="K1010" s="1160"/>
      <c r="L1010" s="1160"/>
      <c r="M1010" s="1160"/>
      <c r="N1010" s="1160"/>
      <c r="O1010" s="1160"/>
      <c r="P1010" s="1159"/>
      <c r="Q1010" s="1159"/>
      <c r="R1010" s="1159"/>
    </row>
    <row r="1011" spans="1:18">
      <c r="A1011" s="1159"/>
      <c r="B1011" s="1160"/>
      <c r="K1011" s="1160"/>
      <c r="L1011" s="1160"/>
      <c r="M1011" s="1160"/>
      <c r="N1011" s="1160"/>
      <c r="O1011" s="1160"/>
      <c r="P1011" s="1159"/>
      <c r="Q1011" s="1159"/>
      <c r="R1011" s="1159"/>
    </row>
    <row r="1012" spans="1:18">
      <c r="A1012" s="1159"/>
      <c r="B1012" s="1160"/>
      <c r="K1012" s="1160"/>
      <c r="L1012" s="1160"/>
      <c r="M1012" s="1160"/>
      <c r="N1012" s="1160"/>
      <c r="O1012" s="1160"/>
      <c r="P1012" s="1159"/>
      <c r="Q1012" s="1159"/>
      <c r="R1012" s="1159"/>
    </row>
  </sheetData>
  <mergeCells count="52">
    <mergeCell ref="A1:M1"/>
    <mergeCell ref="A3:B5"/>
    <mergeCell ref="K3:K5"/>
    <mergeCell ref="M3:M5"/>
    <mergeCell ref="A6:B6"/>
    <mergeCell ref="C3:C4"/>
    <mergeCell ref="E3:J3"/>
    <mergeCell ref="I4:I5"/>
    <mergeCell ref="J4:J5"/>
    <mergeCell ref="D3:D5"/>
    <mergeCell ref="E4:E5"/>
    <mergeCell ref="F4:F5"/>
    <mergeCell ref="G4:G5"/>
    <mergeCell ref="H4:H5"/>
    <mergeCell ref="L3:L5"/>
    <mergeCell ref="A46:B46"/>
    <mergeCell ref="A28:B28"/>
    <mergeCell ref="A29:B29"/>
    <mergeCell ref="A30:B30"/>
    <mergeCell ref="A31:B31"/>
    <mergeCell ref="A32:B32"/>
    <mergeCell ref="A33:B33"/>
    <mergeCell ref="A34:B34"/>
    <mergeCell ref="A35:B35"/>
    <mergeCell ref="A40:B40"/>
    <mergeCell ref="A41:B41"/>
    <mergeCell ref="A45:B45"/>
    <mergeCell ref="A36:B36"/>
    <mergeCell ref="A37:B37"/>
    <mergeCell ref="A26:B26"/>
    <mergeCell ref="A23:B23"/>
    <mergeCell ref="A24:B24"/>
    <mergeCell ref="A42:B42"/>
    <mergeCell ref="A43:B43"/>
    <mergeCell ref="A27:B27"/>
    <mergeCell ref="A38:B38"/>
    <mergeCell ref="A39:B39"/>
    <mergeCell ref="A21:B21"/>
    <mergeCell ref="A22:B22"/>
    <mergeCell ref="A25:B25"/>
    <mergeCell ref="A16:B16"/>
    <mergeCell ref="A17:B17"/>
    <mergeCell ref="A18:B18"/>
    <mergeCell ref="A19:B19"/>
    <mergeCell ref="A20:B20"/>
    <mergeCell ref="A13:B13"/>
    <mergeCell ref="A14:B14"/>
    <mergeCell ref="A12:B12"/>
    <mergeCell ref="A7:B7"/>
    <mergeCell ref="A8:B8"/>
    <mergeCell ref="A10:B10"/>
    <mergeCell ref="A11:B11"/>
  </mergeCells>
  <pageMargins left="0.35433070866141736" right="0.15748031496062992" top="0.23622047244094491" bottom="0.39370078740157483" header="0.15748031496062992" footer="0.15748031496062992"/>
  <pageSetup paperSize="9" scale="60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EA645"/>
  <sheetViews>
    <sheetView showGridLines="0" view="pageBreakPreview" topLeftCell="A4" zoomScale="106" zoomScaleSheetLayoutView="106" workbookViewId="0">
      <pane xSplit="2" ySplit="4" topLeftCell="C8" activePane="bottomRight" state="frozen"/>
      <selection activeCell="A4" sqref="A4"/>
      <selection pane="topRight" activeCell="C4" sqref="C4"/>
      <selection pane="bottomLeft" activeCell="A8" sqref="A8"/>
      <selection pane="bottomRight" activeCell="B632" sqref="B632:B645"/>
    </sheetView>
  </sheetViews>
  <sheetFormatPr defaultColWidth="9.140625" defaultRowHeight="12.75"/>
  <cols>
    <col min="1" max="1" width="3.42578125" style="235" customWidth="1"/>
    <col min="2" max="2" width="61.42578125" style="235" customWidth="1"/>
    <col min="3" max="3" width="11" style="235" customWidth="1"/>
    <col min="4" max="5" width="13.28515625" style="235" customWidth="1"/>
    <col min="6" max="6" width="12" style="235" customWidth="1"/>
    <col min="7" max="7" width="11.42578125" style="235" customWidth="1"/>
    <col min="8" max="8" width="11.28515625" style="235" customWidth="1"/>
    <col min="9" max="9" width="11.5703125" style="235" customWidth="1"/>
    <col min="10" max="10" width="9.28515625" style="235" customWidth="1"/>
    <col min="11" max="11" width="7.85546875" style="235" customWidth="1"/>
    <col min="12" max="12" width="7" style="235" customWidth="1"/>
    <col min="13" max="13" width="12.7109375" style="235" hidden="1" customWidth="1"/>
    <col min="14" max="15" width="12.7109375" style="235" customWidth="1"/>
    <col min="16" max="16" width="14.140625" style="235" hidden="1" customWidth="1"/>
    <col min="17" max="17" width="16" style="235" hidden="1" customWidth="1"/>
    <col min="18" max="18" width="10" style="235" customWidth="1"/>
    <col min="19" max="19" width="16.42578125" style="235" customWidth="1"/>
    <col min="20" max="16384" width="9.140625" style="235"/>
  </cols>
  <sheetData>
    <row r="1" spans="1:19" ht="15.75" customHeight="1">
      <c r="F1" s="897"/>
      <c r="G1" s="897"/>
      <c r="H1" s="897"/>
      <c r="I1" s="256" t="s">
        <v>70</v>
      </c>
      <c r="J1" s="256"/>
      <c r="K1" s="256"/>
      <c r="L1" s="256"/>
      <c r="M1" s="6"/>
      <c r="N1" s="6"/>
      <c r="O1" s="7"/>
    </row>
    <row r="2" spans="1:19" ht="15" customHeight="1"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7"/>
    </row>
    <row r="3" spans="1:19" ht="43.5" customHeight="1">
      <c r="A3" s="3128" t="s">
        <v>229</v>
      </c>
      <c r="B3" s="3128"/>
      <c r="C3" s="3128"/>
      <c r="D3" s="3128"/>
      <c r="E3" s="3128"/>
      <c r="F3" s="3128"/>
      <c r="G3" s="3128"/>
      <c r="H3" s="3128"/>
      <c r="I3" s="3128"/>
      <c r="J3" s="3128"/>
      <c r="K3" s="3128"/>
      <c r="L3" s="3128"/>
      <c r="M3" s="3128"/>
      <c r="N3" s="3128"/>
      <c r="O3" s="3128"/>
    </row>
    <row r="4" spans="1:19" ht="9.75" customHeight="1" thickBot="1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</row>
    <row r="5" spans="1:19" ht="75.75" customHeight="1">
      <c r="A5" s="1088"/>
      <c r="B5" s="1089"/>
      <c r="C5" s="3129" t="s">
        <v>71</v>
      </c>
      <c r="D5" s="3131" t="s">
        <v>72</v>
      </c>
      <c r="E5" s="2982" t="s">
        <v>263</v>
      </c>
      <c r="F5" s="3149" t="s">
        <v>533</v>
      </c>
      <c r="G5" s="3146" t="s">
        <v>474</v>
      </c>
      <c r="H5" s="3147"/>
      <c r="I5" s="3147"/>
      <c r="J5" s="3147"/>
      <c r="K5" s="3147"/>
      <c r="L5" s="3148"/>
      <c r="M5" s="3138" t="s">
        <v>495</v>
      </c>
      <c r="N5" s="3138" t="s">
        <v>475</v>
      </c>
      <c r="O5" s="3133" t="s">
        <v>73</v>
      </c>
    </row>
    <row r="6" spans="1:19" ht="18" customHeight="1" thickBot="1">
      <c r="A6" s="2984"/>
      <c r="B6" s="898"/>
      <c r="C6" s="3130"/>
      <c r="D6" s="3132"/>
      <c r="E6" s="2983" t="s">
        <v>453</v>
      </c>
      <c r="F6" s="3150"/>
      <c r="G6" s="2980" t="s">
        <v>6</v>
      </c>
      <c r="H6" s="2980" t="s">
        <v>207</v>
      </c>
      <c r="I6" s="2980" t="s">
        <v>209</v>
      </c>
      <c r="J6" s="2980" t="s">
        <v>254</v>
      </c>
      <c r="K6" s="2980" t="s">
        <v>255</v>
      </c>
      <c r="L6" s="2980" t="s">
        <v>253</v>
      </c>
      <c r="M6" s="3139"/>
      <c r="N6" s="3139"/>
      <c r="O6" s="3134"/>
      <c r="P6" s="480"/>
      <c r="Q6" s="480"/>
    </row>
    <row r="7" spans="1:19" s="260" customFormat="1" ht="12.75" customHeight="1" thickBot="1">
      <c r="A7" s="8">
        <v>1</v>
      </c>
      <c r="B7" s="9">
        <v>2</v>
      </c>
      <c r="C7" s="10">
        <v>3</v>
      </c>
      <c r="D7" s="11">
        <v>4</v>
      </c>
      <c r="E7" s="13">
        <v>5</v>
      </c>
      <c r="F7" s="12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4">
        <v>13</v>
      </c>
      <c r="N7" s="14">
        <v>13</v>
      </c>
      <c r="O7" s="15">
        <v>14</v>
      </c>
      <c r="P7" s="259"/>
      <c r="Q7" s="259"/>
    </row>
    <row r="8" spans="1:19" ht="14.25" customHeight="1">
      <c r="A8" s="3135" t="s">
        <v>68</v>
      </c>
      <c r="B8" s="211" t="s">
        <v>76</v>
      </c>
      <c r="C8" s="212"/>
      <c r="D8" s="213">
        <f>+D9+D10</f>
        <v>732657989</v>
      </c>
      <c r="E8" s="213">
        <f>+E9+E10</f>
        <v>45122657</v>
      </c>
      <c r="F8" s="213">
        <f t="shared" ref="F8:G8" si="0">+F9+F10</f>
        <v>239140338</v>
      </c>
      <c r="G8" s="213">
        <f t="shared" si="0"/>
        <v>403549027</v>
      </c>
      <c r="H8" s="213">
        <f t="shared" ref="H8:L8" si="1">+H9+H10</f>
        <v>44763795</v>
      </c>
      <c r="I8" s="213">
        <f t="shared" si="1"/>
        <v>82172</v>
      </c>
      <c r="J8" s="213">
        <f t="shared" si="1"/>
        <v>0</v>
      </c>
      <c r="K8" s="213">
        <f t="shared" si="1"/>
        <v>0</v>
      </c>
      <c r="L8" s="213">
        <f t="shared" si="1"/>
        <v>0</v>
      </c>
      <c r="M8" s="16">
        <f>+M9+M10</f>
        <v>687535332</v>
      </c>
      <c r="N8" s="16">
        <f>+N9+N10</f>
        <v>448394994</v>
      </c>
      <c r="O8" s="899"/>
      <c r="P8" s="480"/>
    </row>
    <row r="9" spans="1:19" ht="14.25" customHeight="1">
      <c r="A9" s="3136"/>
      <c r="B9" s="214" t="s">
        <v>77</v>
      </c>
      <c r="C9" s="215"/>
      <c r="D9" s="216">
        <f>+D458+D476+D394+D409</f>
        <v>944587</v>
      </c>
      <c r="E9" s="216">
        <f>+E458+E476+E394+E409</f>
        <v>48374</v>
      </c>
      <c r="F9" s="216">
        <f t="shared" ref="F9:J9" si="2">+F458+F476+F394+F409</f>
        <v>336730</v>
      </c>
      <c r="G9" s="216">
        <f t="shared" si="2"/>
        <v>281076</v>
      </c>
      <c r="H9" s="216">
        <f t="shared" si="2"/>
        <v>196235</v>
      </c>
      <c r="I9" s="216">
        <f t="shared" si="2"/>
        <v>82172</v>
      </c>
      <c r="J9" s="216">
        <f t="shared" si="2"/>
        <v>0</v>
      </c>
      <c r="K9" s="216">
        <f t="shared" ref="K9:L9" si="3">+K458+K476+K394</f>
        <v>0</v>
      </c>
      <c r="L9" s="216">
        <f t="shared" si="3"/>
        <v>0</v>
      </c>
      <c r="M9" s="1090">
        <f>SUM(F9:K9)</f>
        <v>896213</v>
      </c>
      <c r="N9" s="1090">
        <f>SUM(G9:L9)</f>
        <v>559483</v>
      </c>
      <c r="O9" s="900"/>
    </row>
    <row r="10" spans="1:19" ht="14.25" customHeight="1" thickBot="1">
      <c r="A10" s="3136"/>
      <c r="B10" s="901" t="s">
        <v>9</v>
      </c>
      <c r="C10" s="902"/>
      <c r="D10" s="903">
        <f>+D114+D129+D54+D68+D145+D301+D265+D277+D80+D92+D104+D327+D440+D289+D337+D157+D169+D181+D193+D346+D358+D367+D376+D385+D205+D217+D229+D241+D253</f>
        <v>731713402</v>
      </c>
      <c r="E10" s="903">
        <f t="shared" ref="E10:L10" si="4">+E114+E129+E54+E68+E145+E301+E265+E277+E80+E92+E104+E327+E440+E289+E337+E157+E169+E181+E193+E346+E358+E367+E376+E385+E205+E217+E229+E241+E253</f>
        <v>45074283</v>
      </c>
      <c r="F10" s="903">
        <f t="shared" si="4"/>
        <v>238803608</v>
      </c>
      <c r="G10" s="903">
        <f t="shared" si="4"/>
        <v>403267951</v>
      </c>
      <c r="H10" s="903">
        <f t="shared" si="4"/>
        <v>44567560</v>
      </c>
      <c r="I10" s="903">
        <f t="shared" si="4"/>
        <v>0</v>
      </c>
      <c r="J10" s="903">
        <f t="shared" si="4"/>
        <v>0</v>
      </c>
      <c r="K10" s="903">
        <f t="shared" si="4"/>
        <v>0</v>
      </c>
      <c r="L10" s="903">
        <f t="shared" si="4"/>
        <v>0</v>
      </c>
      <c r="M10" s="154">
        <f>SUM(F10:K10)</f>
        <v>686639119</v>
      </c>
      <c r="N10" s="154">
        <f>SUM(G10:L10)</f>
        <v>447835511</v>
      </c>
      <c r="O10" s="900"/>
    </row>
    <row r="11" spans="1:19" ht="13.5" customHeight="1">
      <c r="A11" s="3136"/>
      <c r="B11" s="19" t="s">
        <v>10</v>
      </c>
      <c r="C11" s="20"/>
      <c r="D11" s="904">
        <f>+D12+D18</f>
        <v>732657989</v>
      </c>
      <c r="E11" s="904">
        <f t="shared" ref="E11" si="5">+E12+E18</f>
        <v>45122657</v>
      </c>
      <c r="F11" s="904">
        <f t="shared" ref="F11:N11" si="6">+F12+F18</f>
        <v>239140338</v>
      </c>
      <c r="G11" s="904">
        <f t="shared" si="6"/>
        <v>403549027</v>
      </c>
      <c r="H11" s="904">
        <f t="shared" si="6"/>
        <v>44763795</v>
      </c>
      <c r="I11" s="904">
        <f t="shared" si="6"/>
        <v>82172</v>
      </c>
      <c r="J11" s="904">
        <f t="shared" si="6"/>
        <v>0</v>
      </c>
      <c r="K11" s="904">
        <f t="shared" si="6"/>
        <v>0</v>
      </c>
      <c r="L11" s="904">
        <f t="shared" si="6"/>
        <v>0</v>
      </c>
      <c r="M11" s="905">
        <f t="shared" ref="M11" si="7">+M12+M18</f>
        <v>687535332</v>
      </c>
      <c r="N11" s="905">
        <f t="shared" si="6"/>
        <v>448394994</v>
      </c>
      <c r="O11" s="818"/>
      <c r="P11" s="906"/>
      <c r="Q11" s="480"/>
      <c r="S11" s="480"/>
    </row>
    <row r="12" spans="1:19" s="909" customFormat="1">
      <c r="A12" s="3136"/>
      <c r="B12" s="159" t="s">
        <v>11</v>
      </c>
      <c r="C12" s="1091"/>
      <c r="D12" s="1092">
        <f>+D13+D14+D15+D16+D17</f>
        <v>136936582</v>
      </c>
      <c r="E12" s="1092">
        <f t="shared" ref="E12" si="8">+E13+E14+E15+E16+E17</f>
        <v>14083296</v>
      </c>
      <c r="F12" s="1092">
        <f t="shared" ref="F12:L12" si="9">+F13+F14+F15+F16+F17</f>
        <v>40943544</v>
      </c>
      <c r="G12" s="1092">
        <f t="shared" si="9"/>
        <v>74859444</v>
      </c>
      <c r="H12" s="1092">
        <f t="shared" si="9"/>
        <v>7037632</v>
      </c>
      <c r="I12" s="1092">
        <f t="shared" si="9"/>
        <v>12666</v>
      </c>
      <c r="J12" s="1092">
        <f t="shared" si="9"/>
        <v>0</v>
      </c>
      <c r="K12" s="1092">
        <f t="shared" si="9"/>
        <v>0</v>
      </c>
      <c r="L12" s="1092">
        <f t="shared" si="9"/>
        <v>0</v>
      </c>
      <c r="M12" s="1093">
        <f>SUM(M13:M17)</f>
        <v>122853286</v>
      </c>
      <c r="N12" s="1093">
        <f>SUM(N13:N17)</f>
        <v>81909742</v>
      </c>
      <c r="O12" s="907"/>
      <c r="P12" s="908"/>
      <c r="Q12" s="906"/>
    </row>
    <row r="13" spans="1:19">
      <c r="A13" s="3136"/>
      <c r="B13" s="162" t="s">
        <v>12</v>
      </c>
      <c r="C13" s="910"/>
      <c r="D13" s="1094">
        <f t="shared" ref="D13:L13" si="10">+D37+D317+D426+D469</f>
        <v>120158880</v>
      </c>
      <c r="E13" s="1094">
        <f t="shared" si="10"/>
        <v>4728601</v>
      </c>
      <c r="F13" s="1094">
        <f t="shared" si="10"/>
        <v>38596702</v>
      </c>
      <c r="G13" s="1094">
        <f t="shared" si="10"/>
        <v>69783279</v>
      </c>
      <c r="H13" s="1094">
        <f t="shared" si="10"/>
        <v>7037632</v>
      </c>
      <c r="I13" s="1094">
        <f t="shared" si="10"/>
        <v>12666</v>
      </c>
      <c r="J13" s="1094">
        <f t="shared" si="10"/>
        <v>0</v>
      </c>
      <c r="K13" s="1094">
        <f t="shared" si="10"/>
        <v>0</v>
      </c>
      <c r="L13" s="1094">
        <f t="shared" si="10"/>
        <v>0</v>
      </c>
      <c r="M13" s="1095">
        <f>SUM(F13:K13)</f>
        <v>115430279</v>
      </c>
      <c r="N13" s="1095">
        <f>SUM(G13:L13)</f>
        <v>76833577</v>
      </c>
      <c r="O13" s="818"/>
      <c r="P13" s="480"/>
      <c r="Q13" s="480"/>
      <c r="S13" s="480"/>
    </row>
    <row r="14" spans="1:19" ht="12" hidden="1" customHeight="1">
      <c r="A14" s="3136"/>
      <c r="B14" s="1096" t="s">
        <v>78</v>
      </c>
      <c r="C14" s="1097"/>
      <c r="D14" s="1094">
        <f>+D427</f>
        <v>0</v>
      </c>
      <c r="E14" s="1094">
        <f t="shared" ref="E14" si="11">+E427</f>
        <v>0</v>
      </c>
      <c r="F14" s="1094">
        <f t="shared" ref="F14:L14" si="12">+F427</f>
        <v>0</v>
      </c>
      <c r="G14" s="1094">
        <f t="shared" si="12"/>
        <v>0</v>
      </c>
      <c r="H14" s="1094">
        <f t="shared" si="12"/>
        <v>0</v>
      </c>
      <c r="I14" s="1094">
        <f t="shared" si="12"/>
        <v>0</v>
      </c>
      <c r="J14" s="1094">
        <f t="shared" si="12"/>
        <v>0</v>
      </c>
      <c r="K14" s="1094">
        <f t="shared" si="12"/>
        <v>0</v>
      </c>
      <c r="L14" s="1094">
        <f t="shared" si="12"/>
        <v>0</v>
      </c>
      <c r="M14" s="1095">
        <f>SUM(E14:K14)</f>
        <v>0</v>
      </c>
      <c r="N14" s="1095">
        <f>SUM(F14:L14)</f>
        <v>0</v>
      </c>
      <c r="O14" s="913"/>
      <c r="P14" s="480"/>
    </row>
    <row r="15" spans="1:19" ht="13.5" customHeight="1">
      <c r="A15" s="3136"/>
      <c r="B15" s="162" t="s">
        <v>15</v>
      </c>
      <c r="C15" s="910"/>
      <c r="D15" s="1094">
        <f t="shared" ref="D15:L15" si="13">+D38+D318</f>
        <v>16777702</v>
      </c>
      <c r="E15" s="1094">
        <f t="shared" si="13"/>
        <v>9354695</v>
      </c>
      <c r="F15" s="1094">
        <f t="shared" si="13"/>
        <v>2346842</v>
      </c>
      <c r="G15" s="1094">
        <f t="shared" si="13"/>
        <v>5076165</v>
      </c>
      <c r="H15" s="1094">
        <f t="shared" si="13"/>
        <v>0</v>
      </c>
      <c r="I15" s="1094">
        <f t="shared" si="13"/>
        <v>0</v>
      </c>
      <c r="J15" s="1094">
        <f t="shared" si="13"/>
        <v>0</v>
      </c>
      <c r="K15" s="1094">
        <f t="shared" si="13"/>
        <v>0</v>
      </c>
      <c r="L15" s="1094">
        <f t="shared" si="13"/>
        <v>0</v>
      </c>
      <c r="M15" s="1047">
        <f>SUM(F15:K15)</f>
        <v>7423007</v>
      </c>
      <c r="N15" s="1047">
        <f>SUM(G15:L15)</f>
        <v>5076165</v>
      </c>
      <c r="O15" s="913"/>
      <c r="P15" s="480"/>
    </row>
    <row r="16" spans="1:19" ht="13.5" hidden="1" customHeight="1">
      <c r="A16" s="3136"/>
      <c r="B16" s="162" t="s">
        <v>52</v>
      </c>
      <c r="C16" s="910"/>
      <c r="D16" s="1094">
        <f t="shared" ref="D16:L16" si="14">+D428+D40</f>
        <v>0</v>
      </c>
      <c r="E16" s="1094">
        <f t="shared" si="14"/>
        <v>0</v>
      </c>
      <c r="F16" s="1094">
        <f t="shared" si="14"/>
        <v>0</v>
      </c>
      <c r="G16" s="1094">
        <f t="shared" si="14"/>
        <v>0</v>
      </c>
      <c r="H16" s="1094">
        <f t="shared" si="14"/>
        <v>0</v>
      </c>
      <c r="I16" s="1094">
        <f t="shared" si="14"/>
        <v>0</v>
      </c>
      <c r="J16" s="1094">
        <f t="shared" si="14"/>
        <v>0</v>
      </c>
      <c r="K16" s="1094">
        <f t="shared" si="14"/>
        <v>0</v>
      </c>
      <c r="L16" s="1094">
        <f t="shared" si="14"/>
        <v>0</v>
      </c>
      <c r="M16" s="1095">
        <f>SUM(E16:K16)</f>
        <v>0</v>
      </c>
      <c r="N16" s="1095">
        <f>SUM(F16:L16)</f>
        <v>0</v>
      </c>
      <c r="O16" s="913"/>
      <c r="P16" s="480"/>
    </row>
    <row r="17" spans="1:19" ht="12" hidden="1" customHeight="1">
      <c r="A17" s="3136"/>
      <c r="B17" s="162" t="s">
        <v>17</v>
      </c>
      <c r="C17" s="910"/>
      <c r="D17" s="1094">
        <f>+D39</f>
        <v>0</v>
      </c>
      <c r="E17" s="1094">
        <f t="shared" ref="E17" si="15">+E39</f>
        <v>0</v>
      </c>
      <c r="F17" s="1094">
        <f t="shared" ref="F17:L17" si="16">+F39</f>
        <v>0</v>
      </c>
      <c r="G17" s="1094">
        <f t="shared" si="16"/>
        <v>0</v>
      </c>
      <c r="H17" s="1094">
        <f t="shared" si="16"/>
        <v>0</v>
      </c>
      <c r="I17" s="1094">
        <f t="shared" si="16"/>
        <v>0</v>
      </c>
      <c r="J17" s="1094">
        <f t="shared" si="16"/>
        <v>0</v>
      </c>
      <c r="K17" s="1094">
        <f t="shared" si="16"/>
        <v>0</v>
      </c>
      <c r="L17" s="1094">
        <f t="shared" si="16"/>
        <v>0</v>
      </c>
      <c r="M17" s="1047">
        <f>SUM(F17:K17)</f>
        <v>0</v>
      </c>
      <c r="N17" s="1047">
        <f>SUM(G17:L17)</f>
        <v>0</v>
      </c>
      <c r="O17" s="913"/>
      <c r="P17" s="480"/>
    </row>
    <row r="18" spans="1:19" s="909" customFormat="1" ht="13.5" customHeight="1">
      <c r="A18" s="3136"/>
      <c r="B18" s="159" t="s">
        <v>18</v>
      </c>
      <c r="C18" s="914"/>
      <c r="D18" s="1092">
        <f>+D19+D20+D21</f>
        <v>595721407</v>
      </c>
      <c r="E18" s="1092">
        <f t="shared" ref="E18" si="17">+E19+E20+E21</f>
        <v>31039361</v>
      </c>
      <c r="F18" s="1092">
        <f t="shared" ref="F18:I18" si="18">+F19+F20+F21</f>
        <v>198196794</v>
      </c>
      <c r="G18" s="1092">
        <f t="shared" si="18"/>
        <v>328689583</v>
      </c>
      <c r="H18" s="1092">
        <f t="shared" si="18"/>
        <v>37726163</v>
      </c>
      <c r="I18" s="1092">
        <f t="shared" si="18"/>
        <v>69506</v>
      </c>
      <c r="J18" s="1092">
        <f>+J19+J20+J21</f>
        <v>0</v>
      </c>
      <c r="K18" s="1092">
        <f>+K19+K20+K21</f>
        <v>0</v>
      </c>
      <c r="L18" s="1092">
        <f>+L19+L20+L21</f>
        <v>0</v>
      </c>
      <c r="M18" s="1098">
        <f>+M19+M20+M21</f>
        <v>564682046</v>
      </c>
      <c r="N18" s="1098">
        <f>+N19+N20+N21</f>
        <v>366485252</v>
      </c>
      <c r="O18" s="915"/>
      <c r="P18" s="908"/>
      <c r="Q18" s="906"/>
    </row>
    <row r="19" spans="1:19">
      <c r="A19" s="3136"/>
      <c r="B19" s="1099" t="s">
        <v>20</v>
      </c>
      <c r="C19" s="1100"/>
      <c r="D19" s="1094">
        <f t="shared" ref="D19:L19" si="19">+D320+D471</f>
        <v>33315836</v>
      </c>
      <c r="E19" s="1094">
        <f t="shared" ref="E19" si="20">+E320+E471</f>
        <v>333057</v>
      </c>
      <c r="F19" s="1094">
        <f t="shared" si="19"/>
        <v>6857135</v>
      </c>
      <c r="G19" s="1094">
        <f t="shared" si="19"/>
        <v>20024520</v>
      </c>
      <c r="H19" s="1094">
        <f t="shared" si="19"/>
        <v>6031618</v>
      </c>
      <c r="I19" s="1094">
        <f t="shared" si="19"/>
        <v>69506</v>
      </c>
      <c r="J19" s="1094">
        <f t="shared" si="19"/>
        <v>0</v>
      </c>
      <c r="K19" s="1094">
        <f t="shared" si="19"/>
        <v>0</v>
      </c>
      <c r="L19" s="1094">
        <f t="shared" si="19"/>
        <v>0</v>
      </c>
      <c r="M19" s="1047">
        <f>SUM(F19:K19)</f>
        <v>32982779</v>
      </c>
      <c r="N19" s="1047">
        <f>SUM(G19:L19)</f>
        <v>26125644</v>
      </c>
      <c r="O19" s="913"/>
      <c r="P19" s="480"/>
    </row>
    <row r="20" spans="1:19" ht="12.75" customHeight="1">
      <c r="A20" s="3136"/>
      <c r="B20" s="1101" t="s">
        <v>21</v>
      </c>
      <c r="C20" s="1100"/>
      <c r="D20" s="1094">
        <f t="shared" ref="D20:L20" si="21">+D42+D430</f>
        <v>562405571</v>
      </c>
      <c r="E20" s="1094">
        <f t="shared" si="21"/>
        <v>30706304</v>
      </c>
      <c r="F20" s="1094">
        <f t="shared" si="21"/>
        <v>191339659</v>
      </c>
      <c r="G20" s="1094">
        <f t="shared" si="21"/>
        <v>308665063</v>
      </c>
      <c r="H20" s="1094">
        <f t="shared" si="21"/>
        <v>31694545</v>
      </c>
      <c r="I20" s="1094">
        <f t="shared" si="21"/>
        <v>0</v>
      </c>
      <c r="J20" s="1094">
        <f t="shared" si="21"/>
        <v>0</v>
      </c>
      <c r="K20" s="1094">
        <f t="shared" si="21"/>
        <v>0</v>
      </c>
      <c r="L20" s="1094">
        <f t="shared" si="21"/>
        <v>0</v>
      </c>
      <c r="M20" s="1047">
        <f>SUM(F20:K20)</f>
        <v>531699267</v>
      </c>
      <c r="N20" s="1047">
        <f>SUM(G20:L20)</f>
        <v>340359608</v>
      </c>
      <c r="O20" s="818"/>
      <c r="P20" s="480"/>
      <c r="Q20" s="480"/>
    </row>
    <row r="21" spans="1:19" hidden="1">
      <c r="A21" s="3136"/>
      <c r="B21" s="1101" t="s">
        <v>79</v>
      </c>
      <c r="C21" s="1100"/>
      <c r="D21" s="1094">
        <f>+D431</f>
        <v>0</v>
      </c>
      <c r="E21" s="1094">
        <f t="shared" ref="E21" si="22">+E431</f>
        <v>0</v>
      </c>
      <c r="F21" s="1094">
        <f t="shared" ref="F21:L21" si="23">+F431</f>
        <v>0</v>
      </c>
      <c r="G21" s="1094">
        <f t="shared" si="23"/>
        <v>0</v>
      </c>
      <c r="H21" s="1094">
        <f t="shared" si="23"/>
        <v>0</v>
      </c>
      <c r="I21" s="1094">
        <f t="shared" si="23"/>
        <v>0</v>
      </c>
      <c r="J21" s="1094">
        <f t="shared" si="23"/>
        <v>0</v>
      </c>
      <c r="K21" s="1094">
        <f t="shared" si="23"/>
        <v>0</v>
      </c>
      <c r="L21" s="1094">
        <f t="shared" si="23"/>
        <v>0</v>
      </c>
      <c r="M21" s="1095">
        <f>SUM(E21:H21)</f>
        <v>0</v>
      </c>
      <c r="N21" s="1095">
        <f>SUM(F21:I21)</f>
        <v>0</v>
      </c>
      <c r="O21" s="818"/>
      <c r="P21" s="480"/>
      <c r="Q21" s="480"/>
    </row>
    <row r="22" spans="1:19" ht="13.5" customHeight="1">
      <c r="A22" s="3136"/>
      <c r="B22" s="715" t="s">
        <v>22</v>
      </c>
      <c r="C22" s="813"/>
      <c r="D22" s="791">
        <f>+D23+D29</f>
        <v>612499109</v>
      </c>
      <c r="E22" s="791">
        <f t="shared" ref="E22" si="24">+E23+E29</f>
        <v>34852010</v>
      </c>
      <c r="F22" s="791">
        <f>+F23+F29</f>
        <v>181730429</v>
      </c>
      <c r="G22" s="791">
        <f t="shared" ref="G22:L22" si="25">+G23+G29</f>
        <v>344860961</v>
      </c>
      <c r="H22" s="791">
        <f t="shared" si="25"/>
        <v>47921647</v>
      </c>
      <c r="I22" s="791">
        <f t="shared" si="25"/>
        <v>3134062</v>
      </c>
      <c r="J22" s="791">
        <f t="shared" si="25"/>
        <v>0</v>
      </c>
      <c r="K22" s="791">
        <f t="shared" si="25"/>
        <v>0</v>
      </c>
      <c r="L22" s="791">
        <f t="shared" si="25"/>
        <v>0</v>
      </c>
      <c r="M22" s="3140" t="s">
        <v>23</v>
      </c>
      <c r="N22" s="3140" t="s">
        <v>23</v>
      </c>
      <c r="O22" s="818"/>
      <c r="P22" s="480"/>
      <c r="S22" s="906"/>
    </row>
    <row r="23" spans="1:19" ht="12" customHeight="1">
      <c r="A23" s="3136"/>
      <c r="B23" s="1102" t="s">
        <v>24</v>
      </c>
      <c r="C23" s="1103"/>
      <c r="D23" s="1104">
        <f>+D24+D25+D26+D27+D28</f>
        <v>16777702</v>
      </c>
      <c r="E23" s="1104">
        <f t="shared" ref="E23" si="26">+E24+E25+E26+E27+E28</f>
        <v>9354695</v>
      </c>
      <c r="F23" s="1104">
        <f t="shared" ref="F23:L23" si="27">+F24+F25+F26+F27+F28</f>
        <v>2346842</v>
      </c>
      <c r="G23" s="1104">
        <f t="shared" si="27"/>
        <v>5076165</v>
      </c>
      <c r="H23" s="1104">
        <f t="shared" si="27"/>
        <v>0</v>
      </c>
      <c r="I23" s="1104">
        <f t="shared" si="27"/>
        <v>0</v>
      </c>
      <c r="J23" s="1104">
        <f t="shared" si="27"/>
        <v>0</v>
      </c>
      <c r="K23" s="1104">
        <f t="shared" si="27"/>
        <v>0</v>
      </c>
      <c r="L23" s="1104">
        <f t="shared" si="27"/>
        <v>0</v>
      </c>
      <c r="M23" s="3141"/>
      <c r="N23" s="3141"/>
      <c r="O23" s="818"/>
    </row>
    <row r="24" spans="1:19" hidden="1">
      <c r="A24" s="3136"/>
      <c r="B24" s="1096" t="s">
        <v>78</v>
      </c>
      <c r="C24" s="916"/>
      <c r="D24" s="1105">
        <f>+D434</f>
        <v>0</v>
      </c>
      <c r="E24" s="1105">
        <f t="shared" ref="E24" si="28">+E434</f>
        <v>0</v>
      </c>
      <c r="F24" s="1105">
        <f t="shared" ref="F24:L24" si="29">+F434</f>
        <v>0</v>
      </c>
      <c r="G24" s="1105">
        <f t="shared" si="29"/>
        <v>0</v>
      </c>
      <c r="H24" s="1105">
        <f t="shared" si="29"/>
        <v>0</v>
      </c>
      <c r="I24" s="1105">
        <f t="shared" si="29"/>
        <v>0</v>
      </c>
      <c r="J24" s="1105">
        <f t="shared" si="29"/>
        <v>0</v>
      </c>
      <c r="K24" s="1105">
        <f t="shared" si="29"/>
        <v>0</v>
      </c>
      <c r="L24" s="1105">
        <f t="shared" si="29"/>
        <v>0</v>
      </c>
      <c r="M24" s="3141"/>
      <c r="N24" s="3141"/>
      <c r="O24" s="913"/>
    </row>
    <row r="25" spans="1:19">
      <c r="A25" s="3136"/>
      <c r="B25" s="23" t="s">
        <v>15</v>
      </c>
      <c r="C25" s="24"/>
      <c r="D25" s="1094">
        <f t="shared" ref="D25:L25" si="30">+D45+D318</f>
        <v>16777702</v>
      </c>
      <c r="E25" s="1094">
        <f t="shared" si="30"/>
        <v>9354695</v>
      </c>
      <c r="F25" s="1094">
        <f t="shared" si="30"/>
        <v>2346842</v>
      </c>
      <c r="G25" s="1094">
        <f t="shared" si="30"/>
        <v>5076165</v>
      </c>
      <c r="H25" s="1094">
        <f t="shared" si="30"/>
        <v>0</v>
      </c>
      <c r="I25" s="1094">
        <f t="shared" si="30"/>
        <v>0</v>
      </c>
      <c r="J25" s="1094">
        <f t="shared" si="30"/>
        <v>0</v>
      </c>
      <c r="K25" s="1094">
        <f t="shared" si="30"/>
        <v>0</v>
      </c>
      <c r="L25" s="1094">
        <f t="shared" si="30"/>
        <v>0</v>
      </c>
      <c r="M25" s="3141"/>
      <c r="N25" s="3141"/>
      <c r="O25" s="913"/>
      <c r="P25" s="480">
        <f>D25-D15</f>
        <v>0</v>
      </c>
    </row>
    <row r="26" spans="1:19" ht="12" hidden="1" customHeight="1">
      <c r="A26" s="3136"/>
      <c r="B26" s="23" t="s">
        <v>52</v>
      </c>
      <c r="C26" s="24"/>
      <c r="D26" s="1094">
        <f t="shared" ref="D26:L26" si="31">+D435+D48</f>
        <v>0</v>
      </c>
      <c r="E26" s="1094">
        <f t="shared" si="31"/>
        <v>0</v>
      </c>
      <c r="F26" s="1094">
        <f t="shared" si="31"/>
        <v>0</v>
      </c>
      <c r="G26" s="1094">
        <f t="shared" si="31"/>
        <v>0</v>
      </c>
      <c r="H26" s="1094">
        <f t="shared" si="31"/>
        <v>0</v>
      </c>
      <c r="I26" s="1094">
        <f t="shared" si="31"/>
        <v>0</v>
      </c>
      <c r="J26" s="1094">
        <f t="shared" si="31"/>
        <v>0</v>
      </c>
      <c r="K26" s="1094">
        <f t="shared" si="31"/>
        <v>0</v>
      </c>
      <c r="L26" s="1094">
        <f t="shared" si="31"/>
        <v>0</v>
      </c>
      <c r="M26" s="3141"/>
      <c r="N26" s="3141"/>
      <c r="O26" s="913"/>
      <c r="P26" s="480">
        <f>D16-D26</f>
        <v>0</v>
      </c>
    </row>
    <row r="27" spans="1:19" ht="12" hidden="1" customHeight="1">
      <c r="A27" s="3136"/>
      <c r="B27" s="162" t="s">
        <v>17</v>
      </c>
      <c r="C27" s="25"/>
      <c r="D27" s="1094">
        <f>+D46</f>
        <v>0</v>
      </c>
      <c r="E27" s="1094">
        <f t="shared" ref="E27:E28" si="32">+E46</f>
        <v>0</v>
      </c>
      <c r="F27" s="1094">
        <f t="shared" ref="F27:L28" si="33">+F46</f>
        <v>0</v>
      </c>
      <c r="G27" s="1094">
        <f t="shared" si="33"/>
        <v>0</v>
      </c>
      <c r="H27" s="1094">
        <f t="shared" si="33"/>
        <v>0</v>
      </c>
      <c r="I27" s="1094">
        <f t="shared" si="33"/>
        <v>0</v>
      </c>
      <c r="J27" s="1094">
        <f t="shared" si="33"/>
        <v>0</v>
      </c>
      <c r="K27" s="1094">
        <f t="shared" si="33"/>
        <v>0</v>
      </c>
      <c r="L27" s="1094">
        <f t="shared" si="33"/>
        <v>0</v>
      </c>
      <c r="M27" s="3141"/>
      <c r="N27" s="3141"/>
      <c r="O27" s="913"/>
      <c r="P27" s="480">
        <f>D17-D27</f>
        <v>0</v>
      </c>
    </row>
    <row r="28" spans="1:19" ht="12" hidden="1" customHeight="1">
      <c r="A28" s="3136"/>
      <c r="B28" s="162" t="s">
        <v>80</v>
      </c>
      <c r="C28" s="25"/>
      <c r="D28" s="1094">
        <f>+D47</f>
        <v>0</v>
      </c>
      <c r="E28" s="1094">
        <f t="shared" si="32"/>
        <v>0</v>
      </c>
      <c r="F28" s="1094">
        <f t="shared" si="33"/>
        <v>0</v>
      </c>
      <c r="G28" s="1094">
        <f t="shared" si="33"/>
        <v>0</v>
      </c>
      <c r="H28" s="1094">
        <f t="shared" si="33"/>
        <v>0</v>
      </c>
      <c r="I28" s="1094">
        <f t="shared" si="33"/>
        <v>0</v>
      </c>
      <c r="J28" s="1094">
        <f t="shared" si="33"/>
        <v>0</v>
      </c>
      <c r="K28" s="1094">
        <f t="shared" si="33"/>
        <v>0</v>
      </c>
      <c r="L28" s="1094">
        <f t="shared" si="33"/>
        <v>0</v>
      </c>
      <c r="M28" s="3141"/>
      <c r="N28" s="3141"/>
      <c r="O28" s="913"/>
    </row>
    <row r="29" spans="1:19" ht="12.75" customHeight="1">
      <c r="A29" s="3136"/>
      <c r="B29" s="1106" t="s">
        <v>18</v>
      </c>
      <c r="C29" s="1107"/>
      <c r="D29" s="1104">
        <f>+D30+D31+D32+D33</f>
        <v>595721407</v>
      </c>
      <c r="E29" s="1104">
        <f t="shared" ref="E29" si="34">+E30+E31+E32+E33</f>
        <v>25497315</v>
      </c>
      <c r="F29" s="1104">
        <f>+F30+F31+F32+F33</f>
        <v>179383587</v>
      </c>
      <c r="G29" s="1104">
        <f t="shared" ref="G29:L29" si="35">+G30+G31+G32+G33</f>
        <v>339784796</v>
      </c>
      <c r="H29" s="1104">
        <f t="shared" si="35"/>
        <v>47921647</v>
      </c>
      <c r="I29" s="1104">
        <f t="shared" si="35"/>
        <v>3134062</v>
      </c>
      <c r="J29" s="1104">
        <f t="shared" si="35"/>
        <v>0</v>
      </c>
      <c r="K29" s="1104">
        <f t="shared" si="35"/>
        <v>0</v>
      </c>
      <c r="L29" s="1104">
        <f t="shared" si="35"/>
        <v>0</v>
      </c>
      <c r="M29" s="3141"/>
      <c r="N29" s="3141"/>
      <c r="O29" s="913"/>
      <c r="P29" s="480">
        <f>D31-D19</f>
        <v>0</v>
      </c>
    </row>
    <row r="30" spans="1:19" ht="14.25" hidden="1" customHeight="1">
      <c r="A30" s="3136"/>
      <c r="B30" s="1108" t="s">
        <v>17</v>
      </c>
      <c r="C30" s="1109"/>
      <c r="D30" s="1094">
        <f>+D50</f>
        <v>0</v>
      </c>
      <c r="E30" s="1094">
        <f t="shared" ref="E30" si="36">+E50</f>
        <v>0</v>
      </c>
      <c r="F30" s="1094">
        <f t="shared" ref="F30:G30" si="37">+F50</f>
        <v>0</v>
      </c>
      <c r="G30" s="1094">
        <f t="shared" si="37"/>
        <v>0</v>
      </c>
      <c r="H30" s="1094">
        <f>+H50</f>
        <v>0</v>
      </c>
      <c r="I30" s="1094">
        <f>+I50</f>
        <v>0</v>
      </c>
      <c r="J30" s="1094">
        <f>+J50</f>
        <v>0</v>
      </c>
      <c r="K30" s="1094">
        <f>+K50</f>
        <v>0</v>
      </c>
      <c r="L30" s="1094">
        <f>+L50</f>
        <v>0</v>
      </c>
      <c r="M30" s="3141"/>
      <c r="N30" s="3141"/>
      <c r="O30" s="913"/>
    </row>
    <row r="31" spans="1:19" ht="11.25" customHeight="1">
      <c r="A31" s="3136"/>
      <c r="B31" s="1099" t="s">
        <v>20</v>
      </c>
      <c r="C31" s="1097"/>
      <c r="D31" s="1110">
        <f t="shared" ref="D31:F31" si="38">+D325+D474</f>
        <v>33315836</v>
      </c>
      <c r="E31" s="1110">
        <f t="shared" ref="E31" si="39">+E325+E474</f>
        <v>0</v>
      </c>
      <c r="F31" s="1110">
        <f t="shared" si="38"/>
        <v>45897</v>
      </c>
      <c r="G31" s="1110">
        <f t="shared" ref="G31:L31" si="40">+G325</f>
        <v>17908775</v>
      </c>
      <c r="H31" s="1110">
        <f t="shared" si="40"/>
        <v>12227102</v>
      </c>
      <c r="I31" s="1110">
        <f t="shared" si="40"/>
        <v>3134062</v>
      </c>
      <c r="J31" s="1110">
        <f t="shared" si="40"/>
        <v>0</v>
      </c>
      <c r="K31" s="1110">
        <f t="shared" si="40"/>
        <v>0</v>
      </c>
      <c r="L31" s="1110">
        <f t="shared" si="40"/>
        <v>0</v>
      </c>
      <c r="M31" s="3141"/>
      <c r="N31" s="3141"/>
      <c r="O31" s="913"/>
      <c r="P31" s="480">
        <f>D32-D20</f>
        <v>0</v>
      </c>
    </row>
    <row r="32" spans="1:19">
      <c r="A32" s="3136"/>
      <c r="B32" s="1099" t="s">
        <v>21</v>
      </c>
      <c r="C32" s="1109"/>
      <c r="D32" s="1110">
        <f t="shared" ref="D32:L32" si="41">+D51+D437</f>
        <v>562405571</v>
      </c>
      <c r="E32" s="1110">
        <f t="shared" si="41"/>
        <v>25497315</v>
      </c>
      <c r="F32" s="1110">
        <f t="shared" si="41"/>
        <v>179337690</v>
      </c>
      <c r="G32" s="1110">
        <f t="shared" si="41"/>
        <v>321876021</v>
      </c>
      <c r="H32" s="1110">
        <f t="shared" si="41"/>
        <v>35694545</v>
      </c>
      <c r="I32" s="1110">
        <f t="shared" si="41"/>
        <v>0</v>
      </c>
      <c r="J32" s="1110">
        <f t="shared" si="41"/>
        <v>0</v>
      </c>
      <c r="K32" s="1110">
        <f t="shared" si="41"/>
        <v>0</v>
      </c>
      <c r="L32" s="1110">
        <f t="shared" si="41"/>
        <v>0</v>
      </c>
      <c r="M32" s="3141"/>
      <c r="N32" s="3141"/>
      <c r="O32" s="913"/>
    </row>
    <row r="33" spans="1:17" ht="13.5" hidden="1" thickBot="1">
      <c r="A33" s="3137"/>
      <c r="B33" s="26" t="s">
        <v>79</v>
      </c>
      <c r="C33" s="27"/>
      <c r="D33" s="918">
        <f>+D438</f>
        <v>0</v>
      </c>
      <c r="E33" s="918">
        <f t="shared" ref="E33" si="42">+E438</f>
        <v>0</v>
      </c>
      <c r="F33" s="918">
        <f t="shared" ref="F33:L33" si="43">+F438</f>
        <v>0</v>
      </c>
      <c r="G33" s="918">
        <f t="shared" si="43"/>
        <v>0</v>
      </c>
      <c r="H33" s="918">
        <f t="shared" si="43"/>
        <v>0</v>
      </c>
      <c r="I33" s="918">
        <f t="shared" si="43"/>
        <v>0</v>
      </c>
      <c r="J33" s="918">
        <f t="shared" si="43"/>
        <v>0</v>
      </c>
      <c r="K33" s="918">
        <f t="shared" si="43"/>
        <v>0</v>
      </c>
      <c r="L33" s="918">
        <f t="shared" si="43"/>
        <v>0</v>
      </c>
      <c r="M33" s="3142"/>
      <c r="N33" s="3142"/>
      <c r="O33" s="913"/>
    </row>
    <row r="34" spans="1:17" ht="25.5" customHeight="1">
      <c r="A34" s="919" t="s">
        <v>226</v>
      </c>
      <c r="B34" s="1454" t="s">
        <v>244</v>
      </c>
      <c r="C34" s="920"/>
      <c r="D34" s="28"/>
      <c r="E34" s="29"/>
      <c r="F34" s="29"/>
      <c r="G34" s="29"/>
      <c r="H34" s="29"/>
      <c r="I34" s="29"/>
      <c r="J34" s="29"/>
      <c r="K34" s="29"/>
      <c r="L34" s="29"/>
      <c r="M34" s="2385"/>
      <c r="N34" s="2386"/>
      <c r="O34" s="921"/>
    </row>
    <row r="35" spans="1:17" ht="13.5" customHeight="1">
      <c r="A35" s="919"/>
      <c r="B35" s="1073" t="s">
        <v>10</v>
      </c>
      <c r="C35" s="813"/>
      <c r="D35" s="1036">
        <f>+D36+D41</f>
        <v>685621684</v>
      </c>
      <c r="E35" s="1036">
        <f t="shared" ref="E35:L35" si="44">+E36+E41</f>
        <v>44279542</v>
      </c>
      <c r="F35" s="1036">
        <f t="shared" si="44"/>
        <v>230056938</v>
      </c>
      <c r="G35" s="1036">
        <f t="shared" si="44"/>
        <v>374417504</v>
      </c>
      <c r="H35" s="1036">
        <f t="shared" si="44"/>
        <v>36867700</v>
      </c>
      <c r="I35" s="1036">
        <f t="shared" si="44"/>
        <v>0</v>
      </c>
      <c r="J35" s="1036">
        <f t="shared" si="44"/>
        <v>0</v>
      </c>
      <c r="K35" s="1036">
        <f t="shared" si="44"/>
        <v>0</v>
      </c>
      <c r="L35" s="1036">
        <f t="shared" si="44"/>
        <v>0</v>
      </c>
      <c r="M35" s="1021">
        <f t="shared" ref="M35" si="45">+M36+M41</f>
        <v>641342142</v>
      </c>
      <c r="N35" s="1021">
        <f t="shared" ref="N35" si="46">+N36+N41</f>
        <v>411285204</v>
      </c>
      <c r="O35" s="921"/>
      <c r="P35" s="480"/>
    </row>
    <row r="36" spans="1:17" s="909" customFormat="1" ht="13.5" customHeight="1">
      <c r="A36" s="919"/>
      <c r="B36" s="1111" t="s">
        <v>24</v>
      </c>
      <c r="C36" s="1112"/>
      <c r="D36" s="1075">
        <f>+D37+D38+D39+D40</f>
        <v>123216113</v>
      </c>
      <c r="E36" s="1075">
        <f t="shared" ref="E36:L36" si="47">+E37+E38+E39+E40</f>
        <v>13573238</v>
      </c>
      <c r="F36" s="1075">
        <f t="shared" si="47"/>
        <v>38717279</v>
      </c>
      <c r="G36" s="1075">
        <f t="shared" si="47"/>
        <v>65752441</v>
      </c>
      <c r="H36" s="1075">
        <f t="shared" si="47"/>
        <v>5173155</v>
      </c>
      <c r="I36" s="1075">
        <f t="shared" si="47"/>
        <v>0</v>
      </c>
      <c r="J36" s="1075">
        <f t="shared" si="47"/>
        <v>0</v>
      </c>
      <c r="K36" s="1075">
        <f t="shared" si="47"/>
        <v>0</v>
      </c>
      <c r="L36" s="1075">
        <f t="shared" si="47"/>
        <v>0</v>
      </c>
      <c r="M36" s="1113">
        <f>+M37+M38+M39+M40</f>
        <v>109642875</v>
      </c>
      <c r="N36" s="1113">
        <f>+N37+N38+N39+N40</f>
        <v>70925596</v>
      </c>
      <c r="O36" s="921"/>
      <c r="Q36" s="906"/>
    </row>
    <row r="37" spans="1:17">
      <c r="A37" s="919"/>
      <c r="B37" s="1114" t="s">
        <v>12</v>
      </c>
      <c r="C37" s="1115"/>
      <c r="D37" s="1076">
        <f>+D291+D147+D303+D267+D279+D82+D131+D56+D94+D70+D106+D116+D159+D171+D183+D195+D207+D219+D231+D243+D255</f>
        <v>106495414</v>
      </c>
      <c r="E37" s="1076">
        <f t="shared" ref="E37:L37" si="48">+E291+E147+E303+E267+E279+E82+E131+E56+E94+E70+E106+E116+E159+E171+E183+E195+E207+E219+E231+E243+E255</f>
        <v>4275546</v>
      </c>
      <c r="F37" s="1076">
        <f t="shared" si="48"/>
        <v>36370437</v>
      </c>
      <c r="G37" s="1076">
        <f t="shared" si="48"/>
        <v>60676276</v>
      </c>
      <c r="H37" s="1076">
        <f t="shared" si="48"/>
        <v>5173155</v>
      </c>
      <c r="I37" s="1076">
        <f t="shared" si="48"/>
        <v>0</v>
      </c>
      <c r="J37" s="1076">
        <f t="shared" si="48"/>
        <v>0</v>
      </c>
      <c r="K37" s="1076">
        <f t="shared" si="48"/>
        <v>0</v>
      </c>
      <c r="L37" s="1076">
        <f t="shared" si="48"/>
        <v>0</v>
      </c>
      <c r="M37" s="1047">
        <f>SUM(F37:K37)</f>
        <v>102219868</v>
      </c>
      <c r="N37" s="1047">
        <f t="shared" ref="M37:N39" si="49">SUM(G37:L37)</f>
        <v>65849431</v>
      </c>
      <c r="O37" s="924"/>
      <c r="P37" s="480"/>
      <c r="Q37" s="906"/>
    </row>
    <row r="38" spans="1:17" ht="12" customHeight="1">
      <c r="A38" s="919"/>
      <c r="B38" s="1039" t="s">
        <v>15</v>
      </c>
      <c r="C38" s="1043"/>
      <c r="D38" s="1076">
        <f>+D148+D305+D268+D83+D118+D133+D95+D208+D220+D172+D232</f>
        <v>16720699</v>
      </c>
      <c r="E38" s="1076">
        <f t="shared" ref="E38:L38" si="50">+E148+E305+E268+E83+E118+E133+E95+E208+E220+E172+E232</f>
        <v>9297692</v>
      </c>
      <c r="F38" s="1076">
        <f t="shared" si="50"/>
        <v>2346842</v>
      </c>
      <c r="G38" s="1076">
        <f t="shared" si="50"/>
        <v>5076165</v>
      </c>
      <c r="H38" s="1076">
        <f t="shared" si="50"/>
        <v>0</v>
      </c>
      <c r="I38" s="1076">
        <f t="shared" si="50"/>
        <v>0</v>
      </c>
      <c r="J38" s="1076">
        <f t="shared" si="50"/>
        <v>0</v>
      </c>
      <c r="K38" s="1076">
        <f t="shared" si="50"/>
        <v>0</v>
      </c>
      <c r="L38" s="1076">
        <f t="shared" si="50"/>
        <v>0</v>
      </c>
      <c r="M38" s="1047">
        <f t="shared" si="49"/>
        <v>7423007</v>
      </c>
      <c r="N38" s="1047">
        <f t="shared" si="49"/>
        <v>5076165</v>
      </c>
      <c r="O38" s="924"/>
      <c r="P38" s="480">
        <f>D38-D45</f>
        <v>0</v>
      </c>
      <c r="Q38" s="906"/>
    </row>
    <row r="39" spans="1:17" ht="12" hidden="1" customHeight="1">
      <c r="A39" s="919"/>
      <c r="B39" s="1039" t="s">
        <v>17</v>
      </c>
      <c r="C39" s="1043"/>
      <c r="D39" s="1076">
        <f>+D117+D132+D57+D71</f>
        <v>0</v>
      </c>
      <c r="E39" s="1076">
        <f t="shared" ref="E39:L39" si="51">+E117+E132+E57+E71</f>
        <v>0</v>
      </c>
      <c r="F39" s="1076">
        <f t="shared" si="51"/>
        <v>0</v>
      </c>
      <c r="G39" s="1076">
        <f t="shared" si="51"/>
        <v>0</v>
      </c>
      <c r="H39" s="1076">
        <f t="shared" si="51"/>
        <v>0</v>
      </c>
      <c r="I39" s="1076">
        <f t="shared" si="51"/>
        <v>0</v>
      </c>
      <c r="J39" s="1076">
        <f t="shared" si="51"/>
        <v>0</v>
      </c>
      <c r="K39" s="1076">
        <f t="shared" si="51"/>
        <v>0</v>
      </c>
      <c r="L39" s="1076">
        <f t="shared" si="51"/>
        <v>0</v>
      </c>
      <c r="M39" s="1047">
        <f t="shared" si="49"/>
        <v>0</v>
      </c>
      <c r="N39" s="1047">
        <f t="shared" si="49"/>
        <v>0</v>
      </c>
      <c r="O39" s="924"/>
      <c r="P39" s="480">
        <f>D39-D46</f>
        <v>0</v>
      </c>
      <c r="Q39" s="906"/>
    </row>
    <row r="40" spans="1:17" ht="12" hidden="1" customHeight="1">
      <c r="A40" s="919"/>
      <c r="B40" s="1039" t="s">
        <v>52</v>
      </c>
      <c r="C40" s="1043"/>
      <c r="D40" s="1076">
        <f>D280+D292+D304</f>
        <v>0</v>
      </c>
      <c r="E40" s="1076">
        <f t="shared" ref="E40:L40" si="52">E280+E292+E304</f>
        <v>0</v>
      </c>
      <c r="F40" s="1076">
        <f t="shared" si="52"/>
        <v>0</v>
      </c>
      <c r="G40" s="1076">
        <f t="shared" si="52"/>
        <v>0</v>
      </c>
      <c r="H40" s="1076">
        <f t="shared" si="52"/>
        <v>0</v>
      </c>
      <c r="I40" s="1076">
        <f t="shared" si="52"/>
        <v>0</v>
      </c>
      <c r="J40" s="1076">
        <f t="shared" si="52"/>
        <v>0</v>
      </c>
      <c r="K40" s="1076">
        <f t="shared" si="52"/>
        <v>0</v>
      </c>
      <c r="L40" s="1076">
        <f t="shared" si="52"/>
        <v>0</v>
      </c>
      <c r="M40" s="1047">
        <f>SUM(E40:K40)</f>
        <v>0</v>
      </c>
      <c r="N40" s="1047">
        <f>SUM(F40:L40)</f>
        <v>0</v>
      </c>
      <c r="O40" s="924"/>
      <c r="P40" s="480"/>
      <c r="Q40" s="906"/>
    </row>
    <row r="41" spans="1:17" s="909" customFormat="1">
      <c r="A41" s="919"/>
      <c r="B41" s="1077" t="s">
        <v>18</v>
      </c>
      <c r="C41" s="1078"/>
      <c r="D41" s="1075">
        <f>+D42</f>
        <v>562405571</v>
      </c>
      <c r="E41" s="1075">
        <f t="shared" ref="E41:L41" si="53">+E42</f>
        <v>30706304</v>
      </c>
      <c r="F41" s="1075">
        <f t="shared" si="53"/>
        <v>191339659</v>
      </c>
      <c r="G41" s="1075">
        <f t="shared" si="53"/>
        <v>308665063</v>
      </c>
      <c r="H41" s="1075">
        <f t="shared" si="53"/>
        <v>31694545</v>
      </c>
      <c r="I41" s="1075">
        <f t="shared" si="53"/>
        <v>0</v>
      </c>
      <c r="J41" s="1075">
        <f t="shared" si="53"/>
        <v>0</v>
      </c>
      <c r="K41" s="1075">
        <f t="shared" si="53"/>
        <v>0</v>
      </c>
      <c r="L41" s="1075">
        <f t="shared" si="53"/>
        <v>0</v>
      </c>
      <c r="M41" s="1116">
        <f>+M42</f>
        <v>531699267</v>
      </c>
      <c r="N41" s="1116">
        <f>+N42</f>
        <v>340359608</v>
      </c>
      <c r="O41" s="924"/>
      <c r="Q41" s="906"/>
    </row>
    <row r="42" spans="1:17">
      <c r="A42" s="919"/>
      <c r="B42" s="1117" t="s">
        <v>21</v>
      </c>
      <c r="C42" s="1118"/>
      <c r="D42" s="1119">
        <f>+D294+D150+D120+D307+D270+D282+D85+D136+D60+D97+D73+D108+D162+D174+D186+D198+D210+D222+D234+D246+D258</f>
        <v>562405571</v>
      </c>
      <c r="E42" s="1119">
        <f t="shared" ref="E42:L42" si="54">+E294+E150+E120+E307+E270+E282+E85+E136+E60+E97+E73+E108+E162+E174+E186+E198+E210+E222+E234+E246+E258</f>
        <v>30706304</v>
      </c>
      <c r="F42" s="1119">
        <f t="shared" si="54"/>
        <v>191339659</v>
      </c>
      <c r="G42" s="1119">
        <f t="shared" si="54"/>
        <v>308665063</v>
      </c>
      <c r="H42" s="1119">
        <f>+H294+H150+H120+H307+H270+H282+H85+H136+H60+H97+H73+H108+H162+H174+H186+H198+H210+H222+H234+H246+H258</f>
        <v>31694545</v>
      </c>
      <c r="I42" s="1119">
        <f t="shared" si="54"/>
        <v>0</v>
      </c>
      <c r="J42" s="1119">
        <f t="shared" si="54"/>
        <v>0</v>
      </c>
      <c r="K42" s="1119">
        <f t="shared" si="54"/>
        <v>0</v>
      </c>
      <c r="L42" s="1119">
        <f t="shared" si="54"/>
        <v>0</v>
      </c>
      <c r="M42" s="1047">
        <f>SUM(F42:K42)</f>
        <v>531699267</v>
      </c>
      <c r="N42" s="1047">
        <f>SUM(G42:L42)</f>
        <v>340359608</v>
      </c>
      <c r="O42" s="921"/>
      <c r="P42" s="480">
        <f>D42-D51</f>
        <v>0</v>
      </c>
      <c r="Q42" s="906"/>
    </row>
    <row r="43" spans="1:17" ht="14.25" customHeight="1">
      <c r="A43" s="919"/>
      <c r="B43" s="715" t="s">
        <v>22</v>
      </c>
      <c r="C43" s="813"/>
      <c r="D43" s="1036">
        <f>+D44+D49</f>
        <v>579126270</v>
      </c>
      <c r="E43" s="1036">
        <f t="shared" ref="E43:L43" si="55">+E44+E49</f>
        <v>34795007</v>
      </c>
      <c r="F43" s="1036">
        <f t="shared" si="55"/>
        <v>181684532</v>
      </c>
      <c r="G43" s="1036">
        <f t="shared" si="55"/>
        <v>326952186</v>
      </c>
      <c r="H43" s="1036">
        <f t="shared" si="55"/>
        <v>35694545</v>
      </c>
      <c r="I43" s="1036">
        <f t="shared" si="55"/>
        <v>0</v>
      </c>
      <c r="J43" s="1036">
        <f t="shared" si="55"/>
        <v>0</v>
      </c>
      <c r="K43" s="1036">
        <f t="shared" si="55"/>
        <v>0</v>
      </c>
      <c r="L43" s="1036">
        <f t="shared" si="55"/>
        <v>0</v>
      </c>
      <c r="M43" s="3143" t="s">
        <v>23</v>
      </c>
      <c r="N43" s="3143" t="s">
        <v>23</v>
      </c>
      <c r="O43" s="924"/>
    </row>
    <row r="44" spans="1:17" ht="12.75" customHeight="1">
      <c r="A44" s="919"/>
      <c r="B44" s="1037" t="s">
        <v>24</v>
      </c>
      <c r="C44" s="927"/>
      <c r="D44" s="37">
        <f>+D45+D46+D47+D48</f>
        <v>16720699</v>
      </c>
      <c r="E44" s="37">
        <f t="shared" ref="E44:L44" si="56">+E45+E46+E47+E48</f>
        <v>9297692</v>
      </c>
      <c r="F44" s="37">
        <f t="shared" si="56"/>
        <v>2346842</v>
      </c>
      <c r="G44" s="37">
        <f t="shared" si="56"/>
        <v>5076165</v>
      </c>
      <c r="H44" s="37">
        <f t="shared" si="56"/>
        <v>0</v>
      </c>
      <c r="I44" s="37">
        <f t="shared" si="56"/>
        <v>0</v>
      </c>
      <c r="J44" s="37">
        <f t="shared" si="56"/>
        <v>0</v>
      </c>
      <c r="K44" s="37">
        <f t="shared" si="56"/>
        <v>0</v>
      </c>
      <c r="L44" s="37">
        <f t="shared" si="56"/>
        <v>0</v>
      </c>
      <c r="M44" s="3144"/>
      <c r="N44" s="3144"/>
      <c r="O44" s="924"/>
      <c r="P44" s="480"/>
    </row>
    <row r="45" spans="1:17" ht="11.25" customHeight="1">
      <c r="A45" s="919"/>
      <c r="B45" s="38" t="s">
        <v>15</v>
      </c>
      <c r="C45" s="39"/>
      <c r="D45" s="1038">
        <f>+D153+D311+D273+D88+D124+D140+D100+D213+D225+D177+D237</f>
        <v>16720699</v>
      </c>
      <c r="E45" s="1038">
        <f t="shared" ref="E45:L45" si="57">+E153+E311+E273+E88+E124+E140+E100+E213+E225+E177+E237</f>
        <v>9297692</v>
      </c>
      <c r="F45" s="1038">
        <f t="shared" si="57"/>
        <v>2346842</v>
      </c>
      <c r="G45" s="1038">
        <f t="shared" si="57"/>
        <v>5076165</v>
      </c>
      <c r="H45" s="1038">
        <f t="shared" si="57"/>
        <v>0</v>
      </c>
      <c r="I45" s="1038">
        <f t="shared" si="57"/>
        <v>0</v>
      </c>
      <c r="J45" s="1038">
        <f t="shared" si="57"/>
        <v>0</v>
      </c>
      <c r="K45" s="1038">
        <f t="shared" si="57"/>
        <v>0</v>
      </c>
      <c r="L45" s="1038">
        <f t="shared" si="57"/>
        <v>0</v>
      </c>
      <c r="M45" s="3144"/>
      <c r="N45" s="3144"/>
      <c r="O45" s="924"/>
    </row>
    <row r="46" spans="1:17" hidden="1">
      <c r="A46" s="919"/>
      <c r="B46" s="1039" t="s">
        <v>17</v>
      </c>
      <c r="C46" s="39"/>
      <c r="D46" s="1038">
        <f>+D123+D139+D63+D76</f>
        <v>0</v>
      </c>
      <c r="E46" s="1038">
        <f t="shared" ref="E46:L46" si="58">+E123+E139+E63+E76</f>
        <v>0</v>
      </c>
      <c r="F46" s="1038">
        <f t="shared" si="58"/>
        <v>0</v>
      </c>
      <c r="G46" s="1038">
        <f t="shared" si="58"/>
        <v>0</v>
      </c>
      <c r="H46" s="1038">
        <f t="shared" si="58"/>
        <v>0</v>
      </c>
      <c r="I46" s="1038">
        <f t="shared" si="58"/>
        <v>0</v>
      </c>
      <c r="J46" s="1038">
        <f t="shared" si="58"/>
        <v>0</v>
      </c>
      <c r="K46" s="1038">
        <f t="shared" si="58"/>
        <v>0</v>
      </c>
      <c r="L46" s="1038">
        <f t="shared" si="58"/>
        <v>0</v>
      </c>
      <c r="M46" s="3144"/>
      <c r="N46" s="3144"/>
      <c r="O46" s="924"/>
    </row>
    <row r="47" spans="1:17" hidden="1">
      <c r="A47" s="919"/>
      <c r="B47" s="1039" t="s">
        <v>26</v>
      </c>
      <c r="C47" s="39"/>
      <c r="D47" s="1038"/>
      <c r="E47" s="1038"/>
      <c r="F47" s="1038"/>
      <c r="G47" s="1038"/>
      <c r="H47" s="1038"/>
      <c r="I47" s="1038"/>
      <c r="J47" s="1038"/>
      <c r="K47" s="1038"/>
      <c r="L47" s="1038"/>
      <c r="M47" s="3144"/>
      <c r="N47" s="3144"/>
      <c r="O47" s="924"/>
    </row>
    <row r="48" spans="1:17" hidden="1">
      <c r="A48" s="919"/>
      <c r="B48" s="1039" t="s">
        <v>52</v>
      </c>
      <c r="C48" s="39"/>
      <c r="D48" s="1038">
        <f>D285+D297+D310</f>
        <v>0</v>
      </c>
      <c r="E48" s="1038">
        <f t="shared" ref="E48:L48" si="59">E285+E297+E310</f>
        <v>0</v>
      </c>
      <c r="F48" s="1038">
        <f t="shared" si="59"/>
        <v>0</v>
      </c>
      <c r="G48" s="1038">
        <f t="shared" si="59"/>
        <v>0</v>
      </c>
      <c r="H48" s="1038">
        <f t="shared" si="59"/>
        <v>0</v>
      </c>
      <c r="I48" s="1038">
        <f t="shared" si="59"/>
        <v>0</v>
      </c>
      <c r="J48" s="1038">
        <f t="shared" si="59"/>
        <v>0</v>
      </c>
      <c r="K48" s="1038">
        <f t="shared" si="59"/>
        <v>0</v>
      </c>
      <c r="L48" s="1038">
        <f t="shared" si="59"/>
        <v>0</v>
      </c>
      <c r="M48" s="3144"/>
      <c r="N48" s="3144"/>
      <c r="O48" s="924"/>
    </row>
    <row r="49" spans="1:16" ht="12" customHeight="1">
      <c r="A49" s="919"/>
      <c r="B49" s="1040" t="s">
        <v>18</v>
      </c>
      <c r="C49" s="1041"/>
      <c r="D49" s="1042">
        <f>+D50+D51</f>
        <v>562405571</v>
      </c>
      <c r="E49" s="1042">
        <f t="shared" ref="E49:L49" si="60">+E50+E51</f>
        <v>25497315</v>
      </c>
      <c r="F49" s="1042">
        <f t="shared" si="60"/>
        <v>179337690</v>
      </c>
      <c r="G49" s="1042">
        <f t="shared" si="60"/>
        <v>321876021</v>
      </c>
      <c r="H49" s="1042">
        <f t="shared" si="60"/>
        <v>35694545</v>
      </c>
      <c r="I49" s="1042">
        <f t="shared" si="60"/>
        <v>0</v>
      </c>
      <c r="J49" s="1042">
        <f t="shared" si="60"/>
        <v>0</v>
      </c>
      <c r="K49" s="1042">
        <f t="shared" si="60"/>
        <v>0</v>
      </c>
      <c r="L49" s="1042">
        <f t="shared" si="60"/>
        <v>0</v>
      </c>
      <c r="M49" s="3144"/>
      <c r="N49" s="3144"/>
      <c r="O49" s="924"/>
    </row>
    <row r="50" spans="1:16" ht="12" hidden="1" customHeight="1">
      <c r="A50" s="919"/>
      <c r="B50" s="1039" t="s">
        <v>17</v>
      </c>
      <c r="C50" s="1043"/>
      <c r="D50" s="1038">
        <f>+D126+D142+D65</f>
        <v>0</v>
      </c>
      <c r="E50" s="1038">
        <f t="shared" ref="E50:L50" si="61">+E126+E142+E65</f>
        <v>0</v>
      </c>
      <c r="F50" s="1038">
        <f t="shared" si="61"/>
        <v>0</v>
      </c>
      <c r="G50" s="1038">
        <f t="shared" si="61"/>
        <v>0</v>
      </c>
      <c r="H50" s="1038">
        <f t="shared" si="61"/>
        <v>0</v>
      </c>
      <c r="I50" s="1038">
        <f t="shared" si="61"/>
        <v>0</v>
      </c>
      <c r="J50" s="1038">
        <f t="shared" si="61"/>
        <v>0</v>
      </c>
      <c r="K50" s="1038">
        <f t="shared" si="61"/>
        <v>0</v>
      </c>
      <c r="L50" s="1038">
        <f t="shared" si="61"/>
        <v>0</v>
      </c>
      <c r="M50" s="3144"/>
      <c r="N50" s="3144"/>
      <c r="O50" s="924"/>
      <c r="P50" s="480"/>
    </row>
    <row r="51" spans="1:16" ht="12.75" customHeight="1" thickBot="1">
      <c r="A51" s="928"/>
      <c r="B51" s="40" t="s">
        <v>21</v>
      </c>
      <c r="C51" s="41"/>
      <c r="D51" s="1044">
        <f>+D299+D155+D127+D313+D275+D287++D90+D143+D66+D102+D78+D111+D167+D179+D191+D203+D215+D227+D239+D251+D263</f>
        <v>562405571</v>
      </c>
      <c r="E51" s="1044">
        <f t="shared" ref="E51:L51" si="62">+E299+E155+E127+E313+E275+E287++E90+E143+E66+E102+E78+E111+E167+E179+E191+E203+E215+E227+E239+E251+E263</f>
        <v>25497315</v>
      </c>
      <c r="F51" s="1044">
        <f t="shared" si="62"/>
        <v>179337690</v>
      </c>
      <c r="G51" s="1044">
        <f t="shared" si="62"/>
        <v>321876021</v>
      </c>
      <c r="H51" s="1044">
        <f t="shared" si="62"/>
        <v>35694545</v>
      </c>
      <c r="I51" s="1044">
        <f t="shared" si="62"/>
        <v>0</v>
      </c>
      <c r="J51" s="1044">
        <f t="shared" si="62"/>
        <v>0</v>
      </c>
      <c r="K51" s="1044">
        <f t="shared" si="62"/>
        <v>0</v>
      </c>
      <c r="L51" s="1044">
        <f t="shared" si="62"/>
        <v>0</v>
      </c>
      <c r="M51" s="3145"/>
      <c r="N51" s="3145"/>
      <c r="O51" s="929"/>
      <c r="P51" s="480"/>
    </row>
    <row r="52" spans="1:16" s="267" customFormat="1" ht="15" customHeight="1" thickBot="1">
      <c r="A52" s="483"/>
      <c r="B52" s="282" t="s">
        <v>358</v>
      </c>
      <c r="C52" s="484"/>
      <c r="D52" s="939"/>
      <c r="E52" s="1897"/>
      <c r="F52" s="940"/>
      <c r="G52" s="940"/>
      <c r="H52" s="940"/>
      <c r="I52" s="940"/>
      <c r="J52" s="940"/>
      <c r="K52" s="940"/>
      <c r="L52" s="940"/>
      <c r="M52" s="485"/>
      <c r="N52" s="485"/>
      <c r="O52" s="486"/>
    </row>
    <row r="53" spans="1:16" ht="23.25" hidden="1" customHeight="1">
      <c r="A53" s="3151"/>
      <c r="B53" s="442" t="s">
        <v>559</v>
      </c>
      <c r="C53" s="58" t="s">
        <v>81</v>
      </c>
      <c r="D53" s="59"/>
      <c r="E53" s="42"/>
      <c r="F53" s="44"/>
      <c r="G53" s="44"/>
      <c r="H53" s="44"/>
      <c r="I53" s="44"/>
      <c r="J53" s="44"/>
      <c r="K53" s="44"/>
      <c r="L53" s="44"/>
      <c r="M53" s="45"/>
      <c r="N53" s="45"/>
      <c r="O53" s="46" t="s">
        <v>82</v>
      </c>
    </row>
    <row r="54" spans="1:16" hidden="1">
      <c r="A54" s="3152"/>
      <c r="B54" s="715" t="s">
        <v>10</v>
      </c>
      <c r="C54" s="2003"/>
      <c r="D54" s="2029">
        <f t="shared" ref="D54" si="63">+D55+D58</f>
        <v>0</v>
      </c>
      <c r="E54" s="2029">
        <f>+E55+E58</f>
        <v>0</v>
      </c>
      <c r="F54" s="2029">
        <f>+F55+F58</f>
        <v>0</v>
      </c>
      <c r="G54" s="2029"/>
      <c r="H54" s="2029"/>
      <c r="I54" s="2029"/>
      <c r="J54" s="2029"/>
      <c r="K54" s="2029"/>
      <c r="L54" s="2029"/>
      <c r="M54" s="2005">
        <f>+M55+M58</f>
        <v>0</v>
      </c>
      <c r="N54" s="2005">
        <f>+N55+N58</f>
        <v>0</v>
      </c>
      <c r="O54" s="3102" t="s">
        <v>83</v>
      </c>
    </row>
    <row r="55" spans="1:16" ht="12" hidden="1" customHeight="1">
      <c r="A55" s="3152"/>
      <c r="B55" s="681" t="s">
        <v>24</v>
      </c>
      <c r="C55" s="3040" t="s">
        <v>84</v>
      </c>
      <c r="D55" s="2030">
        <f t="shared" ref="D55" si="64">+D56+D57</f>
        <v>0</v>
      </c>
      <c r="E55" s="2030">
        <f>+E56+E57</f>
        <v>0</v>
      </c>
      <c r="F55" s="2030">
        <f>+F56+F57</f>
        <v>0</v>
      </c>
      <c r="G55" s="2030"/>
      <c r="H55" s="2030"/>
      <c r="I55" s="2030"/>
      <c r="J55" s="2030"/>
      <c r="K55" s="2030"/>
      <c r="L55" s="2030"/>
      <c r="M55" s="2008">
        <f>+M56+M57</f>
        <v>0</v>
      </c>
      <c r="N55" s="2008">
        <f>+N56+N57</f>
        <v>0</v>
      </c>
      <c r="O55" s="3102"/>
    </row>
    <row r="56" spans="1:16" ht="12" hidden="1" customHeight="1">
      <c r="A56" s="3152"/>
      <c r="B56" s="1055" t="s">
        <v>12</v>
      </c>
      <c r="C56" s="3100"/>
      <c r="D56" s="1913">
        <f>E56+F56+G56+H56+I56+J56+K56+L56</f>
        <v>0</v>
      </c>
      <c r="E56" s="1977"/>
      <c r="F56" s="2031"/>
      <c r="G56" s="2032"/>
      <c r="H56" s="2032"/>
      <c r="I56" s="2032"/>
      <c r="J56" s="2032"/>
      <c r="K56" s="2032"/>
      <c r="L56" s="2032"/>
      <c r="M56" s="2033">
        <f>SUM(F56:K56)</f>
        <v>0</v>
      </c>
      <c r="N56" s="2033">
        <f>SUM(G56:L56)</f>
        <v>0</v>
      </c>
      <c r="O56" s="3102"/>
    </row>
    <row r="57" spans="1:16" ht="12" hidden="1" customHeight="1">
      <c r="A57" s="3152"/>
      <c r="B57" s="2157" t="s">
        <v>17</v>
      </c>
      <c r="C57" s="3100"/>
      <c r="D57" s="1913">
        <f>E57+F57+G57+H57+I57+J57+K57+L57</f>
        <v>0</v>
      </c>
      <c r="E57" s="1977"/>
      <c r="F57" s="2032"/>
      <c r="G57" s="2032"/>
      <c r="H57" s="2032"/>
      <c r="I57" s="2032"/>
      <c r="J57" s="2032"/>
      <c r="K57" s="2032"/>
      <c r="L57" s="2032"/>
      <c r="M57" s="2033">
        <f>SUM(F57:K57)</f>
        <v>0</v>
      </c>
      <c r="N57" s="2033">
        <f>SUM(G57:L57)</f>
        <v>0</v>
      </c>
      <c r="O57" s="3102"/>
    </row>
    <row r="58" spans="1:16" ht="12" hidden="1" customHeight="1">
      <c r="A58" s="3152"/>
      <c r="B58" s="2062" t="s">
        <v>18</v>
      </c>
      <c r="C58" s="3100"/>
      <c r="D58" s="2007">
        <f>+D59+D60</f>
        <v>0</v>
      </c>
      <c r="E58" s="2007">
        <f t="shared" ref="E58" si="65">+E59+E60</f>
        <v>0</v>
      </c>
      <c r="F58" s="2007"/>
      <c r="G58" s="2007"/>
      <c r="H58" s="2007"/>
      <c r="I58" s="2007"/>
      <c r="J58" s="2007"/>
      <c r="K58" s="2007"/>
      <c r="L58" s="2007"/>
      <c r="M58" s="2008">
        <f>+M59+M60</f>
        <v>0</v>
      </c>
      <c r="N58" s="2008">
        <f>+N59+N60</f>
        <v>0</v>
      </c>
      <c r="O58" s="3102"/>
    </row>
    <row r="59" spans="1:16" ht="12" hidden="1" customHeight="1">
      <c r="A59" s="3152"/>
      <c r="B59" s="795" t="s">
        <v>17</v>
      </c>
      <c r="C59" s="3100"/>
      <c r="D59" s="1913">
        <f>E59+F59+G59+H59+I59+J59+K59+L59</f>
        <v>0</v>
      </c>
      <c r="E59" s="2027"/>
      <c r="F59" s="2032"/>
      <c r="G59" s="2032"/>
      <c r="H59" s="2032"/>
      <c r="I59" s="2032"/>
      <c r="J59" s="205"/>
      <c r="K59" s="205"/>
      <c r="L59" s="205"/>
      <c r="M59" s="69"/>
      <c r="N59" s="69"/>
      <c r="O59" s="3102"/>
    </row>
    <row r="60" spans="1:16" ht="12" hidden="1" customHeight="1">
      <c r="A60" s="3152"/>
      <c r="B60" s="795" t="s">
        <v>21</v>
      </c>
      <c r="C60" s="3075"/>
      <c r="D60" s="1913">
        <f>E60+F60+G60+H60+I60+J60+K60+L60</f>
        <v>0</v>
      </c>
      <c r="E60" s="1977"/>
      <c r="F60" s="2032"/>
      <c r="G60" s="2032"/>
      <c r="H60" s="2032"/>
      <c r="I60" s="2032"/>
      <c r="J60" s="2032"/>
      <c r="K60" s="2032"/>
      <c r="L60" s="2032"/>
      <c r="M60" s="2033">
        <f>SUM(F60:K60)</f>
        <v>0</v>
      </c>
      <c r="N60" s="2033">
        <f>SUM(G60:L60)</f>
        <v>0</v>
      </c>
      <c r="O60" s="3103"/>
    </row>
    <row r="61" spans="1:16" hidden="1">
      <c r="A61" s="3152"/>
      <c r="B61" s="82" t="s">
        <v>22</v>
      </c>
      <c r="C61" s="2003"/>
      <c r="D61" s="2004">
        <f t="shared" ref="D61" si="66">+D64+D62</f>
        <v>0</v>
      </c>
      <c r="E61" s="2004">
        <f>+E64+E62</f>
        <v>0</v>
      </c>
      <c r="F61" s="2004"/>
      <c r="G61" s="2004"/>
      <c r="H61" s="2004"/>
      <c r="I61" s="2004"/>
      <c r="J61" s="2450"/>
      <c r="K61" s="2450"/>
      <c r="L61" s="2450"/>
      <c r="M61" s="3054" t="s">
        <v>23</v>
      </c>
      <c r="N61" s="3054" t="s">
        <v>23</v>
      </c>
      <c r="O61" s="3089" t="s">
        <v>231</v>
      </c>
      <c r="P61" s="480">
        <v>0</v>
      </c>
    </row>
    <row r="62" spans="1:16" ht="12" hidden="1" customHeight="1">
      <c r="A62" s="3152"/>
      <c r="B62" s="2011" t="s">
        <v>24</v>
      </c>
      <c r="C62" s="3040" t="s">
        <v>85</v>
      </c>
      <c r="D62" s="2007">
        <f t="shared" ref="D62:E62" si="67">+D63</f>
        <v>0</v>
      </c>
      <c r="E62" s="2007">
        <f t="shared" si="67"/>
        <v>0</v>
      </c>
      <c r="F62" s="2007"/>
      <c r="G62" s="2007"/>
      <c r="H62" s="2007"/>
      <c r="I62" s="2007"/>
      <c r="J62" s="2007"/>
      <c r="K62" s="2007"/>
      <c r="L62" s="2007"/>
      <c r="M62" s="3028"/>
      <c r="N62" s="3028"/>
      <c r="O62" s="3071"/>
    </row>
    <row r="63" spans="1:16" ht="12" hidden="1" customHeight="1">
      <c r="A63" s="3152"/>
      <c r="B63" s="2047" t="s">
        <v>17</v>
      </c>
      <c r="C63" s="3100"/>
      <c r="D63" s="1913">
        <f>E63+F63+G63+H63+I63+J63+K63+L63</f>
        <v>0</v>
      </c>
      <c r="E63" s="1977"/>
      <c r="F63" s="2036"/>
      <c r="G63" s="2036"/>
      <c r="H63" s="2036"/>
      <c r="I63" s="2007"/>
      <c r="J63" s="2007"/>
      <c r="K63" s="2007"/>
      <c r="L63" s="2007"/>
      <c r="M63" s="3028"/>
      <c r="N63" s="3028"/>
      <c r="O63" s="3071"/>
    </row>
    <row r="64" spans="1:16" ht="12" hidden="1" customHeight="1">
      <c r="A64" s="3152"/>
      <c r="B64" s="1051" t="s">
        <v>18</v>
      </c>
      <c r="C64" s="3100"/>
      <c r="D64" s="2037">
        <f t="shared" ref="D64:E64" si="68">+D65+D66</f>
        <v>0</v>
      </c>
      <c r="E64" s="2037">
        <f t="shared" si="68"/>
        <v>0</v>
      </c>
      <c r="F64" s="2451"/>
      <c r="G64" s="2451"/>
      <c r="H64" s="2451"/>
      <c r="I64" s="2036"/>
      <c r="J64" s="2036"/>
      <c r="K64" s="2036"/>
      <c r="L64" s="2036"/>
      <c r="M64" s="3028"/>
      <c r="N64" s="3028"/>
      <c r="O64" s="3071"/>
    </row>
    <row r="65" spans="1:19" ht="12" hidden="1" customHeight="1">
      <c r="A65" s="3152"/>
      <c r="B65" s="795" t="s">
        <v>17</v>
      </c>
      <c r="C65" s="3100"/>
      <c r="D65" s="1913">
        <f>E65+F65+G65+H65+I65+J65+K65+L65</f>
        <v>0</v>
      </c>
      <c r="E65" s="2115"/>
      <c r="F65" s="2036"/>
      <c r="G65" s="2036"/>
      <c r="H65" s="2036"/>
      <c r="I65" s="2451"/>
      <c r="J65" s="2451"/>
      <c r="K65" s="2451"/>
      <c r="L65" s="2451"/>
      <c r="M65" s="3028"/>
      <c r="N65" s="3028"/>
      <c r="O65" s="3071"/>
    </row>
    <row r="66" spans="1:19" ht="10.5" hidden="1" customHeight="1" thickBot="1">
      <c r="A66" s="3153"/>
      <c r="B66" s="1683" t="s">
        <v>21</v>
      </c>
      <c r="C66" s="3088"/>
      <c r="D66" s="2195">
        <f>E66+F66+G66+H66+I66+J66+K66+L66</f>
        <v>0</v>
      </c>
      <c r="E66" s="2195"/>
      <c r="F66" s="1684"/>
      <c r="G66" s="1684"/>
      <c r="H66" s="1684"/>
      <c r="I66" s="2452"/>
      <c r="J66" s="2452"/>
      <c r="K66" s="2452"/>
      <c r="L66" s="2452"/>
      <c r="M66" s="3029"/>
      <c r="N66" s="3029"/>
      <c r="O66" s="3072"/>
    </row>
    <row r="67" spans="1:19" ht="25.5" hidden="1" customHeight="1">
      <c r="A67" s="3084"/>
      <c r="B67" s="74" t="s">
        <v>560</v>
      </c>
      <c r="C67" s="58" t="s">
        <v>81</v>
      </c>
      <c r="D67" s="59"/>
      <c r="E67" s="43"/>
      <c r="F67" s="42"/>
      <c r="G67" s="42"/>
      <c r="H67" s="239"/>
      <c r="I67" s="43"/>
      <c r="J67" s="239"/>
      <c r="K67" s="239"/>
      <c r="L67" s="239"/>
      <c r="M67" s="62"/>
      <c r="N67" s="62"/>
      <c r="O67" s="46" t="s">
        <v>82</v>
      </c>
      <c r="S67" s="933"/>
    </row>
    <row r="68" spans="1:19" ht="13.5" hidden="1" customHeight="1">
      <c r="A68" s="3085"/>
      <c r="B68" s="80" t="s">
        <v>10</v>
      </c>
      <c r="C68" s="22"/>
      <c r="D68" s="63">
        <f>+D69+D72</f>
        <v>0</v>
      </c>
      <c r="E68" s="63">
        <f>+E69+E72</f>
        <v>0</v>
      </c>
      <c r="F68" s="63">
        <f>+F69+F72</f>
        <v>0</v>
      </c>
      <c r="G68" s="63"/>
      <c r="H68" s="63"/>
      <c r="I68" s="63"/>
      <c r="J68" s="63"/>
      <c r="K68" s="63"/>
      <c r="L68" s="63"/>
      <c r="M68" s="65">
        <f>+M69+M72</f>
        <v>0</v>
      </c>
      <c r="N68" s="65">
        <f>+N69+N72</f>
        <v>0</v>
      </c>
      <c r="O68" s="3102" t="s">
        <v>83</v>
      </c>
      <c r="P68" s="480"/>
      <c r="Q68" s="480"/>
      <c r="R68" s="480"/>
      <c r="S68" s="480"/>
    </row>
    <row r="69" spans="1:19" ht="12" hidden="1" customHeight="1">
      <c r="A69" s="3085"/>
      <c r="B69" s="229" t="s">
        <v>24</v>
      </c>
      <c r="C69" s="3050" t="s">
        <v>84</v>
      </c>
      <c r="D69" s="66">
        <f>+D70+D71</f>
        <v>0</v>
      </c>
      <c r="E69" s="66">
        <f>+E70+E71</f>
        <v>0</v>
      </c>
      <c r="F69" s="66">
        <f>+F70+F71</f>
        <v>0</v>
      </c>
      <c r="G69" s="66"/>
      <c r="H69" s="66"/>
      <c r="I69" s="66"/>
      <c r="J69" s="66"/>
      <c r="K69" s="66"/>
      <c r="L69" s="66"/>
      <c r="M69" s="67">
        <f>+M70+M71</f>
        <v>0</v>
      </c>
      <c r="N69" s="67">
        <f>+N70+N71</f>
        <v>0</v>
      </c>
      <c r="O69" s="3102"/>
    </row>
    <row r="70" spans="1:19" ht="12" hidden="1" customHeight="1">
      <c r="A70" s="3085"/>
      <c r="B70" s="459" t="s">
        <v>12</v>
      </c>
      <c r="C70" s="3100"/>
      <c r="D70" s="249">
        <f>E70+F70+G70+H70+I70+J70+K70+L70</f>
        <v>0</v>
      </c>
      <c r="E70" s="286"/>
      <c r="F70" s="87"/>
      <c r="G70" s="48"/>
      <c r="H70" s="48"/>
      <c r="I70" s="48"/>
      <c r="J70" s="48"/>
      <c r="K70" s="48"/>
      <c r="L70" s="48"/>
      <c r="M70" s="1047">
        <f>SUM(F70:K70)</f>
        <v>0</v>
      </c>
      <c r="N70" s="1047">
        <f>SUM(G70:L70)</f>
        <v>0</v>
      </c>
      <c r="O70" s="3102"/>
    </row>
    <row r="71" spans="1:19" ht="12" hidden="1" customHeight="1">
      <c r="A71" s="3085"/>
      <c r="B71" s="459" t="s">
        <v>17</v>
      </c>
      <c r="C71" s="3100"/>
      <c r="D71" s="249">
        <f>E71+F71+G71+H71+I71+J71+K71+L71</f>
        <v>0</v>
      </c>
      <c r="E71" s="286"/>
      <c r="F71" s="48"/>
      <c r="G71" s="48"/>
      <c r="H71" s="48"/>
      <c r="I71" s="48"/>
      <c r="J71" s="48"/>
      <c r="K71" s="48"/>
      <c r="L71" s="48"/>
      <c r="M71" s="1047">
        <f>SUM(F71:K71)</f>
        <v>0</v>
      </c>
      <c r="N71" s="1047">
        <f>SUM(G71:L71)</f>
        <v>0</v>
      </c>
      <c r="O71" s="3102"/>
    </row>
    <row r="72" spans="1:19" ht="12" hidden="1" customHeight="1">
      <c r="A72" s="3085"/>
      <c r="B72" s="931" t="s">
        <v>18</v>
      </c>
      <c r="C72" s="3100"/>
      <c r="D72" s="49">
        <f>+D73</f>
        <v>0</v>
      </c>
      <c r="E72" s="49">
        <f t="shared" ref="E72" si="69">+E73</f>
        <v>0</v>
      </c>
      <c r="F72" s="49"/>
      <c r="G72" s="49"/>
      <c r="H72" s="49"/>
      <c r="I72" s="49"/>
      <c r="J72" s="49"/>
      <c r="K72" s="49"/>
      <c r="L72" s="49"/>
      <c r="M72" s="67">
        <f>+M73</f>
        <v>0</v>
      </c>
      <c r="N72" s="67">
        <f>+N73</f>
        <v>0</v>
      </c>
      <c r="O72" s="3102"/>
    </row>
    <row r="73" spans="1:19" ht="12" hidden="1" customHeight="1">
      <c r="A73" s="3085"/>
      <c r="B73" s="459" t="s">
        <v>21</v>
      </c>
      <c r="C73" s="264"/>
      <c r="D73" s="1682">
        <f>E73+F73+G73+H73+I73+J73+K73+L73</f>
        <v>0</v>
      </c>
      <c r="E73" s="286"/>
      <c r="F73" s="48"/>
      <c r="G73" s="48"/>
      <c r="H73" s="48"/>
      <c r="I73" s="48"/>
      <c r="J73" s="48"/>
      <c r="K73" s="48"/>
      <c r="L73" s="48"/>
      <c r="M73" s="1047">
        <f>SUM(F73:K73)</f>
        <v>0</v>
      </c>
      <c r="N73" s="1047">
        <f>SUM(G73:L73)</f>
        <v>0</v>
      </c>
      <c r="O73" s="3103"/>
    </row>
    <row r="74" spans="1:19" ht="12" hidden="1" customHeight="1">
      <c r="A74" s="3085"/>
      <c r="B74" s="189" t="s">
        <v>22</v>
      </c>
      <c r="C74" s="91"/>
      <c r="D74" s="103">
        <f t="shared" ref="D74" si="70">+D77+D75</f>
        <v>0</v>
      </c>
      <c r="E74" s="103">
        <f>+E77+E75</f>
        <v>0</v>
      </c>
      <c r="F74" s="103"/>
      <c r="G74" s="103"/>
      <c r="H74" s="103"/>
      <c r="I74" s="103"/>
      <c r="J74" s="103"/>
      <c r="K74" s="103"/>
      <c r="L74" s="103"/>
      <c r="M74" s="3028" t="s">
        <v>23</v>
      </c>
      <c r="N74" s="3028" t="s">
        <v>23</v>
      </c>
      <c r="O74" s="3156" t="s">
        <v>231</v>
      </c>
      <c r="P74" s="480"/>
    </row>
    <row r="75" spans="1:19" ht="12" hidden="1" customHeight="1">
      <c r="A75" s="3085"/>
      <c r="B75" s="930" t="s">
        <v>24</v>
      </c>
      <c r="C75" s="3050" t="s">
        <v>85</v>
      </c>
      <c r="D75" s="49">
        <f t="shared" ref="D75:E75" si="71">+D76</f>
        <v>0</v>
      </c>
      <c r="E75" s="49">
        <f t="shared" si="71"/>
        <v>0</v>
      </c>
      <c r="F75" s="49"/>
      <c r="G75" s="49"/>
      <c r="H75" s="49"/>
      <c r="I75" s="49"/>
      <c r="J75" s="49"/>
      <c r="K75" s="49"/>
      <c r="L75" s="49"/>
      <c r="M75" s="3028"/>
      <c r="N75" s="3028"/>
      <c r="O75" s="3102"/>
    </row>
    <row r="76" spans="1:19" ht="12" hidden="1" customHeight="1">
      <c r="A76" s="3085"/>
      <c r="B76" s="831" t="s">
        <v>17</v>
      </c>
      <c r="C76" s="3100"/>
      <c r="D76" s="249">
        <f>E76+F76+G76+H76+I76+J76+K76+L76</f>
        <v>0</v>
      </c>
      <c r="E76" s="286"/>
      <c r="F76" s="54"/>
      <c r="G76" s="54"/>
      <c r="H76" s="54"/>
      <c r="I76" s="54"/>
      <c r="J76" s="54"/>
      <c r="K76" s="54"/>
      <c r="L76" s="54"/>
      <c r="M76" s="3028"/>
      <c r="N76" s="3028"/>
      <c r="O76" s="3102"/>
    </row>
    <row r="77" spans="1:19" ht="12" hidden="1" customHeight="1">
      <c r="A77" s="3085"/>
      <c r="B77" s="931" t="s">
        <v>18</v>
      </c>
      <c r="C77" s="3100"/>
      <c r="D77" s="830">
        <f>+D78</f>
        <v>0</v>
      </c>
      <c r="E77" s="830">
        <f t="shared" ref="E77" si="72">+E78</f>
        <v>0</v>
      </c>
      <c r="F77" s="830"/>
      <c r="G77" s="830"/>
      <c r="H77" s="830"/>
      <c r="I77" s="830"/>
      <c r="J77" s="830"/>
      <c r="K77" s="830"/>
      <c r="L77" s="830"/>
      <c r="M77" s="3028"/>
      <c r="N77" s="3028"/>
      <c r="O77" s="3102"/>
    </row>
    <row r="78" spans="1:19" ht="12" hidden="1" customHeight="1" thickBot="1">
      <c r="A78" s="3112"/>
      <c r="B78" s="76" t="s">
        <v>21</v>
      </c>
      <c r="C78" s="3088"/>
      <c r="D78" s="249">
        <f>E78+F78+G78+H78+I78+J78+K78+L78</f>
        <v>0</v>
      </c>
      <c r="E78" s="286"/>
      <c r="F78" s="89"/>
      <c r="G78" s="89"/>
      <c r="H78" s="89"/>
      <c r="I78" s="89"/>
      <c r="J78" s="89"/>
      <c r="K78" s="89"/>
      <c r="L78" s="89"/>
      <c r="M78" s="3029"/>
      <c r="N78" s="3029"/>
      <c r="O78" s="3157"/>
    </row>
    <row r="79" spans="1:19" ht="24.75" customHeight="1">
      <c r="A79" s="3084" t="s">
        <v>63</v>
      </c>
      <c r="B79" s="2828" t="s">
        <v>548</v>
      </c>
      <c r="C79" s="58" t="s">
        <v>81</v>
      </c>
      <c r="D79" s="59"/>
      <c r="E79" s="96"/>
      <c r="F79" s="96"/>
      <c r="G79" s="96"/>
      <c r="H79" s="96"/>
      <c r="I79" s="96"/>
      <c r="J79" s="96"/>
      <c r="K79" s="96"/>
      <c r="L79" s="96"/>
      <c r="M79" s="45"/>
      <c r="N79" s="45"/>
      <c r="O79" s="90"/>
    </row>
    <row r="80" spans="1:19" ht="13.5" customHeight="1">
      <c r="A80" s="3085"/>
      <c r="B80" s="2002" t="s">
        <v>10</v>
      </c>
      <c r="C80" s="2003"/>
      <c r="D80" s="2029">
        <f>+D81+D84</f>
        <v>21340701</v>
      </c>
      <c r="E80" s="2029">
        <f>+E81+E84</f>
        <v>21203332</v>
      </c>
      <c r="F80" s="2029">
        <f>+F81+F84</f>
        <v>137369</v>
      </c>
      <c r="G80" s="2029"/>
      <c r="H80" s="2029"/>
      <c r="I80" s="2029"/>
      <c r="J80" s="2029"/>
      <c r="K80" s="2029"/>
      <c r="L80" s="2029"/>
      <c r="M80" s="2005">
        <f>+M81+M84</f>
        <v>137369</v>
      </c>
      <c r="N80" s="2005">
        <f>+N81+N84</f>
        <v>0</v>
      </c>
      <c r="O80" s="3102" t="s">
        <v>86</v>
      </c>
      <c r="P80" s="480"/>
    </row>
    <row r="81" spans="1:16" ht="12.75" customHeight="1">
      <c r="A81" s="3085"/>
      <c r="B81" s="681" t="s">
        <v>24</v>
      </c>
      <c r="C81" s="3040" t="s">
        <v>84</v>
      </c>
      <c r="D81" s="1447">
        <f>+D82+D83</f>
        <v>8880167</v>
      </c>
      <c r="E81" s="1447">
        <f>+E82+E83</f>
        <v>8742798</v>
      </c>
      <c r="F81" s="1447">
        <f>+F82+F83</f>
        <v>137369</v>
      </c>
      <c r="G81" s="1447"/>
      <c r="H81" s="1447"/>
      <c r="I81" s="1447"/>
      <c r="J81" s="1447"/>
      <c r="K81" s="1447"/>
      <c r="L81" s="1447"/>
      <c r="M81" s="2008">
        <f>M82</f>
        <v>137369</v>
      </c>
      <c r="N81" s="2008">
        <f>N82</f>
        <v>0</v>
      </c>
      <c r="O81" s="3102"/>
      <c r="P81" s="480"/>
    </row>
    <row r="82" spans="1:16" ht="10.5" customHeight="1">
      <c r="A82" s="3085"/>
      <c r="B82" s="795" t="s">
        <v>12</v>
      </c>
      <c r="C82" s="3100"/>
      <c r="D82" s="1016">
        <f>E82+F82+G82+H82+I82+J82+K82+L82</f>
        <v>1390303</v>
      </c>
      <c r="E82" s="1977">
        <f>1252934</f>
        <v>1252934</v>
      </c>
      <c r="F82" s="2031">
        <f>89000+111000-62631</f>
        <v>137369</v>
      </c>
      <c r="G82" s="2032"/>
      <c r="H82" s="2032"/>
      <c r="I82" s="2032"/>
      <c r="J82" s="2032"/>
      <c r="K82" s="2032"/>
      <c r="L82" s="2032"/>
      <c r="M82" s="2033">
        <f>SUM(F82:K82)</f>
        <v>137369</v>
      </c>
      <c r="N82" s="2033">
        <f>SUM(G82:L82)</f>
        <v>0</v>
      </c>
      <c r="O82" s="3102"/>
    </row>
    <row r="83" spans="1:16">
      <c r="A83" s="3085"/>
      <c r="B83" s="93" t="s">
        <v>15</v>
      </c>
      <c r="C83" s="3100"/>
      <c r="D83" s="1016">
        <f>E83+F83+G83+H83+I83+J83+K83+L83</f>
        <v>7489864</v>
      </c>
      <c r="E83" s="1977">
        <f>7489864</f>
        <v>7489864</v>
      </c>
      <c r="F83" s="2031"/>
      <c r="G83" s="2032"/>
      <c r="H83" s="2032"/>
      <c r="I83" s="2032"/>
      <c r="J83" s="2032"/>
      <c r="K83" s="2032"/>
      <c r="L83" s="2032"/>
      <c r="M83" s="2033">
        <f>SUM(F83:K83)</f>
        <v>0</v>
      </c>
      <c r="N83" s="2033">
        <f>SUM(G83:L83)</f>
        <v>0</v>
      </c>
      <c r="O83" s="3102"/>
    </row>
    <row r="84" spans="1:16" ht="12" customHeight="1">
      <c r="A84" s="3085"/>
      <c r="B84" s="1051" t="s">
        <v>18</v>
      </c>
      <c r="C84" s="3100"/>
      <c r="D84" s="2007">
        <f>+D85</f>
        <v>12460534</v>
      </c>
      <c r="E84" s="2013">
        <f>+E85</f>
        <v>12460534</v>
      </c>
      <c r="F84" s="2013"/>
      <c r="G84" s="2013"/>
      <c r="H84" s="2007"/>
      <c r="I84" s="2007"/>
      <c r="J84" s="2007"/>
      <c r="K84" s="2007"/>
      <c r="L84" s="2007"/>
      <c r="M84" s="2008">
        <f>+M85</f>
        <v>0</v>
      </c>
      <c r="N84" s="2008">
        <f>+N85</f>
        <v>0</v>
      </c>
      <c r="O84" s="3102"/>
    </row>
    <row r="85" spans="1:16" ht="11.25" customHeight="1">
      <c r="A85" s="3085"/>
      <c r="B85" s="795" t="s">
        <v>21</v>
      </c>
      <c r="C85" s="3075"/>
      <c r="D85" s="1984">
        <f>E85+F85+G85+H85+I85+J85+K85+L85</f>
        <v>12460534</v>
      </c>
      <c r="E85" s="1977">
        <f>12460534</f>
        <v>12460534</v>
      </c>
      <c r="F85" s="2032"/>
      <c r="G85" s="2032"/>
      <c r="H85" s="2032"/>
      <c r="I85" s="2032"/>
      <c r="J85" s="2032"/>
      <c r="K85" s="2032"/>
      <c r="L85" s="2032"/>
      <c r="M85" s="2033">
        <f>SUM(F85:K85)</f>
        <v>0</v>
      </c>
      <c r="N85" s="2033">
        <f>SUM(G85:L85)</f>
        <v>0</v>
      </c>
      <c r="O85" s="3103"/>
    </row>
    <row r="86" spans="1:16" ht="12" customHeight="1">
      <c r="A86" s="3086"/>
      <c r="B86" s="82" t="s">
        <v>22</v>
      </c>
      <c r="C86" s="91"/>
      <c r="D86" s="103">
        <f>+D87+D89</f>
        <v>19950398</v>
      </c>
      <c r="E86" s="103">
        <f>+E87+E89</f>
        <v>19950398</v>
      </c>
      <c r="F86" s="103"/>
      <c r="G86" s="103"/>
      <c r="H86" s="103"/>
      <c r="I86" s="103"/>
      <c r="J86" s="103"/>
      <c r="K86" s="103"/>
      <c r="L86" s="103"/>
      <c r="M86" s="3055" t="s">
        <v>23</v>
      </c>
      <c r="N86" s="3055" t="s">
        <v>23</v>
      </c>
      <c r="O86" s="3089" t="s">
        <v>102</v>
      </c>
      <c r="P86" s="480"/>
    </row>
    <row r="87" spans="1:16" ht="13.5" customHeight="1">
      <c r="A87" s="3086"/>
      <c r="B87" s="2011" t="s">
        <v>24</v>
      </c>
      <c r="C87" s="3040" t="s">
        <v>85</v>
      </c>
      <c r="D87" s="52">
        <f>+D88</f>
        <v>7489864</v>
      </c>
      <c r="E87" s="52">
        <f t="shared" ref="E87" si="73">+E88</f>
        <v>7489864</v>
      </c>
      <c r="F87" s="52"/>
      <c r="G87" s="52"/>
      <c r="H87" s="52"/>
      <c r="I87" s="52"/>
      <c r="J87" s="52"/>
      <c r="K87" s="52"/>
      <c r="L87" s="52"/>
      <c r="M87" s="3056"/>
      <c r="N87" s="3056"/>
      <c r="O87" s="3071"/>
    </row>
    <row r="88" spans="1:16" ht="13.5" customHeight="1">
      <c r="A88" s="3086"/>
      <c r="B88" s="93" t="s">
        <v>15</v>
      </c>
      <c r="C88" s="3100"/>
      <c r="D88" s="1016">
        <f>E88+F88+G88+H88+I88+J88+K88+L88</f>
        <v>7489864</v>
      </c>
      <c r="E88" s="1977">
        <f>7489864</f>
        <v>7489864</v>
      </c>
      <c r="F88" s="2036"/>
      <c r="G88" s="2036"/>
      <c r="H88" s="2036"/>
      <c r="I88" s="2036"/>
      <c r="J88" s="2036"/>
      <c r="K88" s="2036"/>
      <c r="L88" s="2036"/>
      <c r="M88" s="3056"/>
      <c r="N88" s="3056"/>
      <c r="O88" s="3071"/>
    </row>
    <row r="89" spans="1:16" s="267" customFormat="1" ht="12.75" customHeight="1">
      <c r="A89" s="3086"/>
      <c r="B89" s="1051" t="s">
        <v>18</v>
      </c>
      <c r="C89" s="3100"/>
      <c r="D89" s="2037">
        <f t="shared" ref="D89:E89" si="74">+D90</f>
        <v>12460534</v>
      </c>
      <c r="E89" s="2451">
        <f t="shared" si="74"/>
        <v>12460534</v>
      </c>
      <c r="F89" s="2451"/>
      <c r="G89" s="2451"/>
      <c r="H89" s="2451"/>
      <c r="I89" s="2451"/>
      <c r="J89" s="2451"/>
      <c r="K89" s="2451"/>
      <c r="L89" s="2451"/>
      <c r="M89" s="3056"/>
      <c r="N89" s="3056"/>
      <c r="O89" s="3071"/>
    </row>
    <row r="90" spans="1:16" ht="12.75" customHeight="1" thickBot="1">
      <c r="A90" s="3087"/>
      <c r="B90" s="76" t="s">
        <v>21</v>
      </c>
      <c r="C90" s="3088"/>
      <c r="D90" s="2195">
        <f>E90+F90+G90+H90+I90+J90+K90+L90</f>
        <v>12460534</v>
      </c>
      <c r="E90" s="2195">
        <f>12460534</f>
        <v>12460534</v>
      </c>
      <c r="F90" s="57"/>
      <c r="G90" s="57"/>
      <c r="H90" s="57"/>
      <c r="I90" s="57"/>
      <c r="J90" s="57"/>
      <c r="K90" s="57"/>
      <c r="L90" s="57"/>
      <c r="M90" s="3057"/>
      <c r="N90" s="3057"/>
      <c r="O90" s="3072"/>
    </row>
    <row r="91" spans="1:16" ht="27.75" hidden="1" customHeight="1">
      <c r="A91" s="3084"/>
      <c r="B91" s="442" t="s">
        <v>561</v>
      </c>
      <c r="C91" s="58" t="s">
        <v>81</v>
      </c>
      <c r="D91" s="935"/>
      <c r="E91" s="95"/>
      <c r="F91" s="96"/>
      <c r="G91" s="96"/>
      <c r="H91" s="96"/>
      <c r="I91" s="96"/>
      <c r="J91" s="96"/>
      <c r="K91" s="96"/>
      <c r="L91" s="96"/>
      <c r="M91" s="45"/>
      <c r="N91" s="45"/>
      <c r="O91" s="90"/>
      <c r="P91" s="480"/>
    </row>
    <row r="92" spans="1:16" ht="12" hidden="1" customHeight="1">
      <c r="A92" s="3085"/>
      <c r="B92" s="525" t="s">
        <v>10</v>
      </c>
      <c r="C92" s="2003"/>
      <c r="D92" s="2029">
        <f>+D93+D96</f>
        <v>0</v>
      </c>
      <c r="E92" s="2029">
        <f>+E93+E96</f>
        <v>0</v>
      </c>
      <c r="F92" s="2029">
        <f>+F93+F96</f>
        <v>0</v>
      </c>
      <c r="G92" s="2029"/>
      <c r="H92" s="2029"/>
      <c r="I92" s="2029"/>
      <c r="J92" s="2029"/>
      <c r="K92" s="2029"/>
      <c r="L92" s="2029"/>
      <c r="M92" s="2005">
        <f>+M93+M96</f>
        <v>0</v>
      </c>
      <c r="N92" s="2005">
        <f>+N93+N96</f>
        <v>0</v>
      </c>
      <c r="O92" s="3102" t="s">
        <v>86</v>
      </c>
    </row>
    <row r="93" spans="1:16" ht="13.5" hidden="1" customHeight="1">
      <c r="A93" s="3085"/>
      <c r="B93" s="721" t="s">
        <v>24</v>
      </c>
      <c r="C93" s="3040" t="s">
        <v>84</v>
      </c>
      <c r="D93" s="2030">
        <f>+D94+D95</f>
        <v>0</v>
      </c>
      <c r="E93" s="2030">
        <f>+E94+E95</f>
        <v>0</v>
      </c>
      <c r="F93" s="2030">
        <f>+F94+F95</f>
        <v>0</v>
      </c>
      <c r="G93" s="2030"/>
      <c r="H93" s="2030"/>
      <c r="I93" s="2030"/>
      <c r="J93" s="2030"/>
      <c r="K93" s="2030"/>
      <c r="L93" s="2030"/>
      <c r="M93" s="2008">
        <f>+M94+M95</f>
        <v>0</v>
      </c>
      <c r="N93" s="2008">
        <f>+N94+N95</f>
        <v>0</v>
      </c>
      <c r="O93" s="3102"/>
      <c r="P93" s="480"/>
    </row>
    <row r="94" spans="1:16" ht="11.25" hidden="1" customHeight="1">
      <c r="A94" s="3085"/>
      <c r="B94" s="795" t="s">
        <v>12</v>
      </c>
      <c r="C94" s="3098"/>
      <c r="D94" s="1913">
        <f>E94+F94+G94+H94+I94+J94+K94+L94</f>
        <v>0</v>
      </c>
      <c r="E94" s="1977"/>
      <c r="F94" s="2031"/>
      <c r="G94" s="2032"/>
      <c r="H94" s="2032"/>
      <c r="I94" s="2032"/>
      <c r="J94" s="2032"/>
      <c r="K94" s="2032"/>
      <c r="L94" s="2032"/>
      <c r="M94" s="1047">
        <f>SUM(F94:K94)</f>
        <v>0</v>
      </c>
      <c r="N94" s="1047">
        <f>SUM(G94:L94)</f>
        <v>0</v>
      </c>
      <c r="O94" s="3102"/>
      <c r="P94" s="480"/>
    </row>
    <row r="95" spans="1:16" ht="11.25" hidden="1" customHeight="1">
      <c r="A95" s="3085"/>
      <c r="B95" s="795" t="s">
        <v>15</v>
      </c>
      <c r="C95" s="3098"/>
      <c r="D95" s="1913">
        <f>E95+F95+G95+H95+I95+J95+K95+L95</f>
        <v>0</v>
      </c>
      <c r="E95" s="1977"/>
      <c r="F95" s="2032"/>
      <c r="G95" s="2032"/>
      <c r="H95" s="2032"/>
      <c r="I95" s="2032"/>
      <c r="J95" s="2032"/>
      <c r="K95" s="2032"/>
      <c r="L95" s="2032"/>
      <c r="M95" s="1047">
        <f>SUM(F95:K95)</f>
        <v>0</v>
      </c>
      <c r="N95" s="1047">
        <f>SUM(G95:L95)</f>
        <v>0</v>
      </c>
      <c r="O95" s="3102"/>
      <c r="P95" s="480"/>
    </row>
    <row r="96" spans="1:16" ht="11.25" hidden="1" customHeight="1">
      <c r="A96" s="3085"/>
      <c r="B96" s="724" t="s">
        <v>18</v>
      </c>
      <c r="C96" s="3098"/>
      <c r="D96" s="2007">
        <f>+D97</f>
        <v>0</v>
      </c>
      <c r="E96" s="2007">
        <f t="shared" ref="E96" si="75">+E97</f>
        <v>0</v>
      </c>
      <c r="F96" s="2007"/>
      <c r="G96" s="2007"/>
      <c r="H96" s="2007"/>
      <c r="I96" s="2007"/>
      <c r="J96" s="2007"/>
      <c r="K96" s="2007"/>
      <c r="L96" s="2007"/>
      <c r="M96" s="2008">
        <f>+M97</f>
        <v>0</v>
      </c>
      <c r="N96" s="2008">
        <f>+N97</f>
        <v>0</v>
      </c>
      <c r="O96" s="3102"/>
    </row>
    <row r="97" spans="1:16" ht="11.25" hidden="1" customHeight="1">
      <c r="A97" s="3085"/>
      <c r="B97" s="2034" t="s">
        <v>21</v>
      </c>
      <c r="C97" s="3099"/>
      <c r="D97" s="1913">
        <f>E97+F97+G97+H97+I97+J97+K97+L97</f>
        <v>0</v>
      </c>
      <c r="E97" s="1977"/>
      <c r="F97" s="2010"/>
      <c r="G97" s="2010"/>
      <c r="H97" s="2010"/>
      <c r="I97" s="2010"/>
      <c r="J97" s="2010"/>
      <c r="K97" s="2010"/>
      <c r="L97" s="2010"/>
      <c r="M97" s="1047">
        <f>SUM(F97:K97)</f>
        <v>0</v>
      </c>
      <c r="N97" s="1047">
        <f>SUM(G97:L97)</f>
        <v>0</v>
      </c>
      <c r="O97" s="3103"/>
    </row>
    <row r="98" spans="1:16" ht="11.25" hidden="1" customHeight="1">
      <c r="A98" s="3086"/>
      <c r="B98" s="525" t="s">
        <v>22</v>
      </c>
      <c r="C98" s="2003"/>
      <c r="D98" s="2004">
        <f>+D101+D99</f>
        <v>0</v>
      </c>
      <c r="E98" s="2004">
        <f>+E101+E99</f>
        <v>0</v>
      </c>
      <c r="F98" s="2004"/>
      <c r="G98" s="2004"/>
      <c r="H98" s="2004"/>
      <c r="I98" s="2004"/>
      <c r="J98" s="2004"/>
      <c r="K98" s="2004"/>
      <c r="L98" s="2004"/>
      <c r="M98" s="3058" t="s">
        <v>23</v>
      </c>
      <c r="N98" s="3058" t="s">
        <v>23</v>
      </c>
      <c r="O98" s="3089" t="s">
        <v>102</v>
      </c>
    </row>
    <row r="99" spans="1:16" ht="13.5" hidden="1" customHeight="1">
      <c r="A99" s="3086"/>
      <c r="B99" s="2035" t="s">
        <v>24</v>
      </c>
      <c r="C99" s="3040" t="s">
        <v>85</v>
      </c>
      <c r="D99" s="52">
        <f>+D100</f>
        <v>0</v>
      </c>
      <c r="E99" s="52">
        <f t="shared" ref="E99" si="76">+E100</f>
        <v>0</v>
      </c>
      <c r="F99" s="52"/>
      <c r="G99" s="52"/>
      <c r="H99" s="52"/>
      <c r="I99" s="52"/>
      <c r="J99" s="52"/>
      <c r="K99" s="52"/>
      <c r="L99" s="52"/>
      <c r="M99" s="3059"/>
      <c r="N99" s="3059"/>
      <c r="O99" s="3071"/>
    </row>
    <row r="100" spans="1:16" ht="11.25" hidden="1" customHeight="1">
      <c r="A100" s="3086"/>
      <c r="B100" s="93" t="s">
        <v>15</v>
      </c>
      <c r="C100" s="3100"/>
      <c r="D100" s="1913">
        <f>E100+F100+G100+H100+I100+J100+K100+L100</f>
        <v>0</v>
      </c>
      <c r="E100" s="1977"/>
      <c r="F100" s="2036"/>
      <c r="G100" s="2036"/>
      <c r="H100" s="2036"/>
      <c r="I100" s="2036"/>
      <c r="J100" s="2036"/>
      <c r="K100" s="2036"/>
      <c r="L100" s="2036"/>
      <c r="M100" s="3059"/>
      <c r="N100" s="3059"/>
      <c r="O100" s="3071"/>
    </row>
    <row r="101" spans="1:16" s="267" customFormat="1" hidden="1">
      <c r="A101" s="3086"/>
      <c r="B101" s="724" t="s">
        <v>18</v>
      </c>
      <c r="C101" s="3100"/>
      <c r="D101" s="2037">
        <f>+D102</f>
        <v>0</v>
      </c>
      <c r="E101" s="2037">
        <f t="shared" ref="E101" si="77">+E102</f>
        <v>0</v>
      </c>
      <c r="F101" s="2037"/>
      <c r="G101" s="2037"/>
      <c r="H101" s="2037"/>
      <c r="I101" s="2037"/>
      <c r="J101" s="2037"/>
      <c r="K101" s="2037"/>
      <c r="L101" s="2037"/>
      <c r="M101" s="3059"/>
      <c r="N101" s="3059"/>
      <c r="O101" s="3071"/>
    </row>
    <row r="102" spans="1:16" ht="13.5" hidden="1" thickBot="1">
      <c r="A102" s="3087"/>
      <c r="B102" s="76" t="s">
        <v>21</v>
      </c>
      <c r="C102" s="3088"/>
      <c r="D102" s="1009">
        <f>E102+F102+G102+H102+I102+J102+K102+L102</f>
        <v>0</v>
      </c>
      <c r="E102" s="1009"/>
      <c r="F102" s="1686"/>
      <c r="G102" s="1686"/>
      <c r="H102" s="1686"/>
      <c r="I102" s="1686"/>
      <c r="J102" s="1686"/>
      <c r="K102" s="1686"/>
      <c r="L102" s="1686"/>
      <c r="M102" s="3060"/>
      <c r="N102" s="3060"/>
      <c r="O102" s="3072"/>
    </row>
    <row r="103" spans="1:16" ht="26.25" hidden="1" customHeight="1">
      <c r="A103" s="3084"/>
      <c r="B103" s="442" t="s">
        <v>562</v>
      </c>
      <c r="C103" s="58" t="s">
        <v>81</v>
      </c>
      <c r="D103" s="935"/>
      <c r="E103" s="96"/>
      <c r="F103" s="96"/>
      <c r="G103" s="96"/>
      <c r="H103" s="96"/>
      <c r="I103" s="96"/>
      <c r="J103" s="96"/>
      <c r="K103" s="96"/>
      <c r="L103" s="96"/>
      <c r="M103" s="1687"/>
      <c r="N103" s="1687"/>
      <c r="O103" s="90"/>
    </row>
    <row r="104" spans="1:16" ht="13.5" hidden="1" customHeight="1">
      <c r="A104" s="3085"/>
      <c r="B104" s="525" t="s">
        <v>10</v>
      </c>
      <c r="C104" s="2003"/>
      <c r="D104" s="2029">
        <f>+D105+D107</f>
        <v>0</v>
      </c>
      <c r="E104" s="2029">
        <f t="shared" ref="E104" si="78">+E105+E107</f>
        <v>0</v>
      </c>
      <c r="F104" s="2029">
        <f>+F105+F107</f>
        <v>0</v>
      </c>
      <c r="G104" s="2029"/>
      <c r="H104" s="2029"/>
      <c r="I104" s="2029"/>
      <c r="J104" s="2029"/>
      <c r="K104" s="2029"/>
      <c r="L104" s="2029"/>
      <c r="M104" s="2005">
        <f>+M105+M107</f>
        <v>0</v>
      </c>
      <c r="N104" s="2005">
        <f>+N105+N107</f>
        <v>0</v>
      </c>
      <c r="O104" s="3102" t="s">
        <v>86</v>
      </c>
      <c r="P104" s="480"/>
    </row>
    <row r="105" spans="1:16" ht="13.5" hidden="1" customHeight="1">
      <c r="A105" s="3085"/>
      <c r="B105" s="721" t="s">
        <v>24</v>
      </c>
      <c r="C105" s="3040" t="s">
        <v>84</v>
      </c>
      <c r="D105" s="2030">
        <f>+D106</f>
        <v>0</v>
      </c>
      <c r="E105" s="2030">
        <f t="shared" ref="E105:F105" si="79">+E106</f>
        <v>0</v>
      </c>
      <c r="F105" s="2030">
        <f t="shared" si="79"/>
        <v>0</v>
      </c>
      <c r="G105" s="2030"/>
      <c r="H105" s="2030"/>
      <c r="I105" s="2030"/>
      <c r="J105" s="2030"/>
      <c r="K105" s="2030"/>
      <c r="L105" s="2030"/>
      <c r="M105" s="2453">
        <f>+M106</f>
        <v>0</v>
      </c>
      <c r="N105" s="2453">
        <f>+N106</f>
        <v>0</v>
      </c>
      <c r="O105" s="3102"/>
      <c r="P105" s="480"/>
    </row>
    <row r="106" spans="1:16" ht="13.5" hidden="1" customHeight="1">
      <c r="A106" s="3085"/>
      <c r="B106" s="795" t="s">
        <v>12</v>
      </c>
      <c r="C106" s="3098"/>
      <c r="D106" s="1913">
        <f>E106+F106+G106+H106+I106+J106+K106+L106</f>
        <v>0</v>
      </c>
      <c r="E106" s="1977"/>
      <c r="F106" s="2027"/>
      <c r="G106" s="2027"/>
      <c r="H106" s="2032"/>
      <c r="I106" s="2032"/>
      <c r="J106" s="2032"/>
      <c r="K106" s="2032"/>
      <c r="L106" s="2032"/>
      <c r="M106" s="2033">
        <f>SUM(F106:K106)</f>
        <v>0</v>
      </c>
      <c r="N106" s="2033">
        <f>SUM(G106:L106)</f>
        <v>0</v>
      </c>
      <c r="O106" s="3102"/>
    </row>
    <row r="107" spans="1:16" ht="13.5" hidden="1" customHeight="1">
      <c r="A107" s="3085"/>
      <c r="B107" s="724" t="s">
        <v>18</v>
      </c>
      <c r="C107" s="3098"/>
      <c r="D107" s="2007">
        <f>+D108</f>
        <v>0</v>
      </c>
      <c r="E107" s="2007">
        <f t="shared" ref="E107" si="80">+E108</f>
        <v>0</v>
      </c>
      <c r="F107" s="2007"/>
      <c r="G107" s="2007"/>
      <c r="H107" s="2007"/>
      <c r="I107" s="2007"/>
      <c r="J107" s="2007"/>
      <c r="K107" s="2007"/>
      <c r="L107" s="2007"/>
      <c r="M107" s="2453">
        <f>+M108</f>
        <v>0</v>
      </c>
      <c r="N107" s="2453">
        <f>+N108</f>
        <v>0</v>
      </c>
      <c r="O107" s="3102"/>
    </row>
    <row r="108" spans="1:16" ht="13.5" hidden="1" customHeight="1">
      <c r="A108" s="3085"/>
      <c r="B108" s="2454" t="s">
        <v>21</v>
      </c>
      <c r="C108" s="3098"/>
      <c r="D108" s="1913">
        <f>E108+F108+G108+H108+I108+J108+K108+L108</f>
        <v>0</v>
      </c>
      <c r="E108" s="1977"/>
      <c r="F108" s="2027"/>
      <c r="G108" s="2027"/>
      <c r="H108" s="2032"/>
      <c r="I108" s="2032"/>
      <c r="J108" s="2032"/>
      <c r="K108" s="2032"/>
      <c r="L108" s="2032"/>
      <c r="M108" s="2033">
        <f>SUM(F108:K108)</f>
        <v>0</v>
      </c>
      <c r="N108" s="2033">
        <f>SUM(G108:L108)</f>
        <v>0</v>
      </c>
      <c r="O108" s="3103"/>
    </row>
    <row r="109" spans="1:16" ht="12.75" hidden="1" customHeight="1">
      <c r="A109" s="3086"/>
      <c r="B109" s="715" t="s">
        <v>22</v>
      </c>
      <c r="C109" s="2003"/>
      <c r="D109" s="2004">
        <f>+D110</f>
        <v>0</v>
      </c>
      <c r="E109" s="2004">
        <f t="shared" ref="E109:E110" si="81">+E110</f>
        <v>0</v>
      </c>
      <c r="F109" s="2004"/>
      <c r="G109" s="2004"/>
      <c r="H109" s="2004"/>
      <c r="I109" s="2004"/>
      <c r="J109" s="2004"/>
      <c r="K109" s="2004"/>
      <c r="L109" s="2004"/>
      <c r="M109" s="3023" t="s">
        <v>23</v>
      </c>
      <c r="N109" s="3023" t="s">
        <v>23</v>
      </c>
      <c r="O109" s="3089" t="s">
        <v>102</v>
      </c>
      <c r="P109" s="480"/>
    </row>
    <row r="110" spans="1:16" s="267" customFormat="1" ht="12.75" hidden="1" customHeight="1">
      <c r="A110" s="3086"/>
      <c r="B110" s="1051" t="s">
        <v>18</v>
      </c>
      <c r="C110" s="3040" t="s">
        <v>85</v>
      </c>
      <c r="D110" s="2045">
        <f>+D111</f>
        <v>0</v>
      </c>
      <c r="E110" s="2037">
        <f t="shared" si="81"/>
        <v>0</v>
      </c>
      <c r="F110" s="2045"/>
      <c r="G110" s="2037"/>
      <c r="H110" s="2037"/>
      <c r="I110" s="2037"/>
      <c r="J110" s="2037"/>
      <c r="K110" s="2037"/>
      <c r="L110" s="2037"/>
      <c r="M110" s="3024"/>
      <c r="N110" s="3024"/>
      <c r="O110" s="3071"/>
    </row>
    <row r="111" spans="1:16" s="267" customFormat="1" ht="12.75" hidden="1" customHeight="1" thickBot="1">
      <c r="A111" s="3087"/>
      <c r="B111" s="891" t="s">
        <v>21</v>
      </c>
      <c r="C111" s="3074"/>
      <c r="D111" s="2195">
        <f>E111+F111+G111+H111+I111+J111+K111+L111</f>
        <v>0</v>
      </c>
      <c r="E111" s="2195"/>
      <c r="F111" s="1691"/>
      <c r="G111" s="514"/>
      <c r="H111" s="514"/>
      <c r="I111" s="514"/>
      <c r="J111" s="514"/>
      <c r="K111" s="514"/>
      <c r="L111" s="514"/>
      <c r="M111" s="3025"/>
      <c r="N111" s="3025"/>
      <c r="O111" s="3072"/>
    </row>
    <row r="112" spans="1:16" s="267" customFormat="1" ht="16.5" customHeight="1" thickBot="1">
      <c r="A112" s="483"/>
      <c r="B112" s="282" t="s">
        <v>225</v>
      </c>
      <c r="C112" s="484"/>
      <c r="D112" s="939"/>
      <c r="E112" s="1897"/>
      <c r="F112" s="940"/>
      <c r="G112" s="940"/>
      <c r="H112" s="940"/>
      <c r="I112" s="940"/>
      <c r="J112" s="940"/>
      <c r="K112" s="940"/>
      <c r="L112" s="940"/>
      <c r="M112" s="485"/>
      <c r="N112" s="485"/>
      <c r="O112" s="486"/>
    </row>
    <row r="113" spans="1:17" s="267" customFormat="1" ht="40.5" hidden="1" customHeight="1">
      <c r="A113" s="3084"/>
      <c r="B113" s="442" t="s">
        <v>563</v>
      </c>
      <c r="C113" s="58"/>
      <c r="D113" s="59"/>
      <c r="E113" s="44"/>
      <c r="F113" s="44"/>
      <c r="G113" s="44"/>
      <c r="H113" s="44"/>
      <c r="I113" s="44"/>
      <c r="J113" s="44"/>
      <c r="K113" s="44"/>
      <c r="L113" s="44"/>
      <c r="M113" s="45"/>
      <c r="N113" s="45"/>
      <c r="O113" s="46"/>
      <c r="P113" s="235"/>
    </row>
    <row r="114" spans="1:17" s="267" customFormat="1" ht="13.5" hidden="1" customHeight="1">
      <c r="A114" s="3085"/>
      <c r="B114" s="433" t="s">
        <v>10</v>
      </c>
      <c r="C114" s="1692" t="s">
        <v>81</v>
      </c>
      <c r="D114" s="422">
        <f>+D115+D119</f>
        <v>0</v>
      </c>
      <c r="E114" s="412">
        <f t="shared" ref="E114" si="82">+E115+E119</f>
        <v>0</v>
      </c>
      <c r="F114" s="412">
        <f t="shared" ref="F114" si="83">+F115+F119</f>
        <v>0</v>
      </c>
      <c r="G114" s="412"/>
      <c r="H114" s="412"/>
      <c r="I114" s="412"/>
      <c r="J114" s="412"/>
      <c r="K114" s="412"/>
      <c r="L114" s="412"/>
      <c r="M114" s="501">
        <f>M115+M119</f>
        <v>0</v>
      </c>
      <c r="N114" s="501">
        <f>N115+N119</f>
        <v>0</v>
      </c>
      <c r="O114" s="3102" t="s">
        <v>86</v>
      </c>
      <c r="P114" s="3174" t="s">
        <v>405</v>
      </c>
    </row>
    <row r="115" spans="1:17" s="267" customFormat="1" ht="14.25" hidden="1" customHeight="1">
      <c r="A115" s="3085"/>
      <c r="B115" s="476" t="s">
        <v>24</v>
      </c>
      <c r="C115" s="3121" t="s">
        <v>84</v>
      </c>
      <c r="D115" s="423">
        <f>+D116+D117+D118</f>
        <v>0</v>
      </c>
      <c r="E115" s="423">
        <f t="shared" ref="E115" si="84">+E116+E117+E118</f>
        <v>0</v>
      </c>
      <c r="F115" s="423">
        <f t="shared" ref="F115" si="85">+F116+F117+F118</f>
        <v>0</v>
      </c>
      <c r="G115" s="423"/>
      <c r="H115" s="423"/>
      <c r="I115" s="423"/>
      <c r="J115" s="423"/>
      <c r="K115" s="423"/>
      <c r="L115" s="423"/>
      <c r="M115" s="431">
        <f>M116</f>
        <v>0</v>
      </c>
      <c r="N115" s="431">
        <f>N116</f>
        <v>0</v>
      </c>
      <c r="O115" s="3102"/>
      <c r="P115" s="3174"/>
    </row>
    <row r="116" spans="1:17" s="267" customFormat="1" ht="12.75" hidden="1" customHeight="1">
      <c r="A116" s="3085"/>
      <c r="B116" s="941" t="s">
        <v>12</v>
      </c>
      <c r="C116" s="3100"/>
      <c r="D116" s="249">
        <f>E116+F116+G116+H116+I116+J116+K116+L116</f>
        <v>0</v>
      </c>
      <c r="E116" s="286"/>
      <c r="F116" s="432"/>
      <c r="G116" s="432"/>
      <c r="H116" s="432"/>
      <c r="I116" s="432"/>
      <c r="J116" s="432"/>
      <c r="K116" s="432"/>
      <c r="L116" s="432"/>
      <c r="M116" s="1047">
        <f>SUM(F116:K116)</f>
        <v>0</v>
      </c>
      <c r="N116" s="1047">
        <f>SUM(G116:L116)</f>
        <v>0</v>
      </c>
      <c r="O116" s="3102"/>
      <c r="P116" s="3174"/>
    </row>
    <row r="117" spans="1:17" s="267" customFormat="1" ht="14.25" hidden="1" customHeight="1">
      <c r="A117" s="3085"/>
      <c r="B117" s="1693" t="s">
        <v>17</v>
      </c>
      <c r="C117" s="3098"/>
      <c r="D117" s="487">
        <f>SUM(E117:I117)</f>
        <v>0</v>
      </c>
      <c r="E117" s="429"/>
      <c r="F117" s="430"/>
      <c r="G117" s="429"/>
      <c r="H117" s="429"/>
      <c r="I117" s="429"/>
      <c r="J117" s="429"/>
      <c r="K117" s="429"/>
      <c r="L117" s="429"/>
      <c r="M117" s="502"/>
      <c r="N117" s="502"/>
      <c r="O117" s="3102"/>
      <c r="P117" s="3174"/>
    </row>
    <row r="118" spans="1:17" s="267" customFormat="1" ht="14.25" hidden="1" customHeight="1">
      <c r="A118" s="3085"/>
      <c r="B118" s="1693" t="s">
        <v>15</v>
      </c>
      <c r="C118" s="3098"/>
      <c r="D118" s="487">
        <f>SUM(E118:I118)</f>
        <v>0</v>
      </c>
      <c r="E118" s="429"/>
      <c r="F118" s="430"/>
      <c r="G118" s="429"/>
      <c r="H118" s="429"/>
      <c r="I118" s="429"/>
      <c r="J118" s="429"/>
      <c r="K118" s="429"/>
      <c r="L118" s="429"/>
      <c r="M118" s="502"/>
      <c r="N118" s="502"/>
      <c r="O118" s="3102"/>
      <c r="P118" s="3174"/>
    </row>
    <row r="119" spans="1:17" s="267" customFormat="1" ht="14.25" hidden="1" customHeight="1">
      <c r="A119" s="3085"/>
      <c r="B119" s="1694" t="s">
        <v>18</v>
      </c>
      <c r="C119" s="3098"/>
      <c r="D119" s="428">
        <f>+D120</f>
        <v>0</v>
      </c>
      <c r="E119" s="428">
        <f t="shared" ref="E119" si="86">+E120</f>
        <v>0</v>
      </c>
      <c r="F119" s="428"/>
      <c r="G119" s="428"/>
      <c r="H119" s="428"/>
      <c r="I119" s="410"/>
      <c r="J119" s="428"/>
      <c r="K119" s="428"/>
      <c r="L119" s="428"/>
      <c r="M119" s="431">
        <f>M120</f>
        <v>0</v>
      </c>
      <c r="N119" s="431">
        <f>N120</f>
        <v>0</v>
      </c>
      <c r="O119" s="3102"/>
      <c r="P119" s="3174"/>
    </row>
    <row r="120" spans="1:17" s="267" customFormat="1" ht="12.75" hidden="1" customHeight="1">
      <c r="A120" s="3085"/>
      <c r="B120" s="1685" t="s">
        <v>21</v>
      </c>
      <c r="C120" s="3099"/>
      <c r="D120" s="249">
        <f>E120+F120+G120+H120+I120+J120+K120+L120</f>
        <v>0</v>
      </c>
      <c r="E120" s="286"/>
      <c r="F120" s="430"/>
      <c r="G120" s="429"/>
      <c r="H120" s="429"/>
      <c r="I120" s="429"/>
      <c r="J120" s="430"/>
      <c r="K120" s="430"/>
      <c r="L120" s="430"/>
      <c r="M120" s="1047">
        <f>SUM(F120:K120)</f>
        <v>0</v>
      </c>
      <c r="N120" s="1047">
        <f>SUM(G120:L120)</f>
        <v>0</v>
      </c>
      <c r="O120" s="3103"/>
      <c r="P120" s="3174"/>
    </row>
    <row r="121" spans="1:17" s="267" customFormat="1" ht="21.75" hidden="1" customHeight="1">
      <c r="A121" s="3086"/>
      <c r="B121" s="433" t="s">
        <v>22</v>
      </c>
      <c r="C121" s="689" t="s">
        <v>351</v>
      </c>
      <c r="D121" s="439">
        <f>+D125+D122</f>
        <v>0</v>
      </c>
      <c r="E121" s="439">
        <f t="shared" ref="E121" si="87">+E125+E122</f>
        <v>0</v>
      </c>
      <c r="F121" s="439">
        <f>+F125+F122</f>
        <v>0</v>
      </c>
      <c r="G121" s="439"/>
      <c r="H121" s="439"/>
      <c r="I121" s="439"/>
      <c r="J121" s="439"/>
      <c r="K121" s="439"/>
      <c r="L121" s="439"/>
      <c r="M121" s="3126" t="s">
        <v>23</v>
      </c>
      <c r="N121" s="3126" t="s">
        <v>23</v>
      </c>
      <c r="O121" s="3154" t="s">
        <v>102</v>
      </c>
      <c r="P121" s="942"/>
      <c r="Q121" s="942">
        <v>-1217020</v>
      </c>
    </row>
    <row r="122" spans="1:17" s="267" customFormat="1" ht="14.25" hidden="1" customHeight="1">
      <c r="A122" s="3086"/>
      <c r="B122" s="476" t="s">
        <v>24</v>
      </c>
      <c r="C122" s="3121" t="s">
        <v>221</v>
      </c>
      <c r="D122" s="52">
        <f>+D123+D124</f>
        <v>0</v>
      </c>
      <c r="E122" s="52">
        <f t="shared" ref="E122" si="88">+E123+E124</f>
        <v>0</v>
      </c>
      <c r="F122" s="52">
        <f>+F123+F124</f>
        <v>0</v>
      </c>
      <c r="G122" s="52"/>
      <c r="H122" s="52"/>
      <c r="I122" s="52"/>
      <c r="J122" s="52"/>
      <c r="K122" s="52"/>
      <c r="L122" s="52"/>
      <c r="M122" s="3028"/>
      <c r="N122" s="3028"/>
      <c r="O122" s="3071"/>
    </row>
    <row r="123" spans="1:17" s="267" customFormat="1" ht="14.25" hidden="1" customHeight="1">
      <c r="A123" s="3086"/>
      <c r="B123" s="1693" t="s">
        <v>17</v>
      </c>
      <c r="C123" s="3100"/>
      <c r="D123" s="249">
        <f t="shared" ref="D123:D124" si="89">E123+F123+G123+H123+I123+J123+K123+L123</f>
        <v>0</v>
      </c>
      <c r="E123" s="503"/>
      <c r="F123" s="411">
        <v>0</v>
      </c>
      <c r="G123" s="411"/>
      <c r="H123" s="411"/>
      <c r="I123" s="411"/>
      <c r="J123" s="411"/>
      <c r="K123" s="411"/>
      <c r="L123" s="411"/>
      <c r="M123" s="3028"/>
      <c r="N123" s="3028"/>
      <c r="O123" s="3071"/>
    </row>
    <row r="124" spans="1:17" s="267" customFormat="1" hidden="1">
      <c r="A124" s="3086"/>
      <c r="B124" s="1693" t="s">
        <v>15</v>
      </c>
      <c r="C124" s="3100"/>
      <c r="D124" s="249">
        <f t="shared" si="89"/>
        <v>0</v>
      </c>
      <c r="E124" s="503"/>
      <c r="F124" s="503">
        <v>0</v>
      </c>
      <c r="G124" s="503"/>
      <c r="H124" s="503"/>
      <c r="I124" s="503"/>
      <c r="J124" s="503"/>
      <c r="K124" s="503"/>
      <c r="L124" s="503"/>
      <c r="M124" s="3028"/>
      <c r="N124" s="3028"/>
      <c r="O124" s="3071"/>
    </row>
    <row r="125" spans="1:17" s="267" customFormat="1" ht="14.25" hidden="1" customHeight="1">
      <c r="A125" s="3086"/>
      <c r="B125" s="1694" t="s">
        <v>18</v>
      </c>
      <c r="C125" s="3100"/>
      <c r="D125" s="428">
        <f>+D127+D126</f>
        <v>0</v>
      </c>
      <c r="E125" s="428">
        <f t="shared" ref="E125" si="90">+E127+E126</f>
        <v>0</v>
      </c>
      <c r="F125" s="428">
        <f>+F127+F126</f>
        <v>0</v>
      </c>
      <c r="G125" s="503"/>
      <c r="H125" s="503"/>
      <c r="I125" s="503"/>
      <c r="J125" s="503"/>
      <c r="K125" s="503"/>
      <c r="L125" s="503"/>
      <c r="M125" s="3028"/>
      <c r="N125" s="3028"/>
      <c r="O125" s="3071"/>
    </row>
    <row r="126" spans="1:17" s="267" customFormat="1" ht="14.25" hidden="1" customHeight="1">
      <c r="A126" s="3086"/>
      <c r="B126" s="1693" t="s">
        <v>17</v>
      </c>
      <c r="C126" s="3100"/>
      <c r="D126" s="249">
        <f>E126+F126+G126+H126+I126+J126+K126+L126</f>
        <v>0</v>
      </c>
      <c r="E126" s="1695"/>
      <c r="F126" s="429"/>
      <c r="G126" s="503"/>
      <c r="H126" s="503"/>
      <c r="I126" s="503"/>
      <c r="J126" s="503"/>
      <c r="K126" s="503"/>
      <c r="L126" s="503"/>
      <c r="M126" s="3028"/>
      <c r="N126" s="3028"/>
      <c r="O126" s="3071"/>
    </row>
    <row r="127" spans="1:17" s="268" customFormat="1" ht="14.25" hidden="1" customHeight="1" thickBot="1">
      <c r="A127" s="3087"/>
      <c r="B127" s="1696" t="s">
        <v>21</v>
      </c>
      <c r="C127" s="3088"/>
      <c r="D127" s="249">
        <f>E127+F127+G127+H127+I127+J127+K127+L127</f>
        <v>0</v>
      </c>
      <c r="E127" s="286"/>
      <c r="F127" s="1697"/>
      <c r="G127" s="505"/>
      <c r="H127" s="505"/>
      <c r="I127" s="505"/>
      <c r="J127" s="505"/>
      <c r="K127" s="505"/>
      <c r="L127" s="505"/>
      <c r="M127" s="3029"/>
      <c r="N127" s="3029"/>
      <c r="O127" s="3072"/>
    </row>
    <row r="128" spans="1:17" ht="32.25" customHeight="1">
      <c r="A128" s="3084" t="s">
        <v>64</v>
      </c>
      <c r="B128" s="74" t="s">
        <v>549</v>
      </c>
      <c r="C128" s="58"/>
      <c r="D128" s="59"/>
      <c r="E128" s="44"/>
      <c r="F128" s="44"/>
      <c r="G128" s="44"/>
      <c r="H128" s="44"/>
      <c r="I128" s="44"/>
      <c r="J128" s="239"/>
      <c r="K128" s="239"/>
      <c r="L128" s="239"/>
      <c r="M128" s="62"/>
      <c r="N128" s="62"/>
      <c r="O128" s="46"/>
    </row>
    <row r="129" spans="1:17" ht="14.25" customHeight="1">
      <c r="A129" s="3085"/>
      <c r="B129" s="1073" t="s">
        <v>10</v>
      </c>
      <c r="C129" s="1048" t="s">
        <v>81</v>
      </c>
      <c r="D129" s="1045">
        <f t="shared" ref="D129:F129" si="91">+D130+D134</f>
        <v>42919817</v>
      </c>
      <c r="E129" s="1045">
        <f t="shared" ref="E129" si="92">+E130+E134</f>
        <v>21145902</v>
      </c>
      <c r="F129" s="1045">
        <f t="shared" si="91"/>
        <v>21773915</v>
      </c>
      <c r="G129" s="1045"/>
      <c r="H129" s="1045"/>
      <c r="I129" s="1045"/>
      <c r="J129" s="1045"/>
      <c r="K129" s="1045"/>
      <c r="L129" s="1045"/>
      <c r="M129" s="1024">
        <f>M130+M134</f>
        <v>21773915</v>
      </c>
      <c r="N129" s="1024">
        <f>N130+N134</f>
        <v>0</v>
      </c>
      <c r="O129" s="3102" t="s">
        <v>86</v>
      </c>
    </row>
    <row r="130" spans="1:17" ht="12" customHeight="1">
      <c r="A130" s="3085"/>
      <c r="B130" s="1053" t="s">
        <v>24</v>
      </c>
      <c r="C130" s="3108" t="s">
        <v>84</v>
      </c>
      <c r="D130" s="798">
        <f>+D131+D132+D133</f>
        <v>5784734</v>
      </c>
      <c r="E130" s="798">
        <f t="shared" ref="E130" si="93">+E131+E132+E133</f>
        <v>3234734</v>
      </c>
      <c r="F130" s="798">
        <f t="shared" ref="F130" si="94">+F131+F132+F133</f>
        <v>2550000</v>
      </c>
      <c r="G130" s="798"/>
      <c r="H130" s="798"/>
      <c r="I130" s="798"/>
      <c r="J130" s="798"/>
      <c r="K130" s="798"/>
      <c r="L130" s="798"/>
      <c r="M130" s="694">
        <f>+M131+M133</f>
        <v>2550000</v>
      </c>
      <c r="N130" s="694">
        <f>+N131+N133</f>
        <v>0</v>
      </c>
      <c r="O130" s="3102"/>
      <c r="P130" s="235" t="s">
        <v>435</v>
      </c>
    </row>
    <row r="131" spans="1:17" ht="11.25" customHeight="1">
      <c r="A131" s="3085"/>
      <c r="B131" s="1698" t="s">
        <v>12</v>
      </c>
      <c r="C131" s="3100"/>
      <c r="D131" s="249">
        <f>E131+F131+G131+H131+I131+J131+K131+L131</f>
        <v>4284734</v>
      </c>
      <c r="E131" s="286">
        <f>2234734</f>
        <v>2234734</v>
      </c>
      <c r="F131" s="1035">
        <f>1933354-1900000+166646+197047+159852+78533+2000000-585432</f>
        <v>2050000</v>
      </c>
      <c r="G131" s="777"/>
      <c r="H131" s="777"/>
      <c r="I131" s="777"/>
      <c r="J131" s="777"/>
      <c r="K131" s="777"/>
      <c r="L131" s="777"/>
      <c r="M131" s="1047">
        <f>SUM(F131:K131)</f>
        <v>2050000</v>
      </c>
      <c r="N131" s="1047">
        <f>SUM(G131:L131)</f>
        <v>0</v>
      </c>
      <c r="O131" s="3102"/>
    </row>
    <row r="132" spans="1:17" ht="12" hidden="1" customHeight="1">
      <c r="A132" s="3085"/>
      <c r="B132" s="795" t="s">
        <v>17</v>
      </c>
      <c r="C132" s="3100"/>
      <c r="D132" s="249">
        <f>E132+F132+G132+H132+I132+J132+K132+L132</f>
        <v>0</v>
      </c>
      <c r="E132" s="778"/>
      <c r="F132" s="777"/>
      <c r="G132" s="777"/>
      <c r="H132" s="777"/>
      <c r="I132" s="777"/>
      <c r="J132" s="205"/>
      <c r="K132" s="205"/>
      <c r="L132" s="205"/>
      <c r="M132" s="69"/>
      <c r="N132" s="69"/>
      <c r="O132" s="3102"/>
    </row>
    <row r="133" spans="1:17" ht="12" customHeight="1">
      <c r="A133" s="3085"/>
      <c r="B133" s="1046" t="s">
        <v>15</v>
      </c>
      <c r="C133" s="3100"/>
      <c r="D133" s="249">
        <f>E133+F133+G133+H133+I133+J133+K133+L133</f>
        <v>1500000</v>
      </c>
      <c r="E133" s="286">
        <f>1000000</f>
        <v>1000000</v>
      </c>
      <c r="F133" s="777">
        <f>500000</f>
        <v>500000</v>
      </c>
      <c r="G133" s="777"/>
      <c r="H133" s="777"/>
      <c r="I133" s="777"/>
      <c r="J133" s="778"/>
      <c r="K133" s="778"/>
      <c r="L133" s="778"/>
      <c r="M133" s="1047">
        <f>SUM(F133:K133)</f>
        <v>500000</v>
      </c>
      <c r="N133" s="1047">
        <f>SUM(G133:L133)</f>
        <v>0</v>
      </c>
      <c r="O133" s="3102"/>
    </row>
    <row r="134" spans="1:17">
      <c r="A134" s="3085"/>
      <c r="B134" s="2054" t="s">
        <v>18</v>
      </c>
      <c r="C134" s="3100"/>
      <c r="D134" s="698">
        <f t="shared" ref="D134:F134" si="95">+D135+D136</f>
        <v>37135083</v>
      </c>
      <c r="E134" s="698">
        <f t="shared" si="95"/>
        <v>17911168</v>
      </c>
      <c r="F134" s="698">
        <f t="shared" si="95"/>
        <v>19223915</v>
      </c>
      <c r="G134" s="698"/>
      <c r="H134" s="698"/>
      <c r="I134" s="698"/>
      <c r="J134" s="698"/>
      <c r="K134" s="698"/>
      <c r="L134" s="698"/>
      <c r="M134" s="694">
        <f>+M135+M136</f>
        <v>19223915</v>
      </c>
      <c r="N134" s="694">
        <f>+N135+N136</f>
        <v>0</v>
      </c>
      <c r="O134" s="3102"/>
    </row>
    <row r="135" spans="1:17" ht="12" hidden="1" customHeight="1">
      <c r="A135" s="3085"/>
      <c r="B135" s="795" t="s">
        <v>17</v>
      </c>
      <c r="C135" s="3100"/>
      <c r="D135" s="1028">
        <v>0</v>
      </c>
      <c r="E135" s="787"/>
      <c r="F135" s="777"/>
      <c r="G135" s="777"/>
      <c r="H135" s="777"/>
      <c r="I135" s="777"/>
      <c r="J135" s="205"/>
      <c r="K135" s="205"/>
      <c r="L135" s="205"/>
      <c r="M135" s="69"/>
      <c r="N135" s="69"/>
      <c r="O135" s="3102"/>
    </row>
    <row r="136" spans="1:17" ht="12" customHeight="1">
      <c r="A136" s="3085"/>
      <c r="B136" s="795" t="s">
        <v>21</v>
      </c>
      <c r="C136" s="3075"/>
      <c r="D136" s="249">
        <f>E136+F136+G136+H136+I136+J136+K136+L136</f>
        <v>37135083</v>
      </c>
      <c r="E136" s="286">
        <f>17911168</f>
        <v>17911168</v>
      </c>
      <c r="F136" s="1035">
        <f>10955672-8630312+17358828-100+791-377238-83726</f>
        <v>19223915</v>
      </c>
      <c r="G136" s="777"/>
      <c r="H136" s="777"/>
      <c r="I136" s="777"/>
      <c r="J136" s="777"/>
      <c r="K136" s="777"/>
      <c r="L136" s="777"/>
      <c r="M136" s="1047">
        <f>SUM(F136:K136)</f>
        <v>19223915</v>
      </c>
      <c r="N136" s="1047">
        <f>SUM(G136:L136)</f>
        <v>0</v>
      </c>
      <c r="O136" s="3103"/>
      <c r="P136" s="480">
        <f>D136-D143</f>
        <v>0</v>
      </c>
    </row>
    <row r="137" spans="1:17" ht="21.75" customHeight="1">
      <c r="A137" s="3085"/>
      <c r="B137" s="82" t="s">
        <v>22</v>
      </c>
      <c r="C137" s="689" t="s">
        <v>351</v>
      </c>
      <c r="D137" s="765">
        <f t="shared" ref="D137:G137" si="96">+D141+D138</f>
        <v>38635083</v>
      </c>
      <c r="E137" s="765">
        <f>+E138+E141</f>
        <v>14036781</v>
      </c>
      <c r="F137" s="765">
        <f t="shared" si="96"/>
        <v>24046022</v>
      </c>
      <c r="G137" s="765">
        <f t="shared" si="96"/>
        <v>552280</v>
      </c>
      <c r="H137" s="765"/>
      <c r="I137" s="765"/>
      <c r="J137" s="765"/>
      <c r="K137" s="765"/>
      <c r="L137" s="765"/>
      <c r="M137" s="3061" t="s">
        <v>23</v>
      </c>
      <c r="N137" s="3061" t="s">
        <v>23</v>
      </c>
      <c r="O137" s="3107" t="s">
        <v>102</v>
      </c>
      <c r="P137" s="480"/>
      <c r="Q137" s="480">
        <v>-14140496</v>
      </c>
    </row>
    <row r="138" spans="1:17" ht="15" customHeight="1">
      <c r="A138" s="3085"/>
      <c r="B138" s="1053" t="s">
        <v>24</v>
      </c>
      <c r="C138" s="3108" t="s">
        <v>221</v>
      </c>
      <c r="D138" s="698">
        <f>+D139+D140</f>
        <v>1500000</v>
      </c>
      <c r="E138" s="698">
        <f>+E140</f>
        <v>1000000</v>
      </c>
      <c r="F138" s="698">
        <f>+F139+F140</f>
        <v>500000</v>
      </c>
      <c r="G138" s="1052">
        <f>+G139+G140</f>
        <v>0</v>
      </c>
      <c r="H138" s="698"/>
      <c r="I138" s="698"/>
      <c r="J138" s="698"/>
      <c r="K138" s="698"/>
      <c r="L138" s="698"/>
      <c r="M138" s="3024"/>
      <c r="N138" s="3024"/>
      <c r="O138" s="3071"/>
    </row>
    <row r="139" spans="1:17" ht="12" hidden="1" customHeight="1">
      <c r="A139" s="3085"/>
      <c r="B139" s="1046" t="s">
        <v>17</v>
      </c>
      <c r="C139" s="3100"/>
      <c r="D139" s="1016">
        <f>SUM(E139:I139)</f>
        <v>0</v>
      </c>
      <c r="E139" s="2055"/>
      <c r="F139" s="1028">
        <v>0</v>
      </c>
      <c r="G139" s="2416"/>
      <c r="H139" s="1028"/>
      <c r="I139" s="1028"/>
      <c r="J139" s="1028"/>
      <c r="K139" s="1028"/>
      <c r="L139" s="1028"/>
      <c r="M139" s="3024"/>
      <c r="N139" s="3024"/>
      <c r="O139" s="3071"/>
    </row>
    <row r="140" spans="1:17" ht="14.25" customHeight="1">
      <c r="A140" s="3085"/>
      <c r="B140" s="1046" t="s">
        <v>15</v>
      </c>
      <c r="C140" s="3100"/>
      <c r="D140" s="249">
        <f>E140+F140+G140+H140+I140+J140+K140+L140</f>
        <v>1500000</v>
      </c>
      <c r="E140" s="286">
        <f>1000000</f>
        <v>1000000</v>
      </c>
      <c r="F140" s="1028">
        <f>500000</f>
        <v>500000</v>
      </c>
      <c r="G140" s="2416">
        <v>0</v>
      </c>
      <c r="H140" s="1028"/>
      <c r="I140" s="1028"/>
      <c r="J140" s="1028"/>
      <c r="K140" s="1028"/>
      <c r="L140" s="1028"/>
      <c r="M140" s="3024"/>
      <c r="N140" s="3024"/>
      <c r="O140" s="3071"/>
    </row>
    <row r="141" spans="1:17" ht="13.5" customHeight="1">
      <c r="A141" s="3085"/>
      <c r="B141" s="1051" t="s">
        <v>18</v>
      </c>
      <c r="C141" s="3100"/>
      <c r="D141" s="956">
        <f t="shared" ref="D141" si="97">+D142+D143</f>
        <v>37135083</v>
      </c>
      <c r="E141" s="956">
        <f>+E143</f>
        <v>13036781</v>
      </c>
      <c r="F141" s="2056">
        <f>+F142+F143</f>
        <v>23546022</v>
      </c>
      <c r="G141" s="2056">
        <f>+G142+G143</f>
        <v>552280</v>
      </c>
      <c r="H141" s="2056"/>
      <c r="I141" s="2056"/>
      <c r="J141" s="2056"/>
      <c r="K141" s="2056"/>
      <c r="L141" s="2056"/>
      <c r="M141" s="3024"/>
      <c r="N141" s="3024"/>
      <c r="O141" s="3071"/>
    </row>
    <row r="142" spans="1:17" ht="12" hidden="1" customHeight="1">
      <c r="A142" s="3085"/>
      <c r="B142" s="795" t="s">
        <v>17</v>
      </c>
      <c r="C142" s="3100"/>
      <c r="D142" s="1016">
        <f>SUM(E142:I142)</f>
        <v>0</v>
      </c>
      <c r="E142" s="2055"/>
      <c r="F142" s="1028"/>
      <c r="G142" s="1028"/>
      <c r="H142" s="1028"/>
      <c r="I142" s="1028"/>
      <c r="J142" s="1028"/>
      <c r="K142" s="1028"/>
      <c r="L142" s="1028"/>
      <c r="M142" s="3024"/>
      <c r="N142" s="3024"/>
      <c r="O142" s="3071"/>
    </row>
    <row r="143" spans="1:17" ht="14.25" customHeight="1" thickBot="1">
      <c r="A143" s="3112"/>
      <c r="B143" s="1683" t="s">
        <v>21</v>
      </c>
      <c r="C143" s="3088"/>
      <c r="D143" s="249">
        <f>E143+F143+G143+H143+I143+J143+K143+L143</f>
        <v>37135083</v>
      </c>
      <c r="E143" s="286">
        <f>13036781</f>
        <v>13036781</v>
      </c>
      <c r="F143" s="1009">
        <f>10955672-500000+20900496-6760000-36782-120-377238-636006</f>
        <v>23546022</v>
      </c>
      <c r="G143" s="1684">
        <f>552280</f>
        <v>552280</v>
      </c>
      <c r="H143" s="1684"/>
      <c r="I143" s="1684"/>
      <c r="J143" s="1684"/>
      <c r="K143" s="1684"/>
      <c r="L143" s="1684"/>
      <c r="M143" s="3025"/>
      <c r="N143" s="3025"/>
      <c r="O143" s="3072"/>
    </row>
    <row r="144" spans="1:17" ht="30" hidden="1" customHeight="1">
      <c r="A144" s="3084"/>
      <c r="B144" s="74" t="s">
        <v>564</v>
      </c>
      <c r="C144" s="58"/>
      <c r="D144" s="59"/>
      <c r="E144" s="44"/>
      <c r="F144" s="44"/>
      <c r="G144" s="44"/>
      <c r="H144" s="44"/>
      <c r="I144" s="44"/>
      <c r="J144" s="44"/>
      <c r="K144" s="44"/>
      <c r="L144" s="44"/>
      <c r="M144" s="45"/>
      <c r="N144" s="45"/>
      <c r="O144" s="90"/>
    </row>
    <row r="145" spans="1:17" ht="13.5" hidden="1" customHeight="1">
      <c r="A145" s="3085"/>
      <c r="B145" s="715" t="s">
        <v>10</v>
      </c>
      <c r="C145" s="2057" t="s">
        <v>81</v>
      </c>
      <c r="D145" s="2029">
        <f t="shared" ref="D145" si="98">+D146+D149</f>
        <v>0</v>
      </c>
      <c r="E145" s="1934">
        <f>+E146+E149</f>
        <v>0</v>
      </c>
      <c r="F145" s="1934">
        <f>+F146+F149</f>
        <v>0</v>
      </c>
      <c r="G145" s="1934"/>
      <c r="H145" s="1934"/>
      <c r="I145" s="1934"/>
      <c r="J145" s="1934"/>
      <c r="K145" s="1934"/>
      <c r="L145" s="1934"/>
      <c r="M145" s="1935">
        <f>M146+M149</f>
        <v>0</v>
      </c>
      <c r="N145" s="1935">
        <f>N146+N149</f>
        <v>0</v>
      </c>
      <c r="O145" s="3102" t="s">
        <v>86</v>
      </c>
      <c r="P145" s="480"/>
    </row>
    <row r="146" spans="1:17" ht="13.5" hidden="1" customHeight="1">
      <c r="A146" s="3085"/>
      <c r="B146" s="681" t="s">
        <v>24</v>
      </c>
      <c r="C146" s="3040" t="s">
        <v>84</v>
      </c>
      <c r="D146" s="2030">
        <f>+D147+D148</f>
        <v>0</v>
      </c>
      <c r="E146" s="2030">
        <f>+E147</f>
        <v>0</v>
      </c>
      <c r="F146" s="2030">
        <f>+F147+F148</f>
        <v>0</v>
      </c>
      <c r="G146" s="2030"/>
      <c r="H146" s="2030"/>
      <c r="I146" s="2030"/>
      <c r="J146" s="2030"/>
      <c r="K146" s="2030"/>
      <c r="L146" s="2030"/>
      <c r="M146" s="2008">
        <f>M147</f>
        <v>0</v>
      </c>
      <c r="N146" s="2008">
        <f>N147</f>
        <v>0</v>
      </c>
      <c r="O146" s="3102"/>
      <c r="P146" s="480"/>
    </row>
    <row r="147" spans="1:17" ht="11.25" hidden="1" customHeight="1">
      <c r="A147" s="3085"/>
      <c r="B147" s="1055" t="s">
        <v>12</v>
      </c>
      <c r="C147" s="3098"/>
      <c r="D147" s="1913">
        <f>E147+F147+G147+H147+I147+J147+K147+L147</f>
        <v>0</v>
      </c>
      <c r="E147" s="1977"/>
      <c r="F147" s="1977"/>
      <c r="G147" s="1977"/>
      <c r="H147" s="1977"/>
      <c r="I147" s="1977"/>
      <c r="J147" s="1977"/>
      <c r="K147" s="1977"/>
      <c r="L147" s="1977"/>
      <c r="M147" s="1047">
        <f>SUM(F147:K147)</f>
        <v>0</v>
      </c>
      <c r="N147" s="1047">
        <f>SUM(G147:L147)</f>
        <v>0</v>
      </c>
      <c r="O147" s="3102"/>
      <c r="P147" s="480"/>
    </row>
    <row r="148" spans="1:17" ht="10.5" hidden="1" customHeight="1">
      <c r="A148" s="3085"/>
      <c r="B148" s="1699" t="s">
        <v>15</v>
      </c>
      <c r="C148" s="3098"/>
      <c r="D148" s="1913">
        <f>SUM(E148:I148)</f>
        <v>0</v>
      </c>
      <c r="E148" s="2058">
        <v>0</v>
      </c>
      <c r="F148" s="2059"/>
      <c r="G148" s="2059"/>
      <c r="H148" s="2059"/>
      <c r="I148" s="2059"/>
      <c r="J148" s="205"/>
      <c r="K148" s="205"/>
      <c r="L148" s="205"/>
      <c r="M148" s="69"/>
      <c r="N148" s="69"/>
      <c r="O148" s="3102"/>
    </row>
    <row r="149" spans="1:17" ht="12.75" hidden="1" customHeight="1">
      <c r="A149" s="3085"/>
      <c r="B149" s="1051" t="s">
        <v>18</v>
      </c>
      <c r="C149" s="3098"/>
      <c r="D149" s="2007">
        <f>+D150</f>
        <v>0</v>
      </c>
      <c r="E149" s="1945">
        <f>+E150</f>
        <v>0</v>
      </c>
      <c r="F149" s="1945">
        <f t="shared" ref="F149" si="99">+F150</f>
        <v>0</v>
      </c>
      <c r="G149" s="1945"/>
      <c r="H149" s="1945"/>
      <c r="I149" s="1945"/>
      <c r="J149" s="2007"/>
      <c r="K149" s="2007"/>
      <c r="L149" s="2007"/>
      <c r="M149" s="2008">
        <f>M150</f>
        <v>0</v>
      </c>
      <c r="N149" s="2008">
        <f>N150</f>
        <v>0</v>
      </c>
      <c r="O149" s="3102"/>
    </row>
    <row r="150" spans="1:17" ht="12" hidden="1" customHeight="1">
      <c r="A150" s="3085"/>
      <c r="B150" s="1055" t="s">
        <v>21</v>
      </c>
      <c r="C150" s="3099"/>
      <c r="D150" s="2060">
        <f>E150+F150+G150+H150+I150+J150+K150+L150</f>
        <v>0</v>
      </c>
      <c r="E150" s="1977"/>
      <c r="F150" s="1977"/>
      <c r="G150" s="1977"/>
      <c r="H150" s="1942"/>
      <c r="I150" s="1942"/>
      <c r="J150" s="2032"/>
      <c r="K150" s="2032"/>
      <c r="L150" s="2032"/>
      <c r="M150" s="1047">
        <f>SUM(F150:K150)</f>
        <v>0</v>
      </c>
      <c r="N150" s="1047">
        <f>SUM(G150:L150)</f>
        <v>0</v>
      </c>
      <c r="O150" s="3103"/>
    </row>
    <row r="151" spans="1:17" ht="22.5" hidden="1">
      <c r="A151" s="3086"/>
      <c r="B151" s="94" t="s">
        <v>22</v>
      </c>
      <c r="C151" s="689" t="s">
        <v>351</v>
      </c>
      <c r="D151" s="103">
        <f t="shared" ref="D151" si="100">+D152+D154</f>
        <v>0</v>
      </c>
      <c r="E151" s="236">
        <f>+E154</f>
        <v>0</v>
      </c>
      <c r="F151" s="236">
        <f>+F152+F154</f>
        <v>0</v>
      </c>
      <c r="G151" s="236"/>
      <c r="H151" s="236"/>
      <c r="I151" s="236"/>
      <c r="J151" s="236"/>
      <c r="K151" s="236"/>
      <c r="L151" s="236"/>
      <c r="M151" s="3054" t="s">
        <v>23</v>
      </c>
      <c r="N151" s="3054" t="s">
        <v>23</v>
      </c>
      <c r="O151" s="3155" t="s">
        <v>102</v>
      </c>
      <c r="P151" s="480"/>
      <c r="Q151" s="480">
        <v>-1435987</v>
      </c>
    </row>
    <row r="152" spans="1:17" ht="13.5" hidden="1" customHeight="1">
      <c r="A152" s="3086"/>
      <c r="B152" s="2011" t="s">
        <v>24</v>
      </c>
      <c r="C152" s="3127" t="s">
        <v>232</v>
      </c>
      <c r="D152" s="52">
        <f>+D153</f>
        <v>0</v>
      </c>
      <c r="E152" s="269">
        <v>0</v>
      </c>
      <c r="F152" s="52"/>
      <c r="G152" s="52"/>
      <c r="H152" s="52"/>
      <c r="I152" s="52"/>
      <c r="J152" s="52"/>
      <c r="K152" s="52"/>
      <c r="L152" s="52"/>
      <c r="M152" s="3028"/>
      <c r="N152" s="3028"/>
      <c r="O152" s="3123"/>
    </row>
    <row r="153" spans="1:17" hidden="1">
      <c r="A153" s="3086"/>
      <c r="B153" s="93" t="s">
        <v>15</v>
      </c>
      <c r="C153" s="3114"/>
      <c r="D153" s="1913">
        <f>SUM(E153:I153)</f>
        <v>0</v>
      </c>
      <c r="E153" s="2061">
        <v>0</v>
      </c>
      <c r="F153" s="1944"/>
      <c r="G153" s="1944"/>
      <c r="H153" s="1944"/>
      <c r="I153" s="1944"/>
      <c r="J153" s="1944"/>
      <c r="K153" s="1944"/>
      <c r="L153" s="1944"/>
      <c r="M153" s="3028"/>
      <c r="N153" s="3028"/>
      <c r="O153" s="3123"/>
    </row>
    <row r="154" spans="1:17" ht="12" hidden="1" customHeight="1">
      <c r="A154" s="3086"/>
      <c r="B154" s="2062" t="s">
        <v>18</v>
      </c>
      <c r="C154" s="3114"/>
      <c r="D154" s="2007">
        <f t="shared" ref="D154:F154" si="101">+D155</f>
        <v>0</v>
      </c>
      <c r="E154" s="1945">
        <f>+E155</f>
        <v>0</v>
      </c>
      <c r="F154" s="1945">
        <f t="shared" si="101"/>
        <v>0</v>
      </c>
      <c r="G154" s="1945"/>
      <c r="H154" s="1945"/>
      <c r="I154" s="1945"/>
      <c r="J154" s="1945"/>
      <c r="K154" s="1945"/>
      <c r="L154" s="1945"/>
      <c r="M154" s="3028"/>
      <c r="N154" s="3028"/>
      <c r="O154" s="3123"/>
    </row>
    <row r="155" spans="1:17" ht="13.5" hidden="1" customHeight="1" thickBot="1">
      <c r="A155" s="3087"/>
      <c r="B155" s="1054" t="s">
        <v>21</v>
      </c>
      <c r="C155" s="3115"/>
      <c r="D155" s="1009">
        <f>E155+F155+G155+H155+I155+J155+K155+L155</f>
        <v>0</v>
      </c>
      <c r="E155" s="1009"/>
      <c r="F155" s="520"/>
      <c r="G155" s="520"/>
      <c r="H155" s="520"/>
      <c r="I155" s="520"/>
      <c r="J155" s="520"/>
      <c r="K155" s="520"/>
      <c r="L155" s="520"/>
      <c r="M155" s="3029"/>
      <c r="N155" s="3029"/>
      <c r="O155" s="3124"/>
    </row>
    <row r="156" spans="1:17" ht="22.5" customHeight="1">
      <c r="A156" s="3084" t="s">
        <v>65</v>
      </c>
      <c r="B156" s="74" t="s">
        <v>550</v>
      </c>
      <c r="C156" s="58" t="s">
        <v>81</v>
      </c>
      <c r="D156" s="59"/>
      <c r="E156" s="44"/>
      <c r="F156" s="44"/>
      <c r="G156" s="44"/>
      <c r="H156" s="44"/>
      <c r="I156" s="44"/>
      <c r="J156" s="44"/>
      <c r="K156" s="44"/>
      <c r="L156" s="44"/>
      <c r="M156" s="45"/>
      <c r="N156" s="45"/>
      <c r="O156" s="90"/>
    </row>
    <row r="157" spans="1:17" ht="12" customHeight="1">
      <c r="A157" s="3085"/>
      <c r="B157" s="715" t="s">
        <v>10</v>
      </c>
      <c r="C157" s="2039"/>
      <c r="D157" s="2029">
        <f>+D158+D161</f>
        <v>51348880</v>
      </c>
      <c r="E157" s="2102">
        <f t="shared" ref="E157" si="102">+E158+E161</f>
        <v>330606</v>
      </c>
      <c r="F157" s="2102">
        <f>+F158+F161</f>
        <v>30648691</v>
      </c>
      <c r="G157" s="2102">
        <f>+G158+G161</f>
        <v>20369583</v>
      </c>
      <c r="H157" s="2102"/>
      <c r="I157" s="2102"/>
      <c r="J157" s="2102"/>
      <c r="K157" s="2102"/>
      <c r="L157" s="2102"/>
      <c r="M157" s="2005">
        <f>M158+M161</f>
        <v>51018274</v>
      </c>
      <c r="N157" s="2005">
        <f>N158+N161</f>
        <v>20369583</v>
      </c>
      <c r="O157" s="3102" t="s">
        <v>86</v>
      </c>
      <c r="P157" s="480"/>
    </row>
    <row r="158" spans="1:17">
      <c r="A158" s="3085"/>
      <c r="B158" s="681" t="s">
        <v>24</v>
      </c>
      <c r="C158" s="3040" t="s">
        <v>84</v>
      </c>
      <c r="D158" s="2030">
        <f>+D159+D160</f>
        <v>7787332</v>
      </c>
      <c r="E158" s="2030">
        <f t="shared" ref="E158" si="103">+E159+E160</f>
        <v>49591</v>
      </c>
      <c r="F158" s="2030">
        <f>+F159+F160</f>
        <v>4682304</v>
      </c>
      <c r="G158" s="2030">
        <f>+G159+G160</f>
        <v>3055437</v>
      </c>
      <c r="H158" s="2030"/>
      <c r="I158" s="2030"/>
      <c r="J158" s="2030"/>
      <c r="K158" s="2030"/>
      <c r="L158" s="2030"/>
      <c r="M158" s="2008">
        <f>M159</f>
        <v>7737741</v>
      </c>
      <c r="N158" s="2008">
        <f>N159</f>
        <v>3055437</v>
      </c>
      <c r="O158" s="3102"/>
      <c r="P158" s="3175" t="s">
        <v>406</v>
      </c>
    </row>
    <row r="159" spans="1:17" ht="11.25" customHeight="1">
      <c r="A159" s="3085"/>
      <c r="B159" s="1055" t="s">
        <v>12</v>
      </c>
      <c r="C159" s="3098"/>
      <c r="D159" s="1016">
        <f>E159+F159+G159+H159+I159+J159+K159+L159</f>
        <v>7787332</v>
      </c>
      <c r="E159" s="1977">
        <v>49591</v>
      </c>
      <c r="F159" s="1977">
        <f>5700000+1500000+135000-2630000-22696</f>
        <v>4682304</v>
      </c>
      <c r="G159" s="1977">
        <f>1875000+1435625-240216-14972</f>
        <v>3055437</v>
      </c>
      <c r="H159" s="1977"/>
      <c r="I159" s="1977"/>
      <c r="J159" s="1977"/>
      <c r="K159" s="1977"/>
      <c r="L159" s="1977"/>
      <c r="M159" s="2033">
        <f>SUM(F159:K159)</f>
        <v>7737741</v>
      </c>
      <c r="N159" s="2033">
        <f>SUM(G159:L159)</f>
        <v>3055437</v>
      </c>
      <c r="O159" s="3102"/>
      <c r="P159" s="3175"/>
    </row>
    <row r="160" spans="1:17" ht="10.5" hidden="1" customHeight="1">
      <c r="A160" s="3085"/>
      <c r="B160" s="1699" t="s">
        <v>15</v>
      </c>
      <c r="C160" s="3098"/>
      <c r="D160" s="1016">
        <f>SUM(E160:I160)</f>
        <v>0</v>
      </c>
      <c r="E160" s="2063">
        <v>0</v>
      </c>
      <c r="F160" s="1056"/>
      <c r="G160" s="1056"/>
      <c r="H160" s="1056"/>
      <c r="I160" s="1056"/>
      <c r="J160" s="205"/>
      <c r="K160" s="205"/>
      <c r="L160" s="205"/>
      <c r="M160" s="69"/>
      <c r="N160" s="69"/>
      <c r="O160" s="3102"/>
      <c r="P160" s="3175"/>
    </row>
    <row r="161" spans="1:16">
      <c r="A161" s="3085"/>
      <c r="B161" s="1051" t="s">
        <v>18</v>
      </c>
      <c r="C161" s="3098"/>
      <c r="D161" s="2007">
        <f>+D162</f>
        <v>43561548</v>
      </c>
      <c r="E161" s="2013">
        <f t="shared" ref="E161:G161" si="104">+E162</f>
        <v>281015</v>
      </c>
      <c r="F161" s="2013">
        <f t="shared" si="104"/>
        <v>25966387</v>
      </c>
      <c r="G161" s="2013">
        <f t="shared" si="104"/>
        <v>17314146</v>
      </c>
      <c r="H161" s="2013"/>
      <c r="I161" s="2013"/>
      <c r="J161" s="2007"/>
      <c r="K161" s="2007"/>
      <c r="L161" s="2007"/>
      <c r="M161" s="2008">
        <f>M162</f>
        <v>43280533</v>
      </c>
      <c r="N161" s="2008">
        <f>N162</f>
        <v>17314146</v>
      </c>
      <c r="O161" s="3102"/>
      <c r="P161" s="3175"/>
    </row>
    <row r="162" spans="1:16" ht="12" customHeight="1">
      <c r="A162" s="3085"/>
      <c r="B162" s="1055" t="s">
        <v>21</v>
      </c>
      <c r="C162" s="3099"/>
      <c r="D162" s="1016">
        <f>E162+F162+G162+H162+I162+J162+K162+L162</f>
        <v>43561548</v>
      </c>
      <c r="E162" s="1977">
        <v>281015</v>
      </c>
      <c r="F162" s="1977">
        <f>32300000+8500000+765000-15470000-128613</f>
        <v>25966387</v>
      </c>
      <c r="G162" s="1977">
        <f>10625000+4125213+2648772-84839</f>
        <v>17314146</v>
      </c>
      <c r="H162" s="2027"/>
      <c r="I162" s="2027"/>
      <c r="J162" s="2032"/>
      <c r="K162" s="2032"/>
      <c r="L162" s="2032"/>
      <c r="M162" s="2033">
        <f>SUM(F162:K162)</f>
        <v>43280533</v>
      </c>
      <c r="N162" s="2033">
        <f>SUM(G162:L162)</f>
        <v>17314146</v>
      </c>
      <c r="O162" s="3103"/>
      <c r="P162" s="3175"/>
    </row>
    <row r="163" spans="1:16" ht="12" customHeight="1">
      <c r="A163" s="3086"/>
      <c r="B163" s="94" t="s">
        <v>22</v>
      </c>
      <c r="C163" s="91"/>
      <c r="D163" s="103">
        <f t="shared" ref="D163" si="105">+D164+D166</f>
        <v>43561548</v>
      </c>
      <c r="E163" s="236">
        <f>+E164+E166</f>
        <v>0</v>
      </c>
      <c r="F163" s="236">
        <f>+F164+F166</f>
        <v>26247402</v>
      </c>
      <c r="G163" s="236">
        <f>+G164+G166</f>
        <v>17314146</v>
      </c>
      <c r="H163" s="236"/>
      <c r="I163" s="236"/>
      <c r="J163" s="236"/>
      <c r="K163" s="236"/>
      <c r="L163" s="236"/>
      <c r="M163" s="3062" t="s">
        <v>23</v>
      </c>
      <c r="N163" s="3062" t="s">
        <v>23</v>
      </c>
      <c r="O163" s="3122" t="s">
        <v>102</v>
      </c>
    </row>
    <row r="164" spans="1:16" ht="13.5" hidden="1" customHeight="1">
      <c r="A164" s="3086"/>
      <c r="B164" s="2011" t="s">
        <v>24</v>
      </c>
      <c r="C164" s="3113" t="s">
        <v>232</v>
      </c>
      <c r="D164" s="52">
        <f>+D165</f>
        <v>0</v>
      </c>
      <c r="E164" s="52"/>
      <c r="F164" s="52"/>
      <c r="G164" s="52"/>
      <c r="H164" s="52"/>
      <c r="I164" s="52"/>
      <c r="J164" s="52"/>
      <c r="K164" s="52"/>
      <c r="L164" s="52"/>
      <c r="M164" s="3028"/>
      <c r="N164" s="3028"/>
      <c r="O164" s="3123"/>
    </row>
    <row r="165" spans="1:16" ht="13.5" hidden="1" customHeight="1">
      <c r="A165" s="3086"/>
      <c r="B165" s="93" t="s">
        <v>15</v>
      </c>
      <c r="C165" s="3114"/>
      <c r="D165" s="1016">
        <f>SUM(E165:I165)</f>
        <v>0</v>
      </c>
      <c r="E165" s="2036"/>
      <c r="F165" s="2036"/>
      <c r="G165" s="2036"/>
      <c r="H165" s="2036"/>
      <c r="I165" s="2036"/>
      <c r="J165" s="2036"/>
      <c r="K165" s="2036"/>
      <c r="L165" s="2036"/>
      <c r="M165" s="3028"/>
      <c r="N165" s="3028"/>
      <c r="O165" s="3123"/>
    </row>
    <row r="166" spans="1:16" ht="12" customHeight="1">
      <c r="A166" s="3086"/>
      <c r="B166" s="2062" t="s">
        <v>18</v>
      </c>
      <c r="C166" s="3114"/>
      <c r="D166" s="2007">
        <f t="shared" ref="D166:G166" si="106">+D167</f>
        <v>43561548</v>
      </c>
      <c r="E166" s="2013">
        <f t="shared" si="106"/>
        <v>0</v>
      </c>
      <c r="F166" s="2013">
        <f t="shared" si="106"/>
        <v>26247402</v>
      </c>
      <c r="G166" s="2013">
        <f t="shared" si="106"/>
        <v>17314146</v>
      </c>
      <c r="H166" s="2013"/>
      <c r="I166" s="2013"/>
      <c r="J166" s="2013"/>
      <c r="K166" s="2013"/>
      <c r="L166" s="2013"/>
      <c r="M166" s="3028"/>
      <c r="N166" s="3028"/>
      <c r="O166" s="3123"/>
    </row>
    <row r="167" spans="1:16" ht="13.5" customHeight="1" thickBot="1">
      <c r="A167" s="3087"/>
      <c r="B167" s="1054" t="s">
        <v>21</v>
      </c>
      <c r="C167" s="3115"/>
      <c r="D167" s="1009">
        <f>E167+F167+G167+H167+I167+J167+K167+L167</f>
        <v>43561548</v>
      </c>
      <c r="E167" s="1009">
        <v>0</v>
      </c>
      <c r="F167" s="520">
        <f>29000000+6000000-8623985-128613</f>
        <v>26247402</v>
      </c>
      <c r="G167" s="520">
        <f>14775000+6625213-4001228-84839</f>
        <v>17314146</v>
      </c>
      <c r="H167" s="520"/>
      <c r="I167" s="520"/>
      <c r="J167" s="520"/>
      <c r="K167" s="520"/>
      <c r="L167" s="520"/>
      <c r="M167" s="3029"/>
      <c r="N167" s="3029"/>
      <c r="O167" s="3124"/>
    </row>
    <row r="168" spans="1:16" ht="24.75" customHeight="1">
      <c r="A168" s="3084" t="s">
        <v>66</v>
      </c>
      <c r="B168" s="74" t="s">
        <v>523</v>
      </c>
      <c r="C168" s="58" t="s">
        <v>81</v>
      </c>
      <c r="D168" s="59"/>
      <c r="E168" s="44"/>
      <c r="F168" s="44"/>
      <c r="G168" s="44"/>
      <c r="H168" s="44"/>
      <c r="I168" s="44"/>
      <c r="J168" s="44"/>
      <c r="K168" s="44"/>
      <c r="L168" s="44"/>
      <c r="M168" s="45"/>
      <c r="N168" s="45"/>
      <c r="O168" s="90"/>
      <c r="P168" s="235" t="s">
        <v>465</v>
      </c>
    </row>
    <row r="169" spans="1:16" ht="13.5" customHeight="1">
      <c r="A169" s="3085"/>
      <c r="B169" s="715" t="s">
        <v>10</v>
      </c>
      <c r="C169" s="813"/>
      <c r="D169" s="1045">
        <f>+D170+D173</f>
        <v>16401087</v>
      </c>
      <c r="E169" s="748">
        <f t="shared" ref="E169" si="107">+E170+E173</f>
        <v>1591</v>
      </c>
      <c r="F169" s="748">
        <f>+F170+F173</f>
        <v>3270506</v>
      </c>
      <c r="G169" s="748">
        <f>+G170+G173</f>
        <v>13128990</v>
      </c>
      <c r="H169" s="748"/>
      <c r="I169" s="748"/>
      <c r="J169" s="748"/>
      <c r="K169" s="748"/>
      <c r="L169" s="748"/>
      <c r="M169" s="1024">
        <f>M170+M173</f>
        <v>16399496</v>
      </c>
      <c r="N169" s="1024">
        <f>N170+N173</f>
        <v>13128990</v>
      </c>
      <c r="O169" s="3102" t="s">
        <v>86</v>
      </c>
      <c r="P169" s="480"/>
    </row>
    <row r="170" spans="1:16" ht="13.5" customHeight="1">
      <c r="A170" s="3085"/>
      <c r="B170" s="681" t="s">
        <v>24</v>
      </c>
      <c r="C170" s="3108" t="s">
        <v>84</v>
      </c>
      <c r="D170" s="798">
        <f>+D171+D172</f>
        <v>2867300</v>
      </c>
      <c r="E170" s="798">
        <f t="shared" ref="E170" si="108">+E171+E172</f>
        <v>239</v>
      </c>
      <c r="F170" s="798">
        <f>+F171+F172</f>
        <v>566230</v>
      </c>
      <c r="G170" s="798">
        <f>+G171+G172</f>
        <v>2300831</v>
      </c>
      <c r="H170" s="798"/>
      <c r="I170" s="798"/>
      <c r="J170" s="798"/>
      <c r="K170" s="798"/>
      <c r="L170" s="798"/>
      <c r="M170" s="694">
        <f>M171+M172</f>
        <v>2867061</v>
      </c>
      <c r="N170" s="694">
        <f>N171+N172</f>
        <v>2300831</v>
      </c>
      <c r="O170" s="3102"/>
      <c r="P170" s="3175"/>
    </row>
    <row r="171" spans="1:16">
      <c r="A171" s="3085"/>
      <c r="B171" s="1055" t="s">
        <v>12</v>
      </c>
      <c r="C171" s="3098"/>
      <c r="D171" s="249">
        <f>E171+F171+G171+H171+I171+J171+K171+L171</f>
        <v>2636846</v>
      </c>
      <c r="E171" s="286">
        <v>239</v>
      </c>
      <c r="F171" s="1035">
        <f>2821000+15000-1954801-48563-304636-41551</f>
        <v>486449</v>
      </c>
      <c r="G171" s="1035">
        <f>2016162+18262+304636-188902</f>
        <v>2150158</v>
      </c>
      <c r="H171" s="1035"/>
      <c r="I171" s="1035"/>
      <c r="J171" s="1035"/>
      <c r="K171" s="1035"/>
      <c r="L171" s="1035"/>
      <c r="M171" s="1047">
        <f>SUM(F171:K171)</f>
        <v>2636607</v>
      </c>
      <c r="N171" s="1047">
        <f>SUM(G171:L171)</f>
        <v>2150158</v>
      </c>
      <c r="O171" s="3102"/>
      <c r="P171" s="3175"/>
    </row>
    <row r="172" spans="1:16" ht="10.5" customHeight="1">
      <c r="A172" s="3085"/>
      <c r="B172" s="1699" t="s">
        <v>15</v>
      </c>
      <c r="C172" s="3098"/>
      <c r="D172" s="1016">
        <f>SUM(E172:I172)</f>
        <v>230454</v>
      </c>
      <c r="E172" s="2063">
        <v>0</v>
      </c>
      <c r="F172" s="1056">
        <v>79781</v>
      </c>
      <c r="G172" s="1056">
        <v>150673</v>
      </c>
      <c r="H172" s="1056"/>
      <c r="I172" s="1056"/>
      <c r="J172" s="2027"/>
      <c r="K172" s="2027"/>
      <c r="L172" s="2027"/>
      <c r="M172" s="1047">
        <f>SUM(F172:K172)</f>
        <v>230454</v>
      </c>
      <c r="N172" s="1047">
        <f>SUM(G172:L172)</f>
        <v>150673</v>
      </c>
      <c r="O172" s="3102"/>
      <c r="P172" s="3175"/>
    </row>
    <row r="173" spans="1:16" ht="12.75" customHeight="1">
      <c r="A173" s="3085"/>
      <c r="B173" s="1051" t="s">
        <v>18</v>
      </c>
      <c r="C173" s="3098"/>
      <c r="D173" s="698">
        <f>+D174</f>
        <v>13533787</v>
      </c>
      <c r="E173" s="1030">
        <f t="shared" ref="E173:G173" si="109">+E174</f>
        <v>1352</v>
      </c>
      <c r="F173" s="1030">
        <f t="shared" si="109"/>
        <v>2704276</v>
      </c>
      <c r="G173" s="1030">
        <f t="shared" si="109"/>
        <v>10828159</v>
      </c>
      <c r="H173" s="1030"/>
      <c r="I173" s="1030"/>
      <c r="J173" s="698"/>
      <c r="K173" s="698"/>
      <c r="L173" s="698"/>
      <c r="M173" s="694">
        <f>M174</f>
        <v>13532435</v>
      </c>
      <c r="N173" s="694">
        <f>N174</f>
        <v>10828159</v>
      </c>
      <c r="O173" s="3102"/>
      <c r="P173" s="3175"/>
    </row>
    <row r="174" spans="1:16">
      <c r="A174" s="3085"/>
      <c r="B174" s="1055" t="s">
        <v>21</v>
      </c>
      <c r="C174" s="3099"/>
      <c r="D174" s="2060">
        <f>E174+F174+G174+H174+I174+J174+K174+L174</f>
        <v>13533787</v>
      </c>
      <c r="E174" s="286">
        <v>1352</v>
      </c>
      <c r="F174" s="1035">
        <f>15079000+85000-11487872+534253-1388381-117724</f>
        <v>2704276</v>
      </c>
      <c r="G174" s="1035">
        <f>11424920-705956+1388381-1279186</f>
        <v>10828159</v>
      </c>
      <c r="H174" s="778"/>
      <c r="I174" s="778"/>
      <c r="J174" s="777"/>
      <c r="K174" s="777"/>
      <c r="L174" s="777"/>
      <c r="M174" s="1047">
        <f>SUM(F174:K174)</f>
        <v>13532435</v>
      </c>
      <c r="N174" s="1047">
        <f>SUM(G174:L174)</f>
        <v>10828159</v>
      </c>
      <c r="O174" s="3103"/>
      <c r="P174" s="3175"/>
    </row>
    <row r="175" spans="1:16" ht="13.5" customHeight="1">
      <c r="A175" s="3086"/>
      <c r="B175" s="94" t="s">
        <v>22</v>
      </c>
      <c r="C175" s="91"/>
      <c r="D175" s="103">
        <f t="shared" ref="D175" si="110">+D176+D178</f>
        <v>13764241</v>
      </c>
      <c r="E175" s="236">
        <f>+E176+E178</f>
        <v>0</v>
      </c>
      <c r="F175" s="236">
        <f>+F176+F178</f>
        <v>709781</v>
      </c>
      <c r="G175" s="236">
        <f>+G176+G178</f>
        <v>13054460</v>
      </c>
      <c r="H175" s="236"/>
      <c r="I175" s="236"/>
      <c r="J175" s="236"/>
      <c r="K175" s="236"/>
      <c r="L175" s="236"/>
      <c r="M175" s="3062" t="s">
        <v>23</v>
      </c>
      <c r="N175" s="3062" t="s">
        <v>23</v>
      </c>
      <c r="O175" s="3122" t="s">
        <v>102</v>
      </c>
    </row>
    <row r="176" spans="1:16" ht="13.5" customHeight="1">
      <c r="A176" s="3086"/>
      <c r="B176" s="1053" t="s">
        <v>24</v>
      </c>
      <c r="C176" s="3113" t="s">
        <v>232</v>
      </c>
      <c r="D176" s="52">
        <f>+D177</f>
        <v>230454</v>
      </c>
      <c r="E176" s="52">
        <v>0</v>
      </c>
      <c r="F176" s="52">
        <f>F177</f>
        <v>79781</v>
      </c>
      <c r="G176" s="52">
        <f>G177</f>
        <v>150673</v>
      </c>
      <c r="H176" s="52"/>
      <c r="I176" s="52"/>
      <c r="J176" s="52"/>
      <c r="K176" s="52"/>
      <c r="L176" s="52"/>
      <c r="M176" s="3028"/>
      <c r="N176" s="3028"/>
      <c r="O176" s="3123"/>
    </row>
    <row r="177" spans="1:16" ht="13.5" customHeight="1">
      <c r="A177" s="3086"/>
      <c r="B177" s="2528" t="s">
        <v>15</v>
      </c>
      <c r="C177" s="3114"/>
      <c r="D177" s="1016">
        <f>SUM(E177:I177)</f>
        <v>230454</v>
      </c>
      <c r="E177" s="1028">
        <v>0</v>
      </c>
      <c r="F177" s="1028">
        <v>79781</v>
      </c>
      <c r="G177" s="1028">
        <v>150673</v>
      </c>
      <c r="H177" s="1028"/>
      <c r="I177" s="1028"/>
      <c r="J177" s="1028"/>
      <c r="K177" s="1028"/>
      <c r="L177" s="1028"/>
      <c r="M177" s="3028"/>
      <c r="N177" s="3028"/>
      <c r="O177" s="3123"/>
    </row>
    <row r="178" spans="1:16" ht="12" customHeight="1">
      <c r="A178" s="3086"/>
      <c r="B178" s="2054" t="s">
        <v>18</v>
      </c>
      <c r="C178" s="3114"/>
      <c r="D178" s="698">
        <f t="shared" ref="D178:G178" si="111">+D179</f>
        <v>13533787</v>
      </c>
      <c r="E178" s="1030">
        <f t="shared" si="111"/>
        <v>0</v>
      </c>
      <c r="F178" s="1030">
        <f t="shared" si="111"/>
        <v>630000</v>
      </c>
      <c r="G178" s="1030">
        <f t="shared" si="111"/>
        <v>12903787</v>
      </c>
      <c r="H178" s="1030"/>
      <c r="I178" s="1030"/>
      <c r="J178" s="1030"/>
      <c r="K178" s="1030"/>
      <c r="L178" s="1030"/>
      <c r="M178" s="3028"/>
      <c r="N178" s="3028"/>
      <c r="O178" s="3123"/>
    </row>
    <row r="179" spans="1:16" ht="13.5" customHeight="1" thickBot="1">
      <c r="A179" s="3087"/>
      <c r="B179" s="891" t="s">
        <v>21</v>
      </c>
      <c r="C179" s="3115"/>
      <c r="D179" s="249">
        <f>E179+F179+G179+H179+I179+J179+K179+L179</f>
        <v>13533787</v>
      </c>
      <c r="E179" s="286">
        <v>0</v>
      </c>
      <c r="F179" s="520">
        <f>14164000-10486520+534253-1388381-2193352</f>
        <v>630000</v>
      </c>
      <c r="G179" s="520">
        <f>1000000+10424920-705956+1388381+796442</f>
        <v>12903787</v>
      </c>
      <c r="H179" s="520"/>
      <c r="I179" s="520"/>
      <c r="J179" s="520"/>
      <c r="K179" s="520"/>
      <c r="L179" s="520"/>
      <c r="M179" s="3029"/>
      <c r="N179" s="3029"/>
      <c r="O179" s="3124"/>
    </row>
    <row r="180" spans="1:16" ht="24">
      <c r="A180" s="3084" t="s">
        <v>67</v>
      </c>
      <c r="B180" s="74" t="s">
        <v>467</v>
      </c>
      <c r="C180" s="58" t="s">
        <v>81</v>
      </c>
      <c r="D180" s="59"/>
      <c r="E180" s="44"/>
      <c r="F180" s="44"/>
      <c r="G180" s="44"/>
      <c r="H180" s="44"/>
      <c r="I180" s="44"/>
      <c r="J180" s="44"/>
      <c r="K180" s="44"/>
      <c r="L180" s="44"/>
      <c r="M180" s="45"/>
      <c r="N180" s="45"/>
      <c r="O180" s="90"/>
      <c r="P180" s="235" t="s">
        <v>308</v>
      </c>
    </row>
    <row r="181" spans="1:16">
      <c r="A181" s="3085"/>
      <c r="B181" s="715" t="s">
        <v>10</v>
      </c>
      <c r="C181" s="2003"/>
      <c r="D181" s="2029">
        <f>+D182+D185</f>
        <v>52780964</v>
      </c>
      <c r="E181" s="2102">
        <f>+E182+E185</f>
        <v>0</v>
      </c>
      <c r="F181" s="2102">
        <f>+F182+F185</f>
        <v>18055000</v>
      </c>
      <c r="G181" s="2102">
        <f>+G182+G185</f>
        <v>34725964</v>
      </c>
      <c r="H181" s="2102"/>
      <c r="I181" s="2102"/>
      <c r="J181" s="2102"/>
      <c r="K181" s="2102"/>
      <c r="L181" s="2102"/>
      <c r="M181" s="2005">
        <f>M182+M185</f>
        <v>52780964</v>
      </c>
      <c r="N181" s="2005">
        <f>N182+N185</f>
        <v>34725964</v>
      </c>
      <c r="O181" s="3102" t="s">
        <v>86</v>
      </c>
      <c r="P181" s="480"/>
    </row>
    <row r="182" spans="1:16" ht="13.5" customHeight="1">
      <c r="A182" s="3085"/>
      <c r="B182" s="681" t="s">
        <v>24</v>
      </c>
      <c r="C182" s="3040" t="s">
        <v>84</v>
      </c>
      <c r="D182" s="2030">
        <f>+D183+D184</f>
        <v>10467145</v>
      </c>
      <c r="E182" s="2030">
        <f>+E183+E184</f>
        <v>0</v>
      </c>
      <c r="F182" s="2030">
        <f>+F183+F184</f>
        <v>5258250</v>
      </c>
      <c r="G182" s="2030">
        <f>+G183+G184</f>
        <v>5208895</v>
      </c>
      <c r="H182" s="2030"/>
      <c r="I182" s="2030"/>
      <c r="J182" s="2030"/>
      <c r="K182" s="2030"/>
      <c r="L182" s="2030"/>
      <c r="M182" s="2008">
        <f>M183</f>
        <v>10467145</v>
      </c>
      <c r="N182" s="2008">
        <f>N183</f>
        <v>5208895</v>
      </c>
      <c r="O182" s="3102"/>
      <c r="P182" s="480"/>
    </row>
    <row r="183" spans="1:16">
      <c r="A183" s="3085"/>
      <c r="B183" s="1055" t="s">
        <v>12</v>
      </c>
      <c r="C183" s="3098"/>
      <c r="D183" s="1016">
        <f>E183+F183+G183+H183+I183+J183+K183+L183</f>
        <v>10467145</v>
      </c>
      <c r="E183" s="1977">
        <v>0</v>
      </c>
      <c r="F183" s="1977">
        <f>4500000-1204062+1962312</f>
        <v>5258250</v>
      </c>
      <c r="G183" s="1977">
        <f>4215000+1785000+1171207-1962312</f>
        <v>5208895</v>
      </c>
      <c r="H183" s="1977"/>
      <c r="I183" s="1977"/>
      <c r="J183" s="1977"/>
      <c r="K183" s="1977"/>
      <c r="L183" s="1977"/>
      <c r="M183" s="2033">
        <f>SUM(F183:K183)</f>
        <v>10467145</v>
      </c>
      <c r="N183" s="2033">
        <f>SUM(G183:L183)</f>
        <v>5208895</v>
      </c>
      <c r="O183" s="3102"/>
      <c r="P183" s="480"/>
    </row>
    <row r="184" spans="1:16" ht="10.5" hidden="1" customHeight="1">
      <c r="A184" s="3085"/>
      <c r="B184" s="1699" t="s">
        <v>15</v>
      </c>
      <c r="C184" s="3098"/>
      <c r="D184" s="1016">
        <f>SUM(E184:I184)</f>
        <v>0</v>
      </c>
      <c r="E184" s="2058">
        <v>0</v>
      </c>
      <c r="F184" s="2059"/>
      <c r="G184" s="2059"/>
      <c r="H184" s="2059"/>
      <c r="I184" s="2059"/>
      <c r="J184" s="205"/>
      <c r="K184" s="205"/>
      <c r="L184" s="205"/>
      <c r="M184" s="69"/>
      <c r="N184" s="69"/>
      <c r="O184" s="3102"/>
    </row>
    <row r="185" spans="1:16" ht="12.75" customHeight="1">
      <c r="A185" s="3085"/>
      <c r="B185" s="1051" t="s">
        <v>18</v>
      </c>
      <c r="C185" s="3098"/>
      <c r="D185" s="2007">
        <f>+D186</f>
        <v>42313819</v>
      </c>
      <c r="E185" s="2013">
        <f t="shared" ref="E185:G185" si="112">+E186</f>
        <v>0</v>
      </c>
      <c r="F185" s="2013">
        <f t="shared" si="112"/>
        <v>12796750</v>
      </c>
      <c r="G185" s="2013">
        <f t="shared" si="112"/>
        <v>29517069</v>
      </c>
      <c r="H185" s="2013"/>
      <c r="I185" s="2013"/>
      <c r="J185" s="2007"/>
      <c r="K185" s="2007"/>
      <c r="L185" s="2007"/>
      <c r="M185" s="2008">
        <f>M186</f>
        <v>42313819</v>
      </c>
      <c r="N185" s="2008">
        <f>N186</f>
        <v>29517069</v>
      </c>
      <c r="O185" s="3102"/>
    </row>
    <row r="186" spans="1:16">
      <c r="A186" s="3085"/>
      <c r="B186" s="1055" t="s">
        <v>21</v>
      </c>
      <c r="C186" s="3099"/>
      <c r="D186" s="1984">
        <f>E186+F186+G186+H186+I186+J186+K186+L186</f>
        <v>42313819</v>
      </c>
      <c r="E186" s="1977">
        <v>0</v>
      </c>
      <c r="F186" s="1977">
        <f>38250000+85000-21335000+1110315-5313565</f>
        <v>12796750</v>
      </c>
      <c r="G186" s="1977">
        <f>13685000+11815000-1296496+5313565</f>
        <v>29517069</v>
      </c>
      <c r="H186" s="2027"/>
      <c r="I186" s="2027"/>
      <c r="J186" s="2032"/>
      <c r="K186" s="2032"/>
      <c r="L186" s="2032"/>
      <c r="M186" s="2033">
        <f>SUM(F186:K186)</f>
        <v>42313819</v>
      </c>
      <c r="N186" s="2033">
        <f>SUM(G186:L186)</f>
        <v>29517069</v>
      </c>
      <c r="O186" s="3103"/>
    </row>
    <row r="187" spans="1:16" ht="11.25" customHeight="1">
      <c r="A187" s="3086"/>
      <c r="B187" s="94" t="s">
        <v>22</v>
      </c>
      <c r="C187" s="91"/>
      <c r="D187" s="103">
        <f t="shared" ref="D187:E187" si="113">+D188+D190</f>
        <v>42313819</v>
      </c>
      <c r="E187" s="236">
        <f t="shared" si="113"/>
        <v>0</v>
      </c>
      <c r="F187" s="236">
        <f>+F188+F190</f>
        <v>0</v>
      </c>
      <c r="G187" s="236">
        <f>+G188+G190</f>
        <v>42313819</v>
      </c>
      <c r="H187" s="236"/>
      <c r="I187" s="236"/>
      <c r="J187" s="236"/>
      <c r="K187" s="236"/>
      <c r="L187" s="236"/>
      <c r="M187" s="3054" t="s">
        <v>23</v>
      </c>
      <c r="N187" s="3054" t="s">
        <v>23</v>
      </c>
      <c r="O187" s="3155" t="s">
        <v>102</v>
      </c>
    </row>
    <row r="188" spans="1:16" ht="13.5" hidden="1" customHeight="1">
      <c r="A188" s="3086"/>
      <c r="B188" s="2011" t="s">
        <v>24</v>
      </c>
      <c r="C188" s="3127" t="s">
        <v>232</v>
      </c>
      <c r="D188" s="52">
        <f>+D189</f>
        <v>0</v>
      </c>
      <c r="E188" s="269">
        <v>0</v>
      </c>
      <c r="F188" s="52"/>
      <c r="G188" s="52"/>
      <c r="H188" s="52"/>
      <c r="I188" s="52"/>
      <c r="J188" s="52"/>
      <c r="K188" s="52"/>
      <c r="L188" s="52"/>
      <c r="M188" s="3028"/>
      <c r="N188" s="3028"/>
      <c r="O188" s="3123"/>
    </row>
    <row r="189" spans="1:16" ht="13.5" hidden="1" customHeight="1">
      <c r="A189" s="3086"/>
      <c r="B189" s="93" t="s">
        <v>15</v>
      </c>
      <c r="C189" s="3114"/>
      <c r="D189" s="1016">
        <f>SUM(E189:I189)</f>
        <v>0</v>
      </c>
      <c r="E189" s="2829">
        <v>0</v>
      </c>
      <c r="F189" s="2036"/>
      <c r="G189" s="2036"/>
      <c r="H189" s="2036"/>
      <c r="I189" s="2036"/>
      <c r="J189" s="2036"/>
      <c r="K189" s="2036"/>
      <c r="L189" s="2036"/>
      <c r="M189" s="3028"/>
      <c r="N189" s="3028"/>
      <c r="O189" s="3123"/>
    </row>
    <row r="190" spans="1:16" ht="12" customHeight="1">
      <c r="A190" s="3086"/>
      <c r="B190" s="2062" t="s">
        <v>18</v>
      </c>
      <c r="C190" s="3114"/>
      <c r="D190" s="2007">
        <f t="shared" ref="D190:G190" si="114">+D191</f>
        <v>42313819</v>
      </c>
      <c r="E190" s="2013">
        <f t="shared" si="114"/>
        <v>0</v>
      </c>
      <c r="F190" s="2013">
        <f t="shared" si="114"/>
        <v>0</v>
      </c>
      <c r="G190" s="2013">
        <f t="shared" si="114"/>
        <v>42313819</v>
      </c>
      <c r="H190" s="2013"/>
      <c r="I190" s="2013"/>
      <c r="J190" s="2013"/>
      <c r="K190" s="2013"/>
      <c r="L190" s="2013"/>
      <c r="M190" s="3028"/>
      <c r="N190" s="3028"/>
      <c r="O190" s="3123"/>
    </row>
    <row r="191" spans="1:16" ht="13.5" customHeight="1" thickBot="1">
      <c r="A191" s="3087"/>
      <c r="B191" s="1054" t="s">
        <v>21</v>
      </c>
      <c r="C191" s="3115"/>
      <c r="D191" s="2195">
        <f>E191+F191+G191+H191+I191+J191+K191+L191</f>
        <v>42313819</v>
      </c>
      <c r="E191" s="2195">
        <v>0</v>
      </c>
      <c r="F191" s="2457">
        <f>38335000-21335000+1110315-18110315</f>
        <v>0</v>
      </c>
      <c r="G191" s="2457">
        <f>13685000+11815000-1296496+18110315</f>
        <v>42313819</v>
      </c>
      <c r="H191" s="2457"/>
      <c r="I191" s="2457"/>
      <c r="J191" s="2457"/>
      <c r="K191" s="2457"/>
      <c r="L191" s="2457"/>
      <c r="M191" s="3029"/>
      <c r="N191" s="3029"/>
      <c r="O191" s="3124"/>
    </row>
    <row r="192" spans="1:16" ht="24.75" customHeight="1">
      <c r="A192" s="3084" t="s">
        <v>115</v>
      </c>
      <c r="B192" s="74" t="s">
        <v>468</v>
      </c>
      <c r="C192" s="58" t="s">
        <v>81</v>
      </c>
      <c r="D192" s="59"/>
      <c r="E192" s="44"/>
      <c r="F192" s="44"/>
      <c r="G192" s="44"/>
      <c r="H192" s="44"/>
      <c r="I192" s="44"/>
      <c r="J192" s="44"/>
      <c r="K192" s="44"/>
      <c r="L192" s="44"/>
      <c r="M192" s="45"/>
      <c r="N192" s="45"/>
      <c r="O192" s="90"/>
    </row>
    <row r="193" spans="1:16">
      <c r="A193" s="3085"/>
      <c r="B193" s="715" t="s">
        <v>10</v>
      </c>
      <c r="C193" s="813"/>
      <c r="D193" s="1045">
        <f>+D194+D197</f>
        <v>3411977</v>
      </c>
      <c r="E193" s="748">
        <f t="shared" ref="E193" si="115">+E194+E197</f>
        <v>186175</v>
      </c>
      <c r="F193" s="748">
        <f>+F194+F197</f>
        <v>3225802</v>
      </c>
      <c r="G193" s="748">
        <f>+G194+G197</f>
        <v>0</v>
      </c>
      <c r="H193" s="748"/>
      <c r="I193" s="748"/>
      <c r="J193" s="748"/>
      <c r="K193" s="748"/>
      <c r="L193" s="748"/>
      <c r="M193" s="1024">
        <f>M194+M197</f>
        <v>3225802</v>
      </c>
      <c r="N193" s="1024">
        <f>N194+N197</f>
        <v>0</v>
      </c>
      <c r="O193" s="3102" t="s">
        <v>86</v>
      </c>
      <c r="P193" s="480"/>
    </row>
    <row r="194" spans="1:16" ht="13.5" customHeight="1">
      <c r="A194" s="3085"/>
      <c r="B194" s="681" t="s">
        <v>24</v>
      </c>
      <c r="C194" s="3108" t="s">
        <v>84</v>
      </c>
      <c r="D194" s="798">
        <f>+D195+D196</f>
        <v>745310</v>
      </c>
      <c r="E194" s="798">
        <f t="shared" ref="E194" si="116">+E195+E196</f>
        <v>133940</v>
      </c>
      <c r="F194" s="798">
        <f>+F195+F196</f>
        <v>611370</v>
      </c>
      <c r="G194" s="798">
        <f>+G195+G196</f>
        <v>0</v>
      </c>
      <c r="H194" s="798"/>
      <c r="I194" s="798"/>
      <c r="J194" s="798"/>
      <c r="K194" s="798"/>
      <c r="L194" s="798"/>
      <c r="M194" s="694">
        <f>M195</f>
        <v>611370</v>
      </c>
      <c r="N194" s="694">
        <f>N195</f>
        <v>0</v>
      </c>
      <c r="O194" s="3102"/>
      <c r="P194" s="480"/>
    </row>
    <row r="195" spans="1:16" ht="11.25" customHeight="1">
      <c r="A195" s="3085"/>
      <c r="B195" s="1055" t="s">
        <v>12</v>
      </c>
      <c r="C195" s="3098"/>
      <c r="D195" s="249">
        <f>E195+F195+G195+H195+I195+J195+K195+L195</f>
        <v>745310</v>
      </c>
      <c r="E195" s="286">
        <f>133940</f>
        <v>133940</v>
      </c>
      <c r="F195" s="1035">
        <f>630000+30000-39218-9412</f>
        <v>611370</v>
      </c>
      <c r="G195" s="1035">
        <v>0</v>
      </c>
      <c r="H195" s="1035"/>
      <c r="I195" s="1035"/>
      <c r="J195" s="1035"/>
      <c r="K195" s="1035"/>
      <c r="L195" s="1035"/>
      <c r="M195" s="1047">
        <f>SUM(F195:K195)</f>
        <v>611370</v>
      </c>
      <c r="N195" s="1047">
        <f>SUM(G195:L195)</f>
        <v>0</v>
      </c>
      <c r="O195" s="3102"/>
      <c r="P195" s="480"/>
    </row>
    <row r="196" spans="1:16" ht="10.5" hidden="1" customHeight="1">
      <c r="A196" s="3085"/>
      <c r="B196" s="1699" t="s">
        <v>15</v>
      </c>
      <c r="C196" s="3098"/>
      <c r="D196" s="1016">
        <f>SUM(E196:I196)</f>
        <v>0</v>
      </c>
      <c r="E196" s="2063">
        <v>0</v>
      </c>
      <c r="F196" s="1056"/>
      <c r="G196" s="1056"/>
      <c r="H196" s="1056"/>
      <c r="I196" s="1056"/>
      <c r="J196" s="205"/>
      <c r="K196" s="205"/>
      <c r="L196" s="205"/>
      <c r="M196" s="69"/>
      <c r="N196" s="69"/>
      <c r="O196" s="3102"/>
    </row>
    <row r="197" spans="1:16" ht="12.75" customHeight="1">
      <c r="A197" s="3085"/>
      <c r="B197" s="1051" t="s">
        <v>18</v>
      </c>
      <c r="C197" s="3098"/>
      <c r="D197" s="698">
        <f>+D198</f>
        <v>2666667</v>
      </c>
      <c r="E197" s="1030">
        <f t="shared" ref="E197:G197" si="117">+E198</f>
        <v>52235</v>
      </c>
      <c r="F197" s="1030">
        <f t="shared" si="117"/>
        <v>2614432</v>
      </c>
      <c r="G197" s="1030">
        <f t="shared" si="117"/>
        <v>0</v>
      </c>
      <c r="H197" s="1030"/>
      <c r="I197" s="1030"/>
      <c r="J197" s="698"/>
      <c r="K197" s="698"/>
      <c r="L197" s="698"/>
      <c r="M197" s="694">
        <f>M198</f>
        <v>2614432</v>
      </c>
      <c r="N197" s="694">
        <f>N198</f>
        <v>0</v>
      </c>
      <c r="O197" s="3102"/>
    </row>
    <row r="198" spans="1:16" ht="12" customHeight="1">
      <c r="A198" s="3085"/>
      <c r="B198" s="1055" t="s">
        <v>21</v>
      </c>
      <c r="C198" s="3099"/>
      <c r="D198" s="2060">
        <f>E198+F198+G198+H198+I198+J198+K198+L198</f>
        <v>2666667</v>
      </c>
      <c r="E198" s="286">
        <f>52235</f>
        <v>52235</v>
      </c>
      <c r="F198" s="1035">
        <f>3570000+170000-1072235-53333</f>
        <v>2614432</v>
      </c>
      <c r="G198" s="1035">
        <v>0</v>
      </c>
      <c r="H198" s="778"/>
      <c r="I198" s="778"/>
      <c r="J198" s="777"/>
      <c r="K198" s="777"/>
      <c r="L198" s="777"/>
      <c r="M198" s="1047">
        <f>SUM(F198:K198)</f>
        <v>2614432</v>
      </c>
      <c r="N198" s="1047">
        <f>SUM(G198:L198)</f>
        <v>0</v>
      </c>
      <c r="O198" s="3103"/>
    </row>
    <row r="199" spans="1:16">
      <c r="A199" s="3086"/>
      <c r="B199" s="94" t="s">
        <v>22</v>
      </c>
      <c r="C199" s="91"/>
      <c r="D199" s="103">
        <f t="shared" ref="D199" si="118">+D200+D202</f>
        <v>2666667</v>
      </c>
      <c r="E199" s="236">
        <f t="shared" ref="E199" si="119">+E200+E202</f>
        <v>0</v>
      </c>
      <c r="F199" s="236">
        <f>+F200+F202</f>
        <v>1948545</v>
      </c>
      <c r="G199" s="236">
        <f>+G200+G202</f>
        <v>718122</v>
      </c>
      <c r="H199" s="236"/>
      <c r="I199" s="236"/>
      <c r="J199" s="236"/>
      <c r="K199" s="236"/>
      <c r="L199" s="236"/>
      <c r="M199" s="3062" t="s">
        <v>23</v>
      </c>
      <c r="N199" s="3062" t="s">
        <v>23</v>
      </c>
      <c r="O199" s="3122" t="s">
        <v>102</v>
      </c>
    </row>
    <row r="200" spans="1:16" hidden="1">
      <c r="A200" s="3086"/>
      <c r="B200" s="1053" t="s">
        <v>24</v>
      </c>
      <c r="C200" s="3113" t="s">
        <v>232</v>
      </c>
      <c r="D200" s="52">
        <f>+D201</f>
        <v>0</v>
      </c>
      <c r="E200" s="52">
        <f t="shared" ref="E200" si="120">+E201</f>
        <v>0</v>
      </c>
      <c r="F200" s="52"/>
      <c r="G200" s="52"/>
      <c r="H200" s="52"/>
      <c r="I200" s="52"/>
      <c r="J200" s="52"/>
      <c r="K200" s="52"/>
      <c r="L200" s="52"/>
      <c r="M200" s="3028"/>
      <c r="N200" s="3028"/>
      <c r="O200" s="3123"/>
    </row>
    <row r="201" spans="1:16" hidden="1">
      <c r="A201" s="3086"/>
      <c r="B201" s="93" t="s">
        <v>15</v>
      </c>
      <c r="C201" s="3114"/>
      <c r="D201" s="1016">
        <f>SUM(E201:I201)</f>
        <v>0</v>
      </c>
      <c r="E201" s="1028">
        <v>0</v>
      </c>
      <c r="F201" s="1028"/>
      <c r="G201" s="1028"/>
      <c r="H201" s="1028"/>
      <c r="I201" s="1028"/>
      <c r="J201" s="1028"/>
      <c r="K201" s="1028"/>
      <c r="L201" s="1028"/>
      <c r="M201" s="3028"/>
      <c r="N201" s="3028"/>
      <c r="O201" s="3123"/>
    </row>
    <row r="202" spans="1:16" ht="12" customHeight="1">
      <c r="A202" s="3086"/>
      <c r="B202" s="2054" t="s">
        <v>18</v>
      </c>
      <c r="C202" s="3114"/>
      <c r="D202" s="698">
        <f t="shared" ref="D202:G202" si="121">+D203</f>
        <v>2666667</v>
      </c>
      <c r="E202" s="1030">
        <f t="shared" si="121"/>
        <v>0</v>
      </c>
      <c r="F202" s="1030">
        <f t="shared" si="121"/>
        <v>1948545</v>
      </c>
      <c r="G202" s="1030">
        <f t="shared" si="121"/>
        <v>718122</v>
      </c>
      <c r="H202" s="1030"/>
      <c r="I202" s="1030"/>
      <c r="J202" s="1030"/>
      <c r="K202" s="1030"/>
      <c r="L202" s="1030"/>
      <c r="M202" s="3028"/>
      <c r="N202" s="3028"/>
      <c r="O202" s="3123"/>
    </row>
    <row r="203" spans="1:16" ht="13.5" thickBot="1">
      <c r="A203" s="3087"/>
      <c r="B203" s="1054" t="s">
        <v>21</v>
      </c>
      <c r="C203" s="3115"/>
      <c r="D203" s="249">
        <f>E203+F203+G203+H203+I203+J203+K203+L203</f>
        <v>2666667</v>
      </c>
      <c r="E203" s="286">
        <v>0</v>
      </c>
      <c r="F203" s="520">
        <f>3500000-780000-53333-718122</f>
        <v>1948545</v>
      </c>
      <c r="G203" s="520">
        <f>718122</f>
        <v>718122</v>
      </c>
      <c r="H203" s="520"/>
      <c r="I203" s="520"/>
      <c r="J203" s="520"/>
      <c r="K203" s="520"/>
      <c r="L203" s="520"/>
      <c r="M203" s="3029"/>
      <c r="N203" s="3029"/>
      <c r="O203" s="3124"/>
    </row>
    <row r="204" spans="1:16" ht="24.75" customHeight="1">
      <c r="A204" s="3084" t="s">
        <v>87</v>
      </c>
      <c r="B204" s="442" t="s">
        <v>551</v>
      </c>
      <c r="C204" s="58" t="s">
        <v>81</v>
      </c>
      <c r="D204" s="887"/>
      <c r="E204" s="44"/>
      <c r="F204" s="44"/>
      <c r="G204" s="44"/>
      <c r="H204" s="44"/>
      <c r="I204" s="44"/>
      <c r="J204" s="44"/>
      <c r="K204" s="44"/>
      <c r="L204" s="44"/>
      <c r="M204" s="45"/>
      <c r="N204" s="45"/>
      <c r="O204" s="3095" t="s">
        <v>86</v>
      </c>
    </row>
    <row r="205" spans="1:16">
      <c r="A205" s="3085"/>
      <c r="B205" s="525" t="s">
        <v>10</v>
      </c>
      <c r="C205" s="2064"/>
      <c r="D205" s="2065">
        <f>+D206+D209</f>
        <v>21650655</v>
      </c>
      <c r="E205" s="2065">
        <f t="shared" ref="E205" si="122">+E206+E209</f>
        <v>598614</v>
      </c>
      <c r="F205" s="2065">
        <f t="shared" ref="F205:G205" si="123">+F206+F209</f>
        <v>3520000</v>
      </c>
      <c r="G205" s="2065">
        <f t="shared" si="123"/>
        <v>17532041</v>
      </c>
      <c r="H205" s="2065"/>
      <c r="I205" s="2065"/>
      <c r="J205" s="2065"/>
      <c r="K205" s="2065"/>
      <c r="L205" s="2065"/>
      <c r="M205" s="1949">
        <f>+M206+M209</f>
        <v>21052041</v>
      </c>
      <c r="N205" s="1949">
        <f>+N206+N209</f>
        <v>17532041</v>
      </c>
      <c r="O205" s="3102"/>
      <c r="P205" s="235" t="s">
        <v>420</v>
      </c>
    </row>
    <row r="206" spans="1:16" ht="13.5" customHeight="1">
      <c r="A206" s="3085"/>
      <c r="B206" s="721" t="s">
        <v>24</v>
      </c>
      <c r="C206" s="3125" t="s">
        <v>84</v>
      </c>
      <c r="D206" s="2066">
        <f>+D207+D208</f>
        <v>6801840</v>
      </c>
      <c r="E206" s="2066">
        <f t="shared" ref="E206" si="124">+E207</f>
        <v>598614</v>
      </c>
      <c r="F206" s="2066">
        <f>+F207+F208</f>
        <v>1648179</v>
      </c>
      <c r="G206" s="2066">
        <f>+G207+G208</f>
        <v>4555047</v>
      </c>
      <c r="H206" s="2066"/>
      <c r="I206" s="2066"/>
      <c r="J206" s="2066"/>
      <c r="K206" s="2066"/>
      <c r="L206" s="2066"/>
      <c r="M206" s="2067">
        <f>+M207+M208</f>
        <v>6203226</v>
      </c>
      <c r="N206" s="2067">
        <f>+N207+N208</f>
        <v>4555047</v>
      </c>
      <c r="O206" s="3102"/>
      <c r="P206" s="480"/>
    </row>
    <row r="207" spans="1:16">
      <c r="A207" s="3085"/>
      <c r="B207" s="795" t="s">
        <v>12</v>
      </c>
      <c r="C207" s="3105"/>
      <c r="D207" s="1913">
        <f>E207+F207+G207+H207+I207+J207+K207+L207</f>
        <v>618614</v>
      </c>
      <c r="E207" s="1977">
        <v>598614</v>
      </c>
      <c r="F207" s="2032">
        <f>2960680-2945680+5000</f>
        <v>20000</v>
      </c>
      <c r="G207" s="2032">
        <v>0</v>
      </c>
      <c r="H207" s="2032"/>
      <c r="I207" s="2032"/>
      <c r="J207" s="2032"/>
      <c r="K207" s="2032"/>
      <c r="L207" s="2032"/>
      <c r="M207" s="1047">
        <f>SUM(F207:K207)</f>
        <v>20000</v>
      </c>
      <c r="N207" s="1047">
        <f>SUM(G207:L207)</f>
        <v>0</v>
      </c>
      <c r="O207" s="3102"/>
    </row>
    <row r="208" spans="1:16">
      <c r="A208" s="3085"/>
      <c r="B208" s="1071" t="s">
        <v>15</v>
      </c>
      <c r="C208" s="3105"/>
      <c r="D208" s="1913">
        <f>E208+F208+G208+H208+I208+J208+K208+L208</f>
        <v>6183226</v>
      </c>
      <c r="E208" s="1977">
        <v>0</v>
      </c>
      <c r="F208" s="1072">
        <f>4895843-1267664-2000000</f>
        <v>1628179</v>
      </c>
      <c r="G208" s="1072">
        <f>4774157+1267664-1486774</f>
        <v>4555047</v>
      </c>
      <c r="H208" s="1072"/>
      <c r="I208" s="1072"/>
      <c r="J208" s="1072"/>
      <c r="K208" s="1072"/>
      <c r="L208" s="1072"/>
      <c r="M208" s="1047">
        <f>SUM(F208:K208)</f>
        <v>6183226</v>
      </c>
      <c r="N208" s="1047">
        <f>SUM(G208:L208)</f>
        <v>4555047</v>
      </c>
      <c r="O208" s="3102"/>
    </row>
    <row r="209" spans="1:17" ht="13.5" customHeight="1">
      <c r="A209" s="3085"/>
      <c r="B209" s="724" t="s">
        <v>18</v>
      </c>
      <c r="C209" s="3105"/>
      <c r="D209" s="2007">
        <f>+D210</f>
        <v>14848815</v>
      </c>
      <c r="E209" s="2007">
        <f t="shared" ref="E209:G209" si="125">+E210</f>
        <v>0</v>
      </c>
      <c r="F209" s="2007">
        <f t="shared" si="125"/>
        <v>1871821</v>
      </c>
      <c r="G209" s="2007">
        <f t="shared" si="125"/>
        <v>12976994</v>
      </c>
      <c r="H209" s="2007"/>
      <c r="I209" s="2007"/>
      <c r="J209" s="2007"/>
      <c r="K209" s="2007"/>
      <c r="L209" s="2007"/>
      <c r="M209" s="2008">
        <f>+M210</f>
        <v>14848815</v>
      </c>
      <c r="N209" s="2008">
        <f>+N210</f>
        <v>12976994</v>
      </c>
      <c r="O209" s="3102"/>
    </row>
    <row r="210" spans="1:17">
      <c r="A210" s="3085"/>
      <c r="B210" s="2034" t="s">
        <v>21</v>
      </c>
      <c r="C210" s="3106"/>
      <c r="D210" s="1913">
        <f>E210+F210+G210+H210+I210+J210+K210+L210</f>
        <v>14848815</v>
      </c>
      <c r="E210" s="1977">
        <v>0</v>
      </c>
      <c r="F210" s="2032">
        <f>5649157-3777336</f>
        <v>1871821</v>
      </c>
      <c r="G210" s="2032">
        <f>14225843+3777336-5026185</f>
        <v>12976994</v>
      </c>
      <c r="H210" s="2032"/>
      <c r="I210" s="2032"/>
      <c r="J210" s="2032"/>
      <c r="K210" s="2032"/>
      <c r="L210" s="2032"/>
      <c r="M210" s="1047">
        <f>SUM(F210:K210)</f>
        <v>14848815</v>
      </c>
      <c r="N210" s="1047">
        <f>SUM(G210:L210)</f>
        <v>12976994</v>
      </c>
      <c r="O210" s="3103"/>
    </row>
    <row r="211" spans="1:17">
      <c r="A211" s="3085"/>
      <c r="B211" s="525" t="s">
        <v>22</v>
      </c>
      <c r="C211" s="689"/>
      <c r="D211" s="2004">
        <f>+D214+D212</f>
        <v>21032041</v>
      </c>
      <c r="E211" s="2004">
        <f t="shared" ref="E211" si="126">+E214+E212</f>
        <v>0</v>
      </c>
      <c r="F211" s="2004">
        <f t="shared" ref="F211" si="127">+F214+F212</f>
        <v>3500000</v>
      </c>
      <c r="G211" s="2004">
        <f t="shared" ref="G211" si="128">+G214+G212</f>
        <v>17532041</v>
      </c>
      <c r="H211" s="2004"/>
      <c r="I211" s="2004"/>
      <c r="J211" s="2004"/>
      <c r="K211" s="2004"/>
      <c r="L211" s="2004"/>
      <c r="M211" s="3023" t="s">
        <v>23</v>
      </c>
      <c r="N211" s="3023" t="s">
        <v>23</v>
      </c>
      <c r="O211" s="3089" t="s">
        <v>102</v>
      </c>
      <c r="P211" s="480"/>
      <c r="Q211" s="480">
        <v>-1230552</v>
      </c>
    </row>
    <row r="212" spans="1:17" ht="12" customHeight="1">
      <c r="A212" s="3085"/>
      <c r="B212" s="2035" t="s">
        <v>24</v>
      </c>
      <c r="C212" s="3040" t="s">
        <v>221</v>
      </c>
      <c r="D212" s="2007">
        <f>+D213</f>
        <v>6183226</v>
      </c>
      <c r="E212" s="2007">
        <f t="shared" ref="E212:G212" si="129">+E213</f>
        <v>0</v>
      </c>
      <c r="F212" s="2007">
        <f t="shared" si="129"/>
        <v>1628179</v>
      </c>
      <c r="G212" s="2007">
        <f t="shared" si="129"/>
        <v>4555047</v>
      </c>
      <c r="H212" s="2007"/>
      <c r="I212" s="2007"/>
      <c r="J212" s="2007"/>
      <c r="K212" s="2007"/>
      <c r="L212" s="2007"/>
      <c r="M212" s="3024"/>
      <c r="N212" s="3024"/>
      <c r="O212" s="3071"/>
    </row>
    <row r="213" spans="1:17" ht="12" customHeight="1">
      <c r="A213" s="3085"/>
      <c r="B213" s="2047" t="s">
        <v>15</v>
      </c>
      <c r="C213" s="3100"/>
      <c r="D213" s="1913">
        <f>E213+F213+G213+H213+I213+J213+K213+L213</f>
        <v>6183226</v>
      </c>
      <c r="E213" s="1977">
        <v>0</v>
      </c>
      <c r="F213" s="1944">
        <f>4895843-1267664-2000000</f>
        <v>1628179</v>
      </c>
      <c r="G213" s="1944">
        <f>4774157+1267664-1486774</f>
        <v>4555047</v>
      </c>
      <c r="H213" s="1944"/>
      <c r="I213" s="1944"/>
      <c r="J213" s="1944"/>
      <c r="K213" s="1944"/>
      <c r="L213" s="1944"/>
      <c r="M213" s="3024"/>
      <c r="N213" s="3024"/>
      <c r="O213" s="3071"/>
    </row>
    <row r="214" spans="1:17" s="267" customFormat="1">
      <c r="A214" s="3085"/>
      <c r="B214" s="724" t="s">
        <v>18</v>
      </c>
      <c r="C214" s="3100"/>
      <c r="D214" s="2037">
        <f>+D215</f>
        <v>14848815</v>
      </c>
      <c r="E214" s="2037">
        <f t="shared" ref="E214:G214" si="130">+E215</f>
        <v>0</v>
      </c>
      <c r="F214" s="2037">
        <f t="shared" si="130"/>
        <v>1871821</v>
      </c>
      <c r="G214" s="2037">
        <f t="shared" si="130"/>
        <v>12976994</v>
      </c>
      <c r="H214" s="2037"/>
      <c r="I214" s="2037"/>
      <c r="J214" s="2037"/>
      <c r="K214" s="2037"/>
      <c r="L214" s="2037"/>
      <c r="M214" s="3024"/>
      <c r="N214" s="3024"/>
      <c r="O214" s="3071"/>
    </row>
    <row r="215" spans="1:17" s="267" customFormat="1" ht="13.5" thickBot="1">
      <c r="A215" s="3112"/>
      <c r="B215" s="1054" t="s">
        <v>21</v>
      </c>
      <c r="C215" s="3088"/>
      <c r="D215" s="1009">
        <f>E215+F215+G215+H215+I215+J215+K215+L215</f>
        <v>14848815</v>
      </c>
      <c r="E215" s="1009">
        <v>0</v>
      </c>
      <c r="F215" s="514">
        <f>5649157-3777336</f>
        <v>1871821</v>
      </c>
      <c r="G215" s="514">
        <f>14225843+3777336-5026185</f>
        <v>12976994</v>
      </c>
      <c r="H215" s="514"/>
      <c r="I215" s="514"/>
      <c r="J215" s="514"/>
      <c r="K215" s="514"/>
      <c r="L215" s="514"/>
      <c r="M215" s="3025"/>
      <c r="N215" s="3025"/>
      <c r="O215" s="3072"/>
    </row>
    <row r="216" spans="1:17" ht="36.75" customHeight="1">
      <c r="A216" s="3084" t="s">
        <v>88</v>
      </c>
      <c r="B216" s="442" t="s">
        <v>469</v>
      </c>
      <c r="C216" s="58" t="s">
        <v>81</v>
      </c>
      <c r="D216" s="887"/>
      <c r="E216" s="44"/>
      <c r="F216" s="44"/>
      <c r="G216" s="44"/>
      <c r="H216" s="44"/>
      <c r="I216" s="44"/>
      <c r="J216" s="44"/>
      <c r="K216" s="44"/>
      <c r="L216" s="44"/>
      <c r="M216" s="45"/>
      <c r="N216" s="45"/>
      <c r="O216" s="3095" t="s">
        <v>86</v>
      </c>
    </row>
    <row r="217" spans="1:17">
      <c r="A217" s="3085"/>
      <c r="B217" s="525" t="s">
        <v>10</v>
      </c>
      <c r="C217" s="2064"/>
      <c r="D217" s="2065">
        <f>+D218+D221</f>
        <v>27263322</v>
      </c>
      <c r="E217" s="2065">
        <f t="shared" ref="E217" si="131">+E218+E221</f>
        <v>813322</v>
      </c>
      <c r="F217" s="2065">
        <f t="shared" ref="F217" si="132">+F218+F221</f>
        <v>761900</v>
      </c>
      <c r="G217" s="2065">
        <f t="shared" ref="G217:H217" si="133">+G218+G221</f>
        <v>19850000</v>
      </c>
      <c r="H217" s="2065">
        <f t="shared" si="133"/>
        <v>5838100</v>
      </c>
      <c r="I217" s="2065"/>
      <c r="J217" s="2065"/>
      <c r="K217" s="2065"/>
      <c r="L217" s="2065"/>
      <c r="M217" s="2103">
        <f>+M218+M221</f>
        <v>26450000</v>
      </c>
      <c r="N217" s="2103">
        <f>+N218+N221</f>
        <v>25688100</v>
      </c>
      <c r="O217" s="3102"/>
      <c r="P217" s="235" t="s">
        <v>308</v>
      </c>
    </row>
    <row r="218" spans="1:17" ht="13.5" customHeight="1">
      <c r="A218" s="3085"/>
      <c r="B218" s="721" t="s">
        <v>24</v>
      </c>
      <c r="C218" s="3104" t="s">
        <v>84</v>
      </c>
      <c r="D218" s="2066">
        <f>+D219+D220</f>
        <v>4780822</v>
      </c>
      <c r="E218" s="2066">
        <f t="shared" ref="E218" si="134">+E219+E220</f>
        <v>813322</v>
      </c>
      <c r="F218" s="2066">
        <f>+F219+F220</f>
        <v>471285</v>
      </c>
      <c r="G218" s="2066">
        <f>+G219+G220</f>
        <v>2977500</v>
      </c>
      <c r="H218" s="2066">
        <f>+H219+H220</f>
        <v>518715</v>
      </c>
      <c r="I218" s="2066"/>
      <c r="J218" s="2066"/>
      <c r="K218" s="2066"/>
      <c r="L218" s="2066"/>
      <c r="M218" s="2067">
        <f>+M219</f>
        <v>3967500</v>
      </c>
      <c r="N218" s="2067">
        <f>+N219</f>
        <v>3496215</v>
      </c>
      <c r="O218" s="3102"/>
      <c r="P218" s="480"/>
    </row>
    <row r="219" spans="1:17" ht="13.5" customHeight="1">
      <c r="A219" s="3085"/>
      <c r="B219" s="795" t="s">
        <v>12</v>
      </c>
      <c r="C219" s="3105"/>
      <c r="D219" s="1016">
        <f>E219+F219+G219+H219+I219+J219+K219+L219</f>
        <v>3972994</v>
      </c>
      <c r="E219" s="1977">
        <v>5494</v>
      </c>
      <c r="F219" s="2032">
        <f>990000-518715</f>
        <v>471285</v>
      </c>
      <c r="G219" s="2032">
        <f>2977500</f>
        <v>2977500</v>
      </c>
      <c r="H219" s="2032">
        <v>518715</v>
      </c>
      <c r="I219" s="2032"/>
      <c r="J219" s="2032"/>
      <c r="K219" s="2032"/>
      <c r="L219" s="2032"/>
      <c r="M219" s="2033">
        <f>SUM(F219:K219)</f>
        <v>3967500</v>
      </c>
      <c r="N219" s="2033">
        <f>SUM(G219:L219)</f>
        <v>3496215</v>
      </c>
      <c r="O219" s="3102"/>
    </row>
    <row r="220" spans="1:17" ht="13.5" customHeight="1">
      <c r="A220" s="3085"/>
      <c r="B220" s="1071" t="s">
        <v>15</v>
      </c>
      <c r="C220" s="3105"/>
      <c r="D220" s="1016">
        <f>E220+F220+G220+H220+I220+J220+K220+L220</f>
        <v>807828</v>
      </c>
      <c r="E220" s="1977">
        <v>807828</v>
      </c>
      <c r="F220" s="1072">
        <v>0</v>
      </c>
      <c r="G220" s="1072">
        <v>0</v>
      </c>
      <c r="H220" s="1072"/>
      <c r="I220" s="1072"/>
      <c r="J220" s="1072"/>
      <c r="K220" s="1072"/>
      <c r="L220" s="1072"/>
      <c r="M220" s="2033">
        <f>SUM(F220:K220)</f>
        <v>0</v>
      </c>
      <c r="N220" s="2033">
        <f>SUM(G220:L220)</f>
        <v>0</v>
      </c>
      <c r="O220" s="3102"/>
    </row>
    <row r="221" spans="1:17" ht="13.5" customHeight="1">
      <c r="A221" s="3085"/>
      <c r="B221" s="1051" t="s">
        <v>18</v>
      </c>
      <c r="C221" s="3105"/>
      <c r="D221" s="2007">
        <f>+D222</f>
        <v>22482500</v>
      </c>
      <c r="E221" s="2007">
        <f t="shared" ref="E221:H221" si="135">+E222</f>
        <v>0</v>
      </c>
      <c r="F221" s="2007">
        <f t="shared" si="135"/>
        <v>290615</v>
      </c>
      <c r="G221" s="2007">
        <f t="shared" si="135"/>
        <v>16872500</v>
      </c>
      <c r="H221" s="2007">
        <f t="shared" si="135"/>
        <v>5319385</v>
      </c>
      <c r="I221" s="2007"/>
      <c r="J221" s="2007"/>
      <c r="K221" s="2007"/>
      <c r="L221" s="2007"/>
      <c r="M221" s="2008">
        <f>+M222</f>
        <v>22482500</v>
      </c>
      <c r="N221" s="2008">
        <f>+N222</f>
        <v>22191885</v>
      </c>
      <c r="O221" s="3102"/>
    </row>
    <row r="222" spans="1:17" ht="13.5" customHeight="1">
      <c r="A222" s="3085"/>
      <c r="B222" s="730" t="s">
        <v>21</v>
      </c>
      <c r="C222" s="3106"/>
      <c r="D222" s="1016">
        <f>E222+F222+G222+H222+I222+J222+K222+L222</f>
        <v>22482500</v>
      </c>
      <c r="E222" s="1977">
        <v>0</v>
      </c>
      <c r="F222" s="2032">
        <f>5610000-5319385</f>
        <v>290615</v>
      </c>
      <c r="G222" s="2032">
        <v>16872500</v>
      </c>
      <c r="H222" s="2032">
        <v>5319385</v>
      </c>
      <c r="I222" s="2032"/>
      <c r="J222" s="2032"/>
      <c r="K222" s="2032"/>
      <c r="L222" s="2032"/>
      <c r="M222" s="2033">
        <f>SUM(F222:K222)</f>
        <v>22482500</v>
      </c>
      <c r="N222" s="2033">
        <f>SUM(G222:L222)</f>
        <v>22191885</v>
      </c>
      <c r="O222" s="3103"/>
    </row>
    <row r="223" spans="1:17">
      <c r="A223" s="3085"/>
      <c r="B223" s="525" t="s">
        <v>22</v>
      </c>
      <c r="C223" s="689"/>
      <c r="D223" s="2004">
        <f>+D226+D224</f>
        <v>23290328</v>
      </c>
      <c r="E223" s="2004">
        <f t="shared" ref="E223" si="136">+E226+E224</f>
        <v>807828</v>
      </c>
      <c r="F223" s="2004">
        <f t="shared" ref="F223:H223" si="137">+F226+F224</f>
        <v>0</v>
      </c>
      <c r="G223" s="2004">
        <f t="shared" si="137"/>
        <v>17163115</v>
      </c>
      <c r="H223" s="2004">
        <f t="shared" si="137"/>
        <v>5319385</v>
      </c>
      <c r="I223" s="2004"/>
      <c r="J223" s="2004"/>
      <c r="K223" s="2004"/>
      <c r="L223" s="2004"/>
      <c r="M223" s="3061" t="s">
        <v>23</v>
      </c>
      <c r="N223" s="3061" t="s">
        <v>23</v>
      </c>
      <c r="O223" s="3107" t="s">
        <v>102</v>
      </c>
      <c r="P223" s="480"/>
      <c r="Q223" s="480">
        <v>-1230552</v>
      </c>
    </row>
    <row r="224" spans="1:17" ht="12" customHeight="1">
      <c r="A224" s="3085"/>
      <c r="B224" s="2011" t="s">
        <v>24</v>
      </c>
      <c r="C224" s="3108" t="s">
        <v>221</v>
      </c>
      <c r="D224" s="2007">
        <f>+D225</f>
        <v>807828</v>
      </c>
      <c r="E224" s="2007">
        <f t="shared" ref="E224:H224" si="138">+E225</f>
        <v>807828</v>
      </c>
      <c r="F224" s="2007">
        <f t="shared" si="138"/>
        <v>0</v>
      </c>
      <c r="G224" s="2007">
        <f t="shared" si="138"/>
        <v>0</v>
      </c>
      <c r="H224" s="2007">
        <f t="shared" si="138"/>
        <v>0</v>
      </c>
      <c r="I224" s="2007"/>
      <c r="J224" s="2007"/>
      <c r="K224" s="2007"/>
      <c r="L224" s="2007"/>
      <c r="M224" s="3024"/>
      <c r="N224" s="3024"/>
      <c r="O224" s="3071"/>
    </row>
    <row r="225" spans="1:17" ht="12" customHeight="1">
      <c r="A225" s="3085"/>
      <c r="B225" s="2047" t="s">
        <v>15</v>
      </c>
      <c r="C225" s="3100"/>
      <c r="D225" s="1016">
        <f>E225+F225+G225+H225+I225+J225+K225+L225</f>
        <v>807828</v>
      </c>
      <c r="E225" s="1977">
        <v>807828</v>
      </c>
      <c r="F225" s="2036"/>
      <c r="G225" s="2036"/>
      <c r="H225" s="2036"/>
      <c r="I225" s="2036"/>
      <c r="J225" s="2036"/>
      <c r="K225" s="2036"/>
      <c r="L225" s="2036"/>
      <c r="M225" s="3024"/>
      <c r="N225" s="3024"/>
      <c r="O225" s="3071"/>
    </row>
    <row r="226" spans="1:17" s="267" customFormat="1" ht="13.5" customHeight="1">
      <c r="A226" s="3085"/>
      <c r="B226" s="724" t="s">
        <v>18</v>
      </c>
      <c r="C226" s="3100"/>
      <c r="D226" s="2037">
        <f>+D227</f>
        <v>22482500</v>
      </c>
      <c r="E226" s="2037">
        <f t="shared" ref="E226:H226" si="139">+E227</f>
        <v>0</v>
      </c>
      <c r="F226" s="2037">
        <f t="shared" si="139"/>
        <v>0</v>
      </c>
      <c r="G226" s="2037">
        <f t="shared" si="139"/>
        <v>17163115</v>
      </c>
      <c r="H226" s="2037">
        <f t="shared" si="139"/>
        <v>5319385</v>
      </c>
      <c r="I226" s="2037"/>
      <c r="J226" s="2037"/>
      <c r="K226" s="2037"/>
      <c r="L226" s="2037"/>
      <c r="M226" s="3024"/>
      <c r="N226" s="3024"/>
      <c r="O226" s="3071"/>
    </row>
    <row r="227" spans="1:17" s="267" customFormat="1" ht="13.5" thickBot="1">
      <c r="A227" s="3112"/>
      <c r="B227" s="1054" t="s">
        <v>21</v>
      </c>
      <c r="C227" s="3088"/>
      <c r="D227" s="1009">
        <f>E227+F227+G227+H227+I227+J227+K227+L227</f>
        <v>22482500</v>
      </c>
      <c r="E227" s="1009">
        <v>0</v>
      </c>
      <c r="F227" s="514">
        <f>5610000-5610000</f>
        <v>0</v>
      </c>
      <c r="G227" s="514">
        <f>16872500+290615</f>
        <v>17163115</v>
      </c>
      <c r="H227" s="514">
        <v>5319385</v>
      </c>
      <c r="I227" s="514"/>
      <c r="J227" s="514"/>
      <c r="K227" s="514"/>
      <c r="L227" s="514"/>
      <c r="M227" s="3025"/>
      <c r="N227" s="3025"/>
      <c r="O227" s="3072"/>
    </row>
    <row r="228" spans="1:17" ht="35.25" customHeight="1">
      <c r="A228" s="3084" t="s">
        <v>89</v>
      </c>
      <c r="B228" s="442" t="s">
        <v>552</v>
      </c>
      <c r="C228" s="58" t="s">
        <v>81</v>
      </c>
      <c r="D228" s="887"/>
      <c r="E228" s="44"/>
      <c r="F228" s="44"/>
      <c r="G228" s="44"/>
      <c r="H228" s="44"/>
      <c r="I228" s="44"/>
      <c r="J228" s="44"/>
      <c r="K228" s="44"/>
      <c r="L228" s="44"/>
      <c r="M228" s="45"/>
      <c r="N228" s="45"/>
      <c r="O228" s="3095" t="s">
        <v>86</v>
      </c>
    </row>
    <row r="229" spans="1:17" ht="13.5" customHeight="1">
      <c r="A229" s="3085"/>
      <c r="B229" s="525" t="s">
        <v>10</v>
      </c>
      <c r="C229" s="2531"/>
      <c r="D229" s="2065">
        <f>+D230+D233</f>
        <v>11002205</v>
      </c>
      <c r="E229" s="2065">
        <f t="shared" ref="E229" si="140">+E230+E233</f>
        <v>0</v>
      </c>
      <c r="F229" s="2065">
        <f t="shared" ref="F229:G229" si="141">+F230+F233</f>
        <v>2729976</v>
      </c>
      <c r="G229" s="2065">
        <f t="shared" si="141"/>
        <v>8272229</v>
      </c>
      <c r="H229" s="2065"/>
      <c r="I229" s="2065"/>
      <c r="J229" s="2065"/>
      <c r="K229" s="2065"/>
      <c r="L229" s="2065"/>
      <c r="M229" s="2103">
        <f>+M230+M233</f>
        <v>11002205</v>
      </c>
      <c r="N229" s="2103">
        <f>+N230+N233</f>
        <v>8272229</v>
      </c>
      <c r="O229" s="3102"/>
    </row>
    <row r="230" spans="1:17" ht="13.5" customHeight="1">
      <c r="A230" s="3085"/>
      <c r="B230" s="721" t="s">
        <v>24</v>
      </c>
      <c r="C230" s="3125" t="s">
        <v>84</v>
      </c>
      <c r="D230" s="2066">
        <f>+D231+D232</f>
        <v>2168259</v>
      </c>
      <c r="E230" s="2066">
        <f t="shared" ref="E230" si="142">+E231+E232</f>
        <v>0</v>
      </c>
      <c r="F230" s="2066">
        <f>+F231+F232</f>
        <v>609826</v>
      </c>
      <c r="G230" s="2066">
        <f>+G231+G232</f>
        <v>1558433</v>
      </c>
      <c r="H230" s="2066"/>
      <c r="I230" s="2066"/>
      <c r="J230" s="2066"/>
      <c r="K230" s="2066"/>
      <c r="L230" s="2066"/>
      <c r="M230" s="2067">
        <f>+M231+M232</f>
        <v>2168259</v>
      </c>
      <c r="N230" s="2067">
        <f>+N231+N232</f>
        <v>1558433</v>
      </c>
      <c r="O230" s="3102"/>
      <c r="P230" s="480"/>
    </row>
    <row r="231" spans="1:17">
      <c r="A231" s="3085"/>
      <c r="B231" s="795" t="s">
        <v>12</v>
      </c>
      <c r="C231" s="3105"/>
      <c r="D231" s="1016">
        <f>E231+F231+G231+H231+I231+J231+K231+L231</f>
        <v>1658932</v>
      </c>
      <c r="E231" s="1977">
        <v>0</v>
      </c>
      <c r="F231" s="2032">
        <f>520000-5922-43134</f>
        <v>470944</v>
      </c>
      <c r="G231" s="2032">
        <f>1260000-17764-54248</f>
        <v>1187988</v>
      </c>
      <c r="H231" s="2032"/>
      <c r="I231" s="2032"/>
      <c r="J231" s="2032"/>
      <c r="K231" s="2032"/>
      <c r="L231" s="2032"/>
      <c r="M231" s="2033">
        <f>SUM(F231:K231)</f>
        <v>1658932</v>
      </c>
      <c r="N231" s="2033">
        <f>SUM(G231:L231)</f>
        <v>1187988</v>
      </c>
      <c r="O231" s="3102"/>
    </row>
    <row r="232" spans="1:17">
      <c r="A232" s="3085"/>
      <c r="B232" s="1071" t="s">
        <v>15</v>
      </c>
      <c r="C232" s="3105"/>
      <c r="D232" s="1016">
        <f>E232+F232+G232+H232+I232+J232+K232+L232</f>
        <v>509327</v>
      </c>
      <c r="E232" s="2532">
        <v>0</v>
      </c>
      <c r="F232" s="1072">
        <v>138882</v>
      </c>
      <c r="G232" s="1072">
        <v>370445</v>
      </c>
      <c r="H232" s="1072"/>
      <c r="I232" s="1072"/>
      <c r="J232" s="1072"/>
      <c r="K232" s="1072"/>
      <c r="L232" s="1072"/>
      <c r="M232" s="2033">
        <f>SUM(E232:K232)</f>
        <v>509327</v>
      </c>
      <c r="N232" s="2033">
        <f>SUM(G232:L232)</f>
        <v>370445</v>
      </c>
      <c r="O232" s="3102"/>
    </row>
    <row r="233" spans="1:17" ht="13.5" customHeight="1">
      <c r="A233" s="3085"/>
      <c r="B233" s="724" t="s">
        <v>18</v>
      </c>
      <c r="C233" s="3105"/>
      <c r="D233" s="2007">
        <f>+D234</f>
        <v>8833946</v>
      </c>
      <c r="E233" s="2007">
        <f t="shared" ref="E233:G233" si="143">+E234</f>
        <v>0</v>
      </c>
      <c r="F233" s="2007">
        <f t="shared" si="143"/>
        <v>2120150</v>
      </c>
      <c r="G233" s="2007">
        <f t="shared" si="143"/>
        <v>6713796</v>
      </c>
      <c r="H233" s="2007"/>
      <c r="I233" s="2007"/>
      <c r="J233" s="2007"/>
      <c r="K233" s="2007"/>
      <c r="L233" s="2007"/>
      <c r="M233" s="2008">
        <f>+M234</f>
        <v>8833946</v>
      </c>
      <c r="N233" s="2008">
        <f>+N234</f>
        <v>6713796</v>
      </c>
      <c r="O233" s="3102"/>
    </row>
    <row r="234" spans="1:17">
      <c r="A234" s="3085"/>
      <c r="B234" s="2454" t="s">
        <v>21</v>
      </c>
      <c r="C234" s="3106"/>
      <c r="D234" s="1016">
        <f>E234+F234+G234+H234+I234+J234+K234+L234</f>
        <v>8833946</v>
      </c>
      <c r="E234" s="1977">
        <v>0</v>
      </c>
      <c r="F234" s="2032">
        <f>2380000-33554-226296</f>
        <v>2120150</v>
      </c>
      <c r="G234" s="2032">
        <f>7140000-100662-325542</f>
        <v>6713796</v>
      </c>
      <c r="H234" s="2032"/>
      <c r="I234" s="2032"/>
      <c r="J234" s="2032"/>
      <c r="K234" s="2032"/>
      <c r="L234" s="2032"/>
      <c r="M234" s="2033">
        <f>SUM(F234:K234)</f>
        <v>8833946</v>
      </c>
      <c r="N234" s="2033">
        <f>SUM(G234:L234)</f>
        <v>6713796</v>
      </c>
      <c r="O234" s="3103"/>
    </row>
    <row r="235" spans="1:17">
      <c r="A235" s="3085"/>
      <c r="B235" s="525" t="s">
        <v>22</v>
      </c>
      <c r="C235" s="689"/>
      <c r="D235" s="2004">
        <f>+D238+D236</f>
        <v>9343273</v>
      </c>
      <c r="E235" s="2004">
        <f t="shared" ref="E235" si="144">+E238+E236</f>
        <v>0</v>
      </c>
      <c r="F235" s="2004">
        <f t="shared" ref="F235:G235" si="145">+F238+F236</f>
        <v>2259032</v>
      </c>
      <c r="G235" s="2004">
        <f t="shared" si="145"/>
        <v>7084241</v>
      </c>
      <c r="H235" s="2004"/>
      <c r="I235" s="2004"/>
      <c r="J235" s="2004"/>
      <c r="K235" s="2004"/>
      <c r="L235" s="2004"/>
      <c r="M235" s="3023" t="s">
        <v>23</v>
      </c>
      <c r="N235" s="3023" t="s">
        <v>23</v>
      </c>
      <c r="O235" s="3089" t="s">
        <v>102</v>
      </c>
      <c r="P235" s="480"/>
      <c r="Q235" s="480">
        <v>-1230552</v>
      </c>
    </row>
    <row r="236" spans="1:17" ht="12" customHeight="1">
      <c r="A236" s="3085"/>
      <c r="B236" s="2035" t="s">
        <v>24</v>
      </c>
      <c r="C236" s="3040" t="s">
        <v>221</v>
      </c>
      <c r="D236" s="2007">
        <f>+D237</f>
        <v>509327</v>
      </c>
      <c r="E236" s="2007">
        <f t="shared" ref="E236:G236" si="146">+E237</f>
        <v>0</v>
      </c>
      <c r="F236" s="2007">
        <f t="shared" si="146"/>
        <v>138882</v>
      </c>
      <c r="G236" s="2007">
        <f t="shared" si="146"/>
        <v>370445</v>
      </c>
      <c r="H236" s="2007"/>
      <c r="I236" s="2007"/>
      <c r="J236" s="2007"/>
      <c r="K236" s="2007"/>
      <c r="L236" s="2007"/>
      <c r="M236" s="3024"/>
      <c r="N236" s="3024"/>
      <c r="O236" s="3071"/>
    </row>
    <row r="237" spans="1:17" ht="12" customHeight="1">
      <c r="A237" s="3085"/>
      <c r="B237" s="2047" t="s">
        <v>15</v>
      </c>
      <c r="C237" s="3100"/>
      <c r="D237" s="1016">
        <f>E237+F237+G237+H237+I237+J237+K237+L237</f>
        <v>509327</v>
      </c>
      <c r="E237" s="2036"/>
      <c r="F237" s="2036">
        <v>138882</v>
      </c>
      <c r="G237" s="2036">
        <v>370445</v>
      </c>
      <c r="H237" s="2036"/>
      <c r="I237" s="2036"/>
      <c r="J237" s="2036"/>
      <c r="K237" s="2036"/>
      <c r="L237" s="2036"/>
      <c r="M237" s="3024"/>
      <c r="N237" s="3024"/>
      <c r="O237" s="3071"/>
    </row>
    <row r="238" spans="1:17" s="267" customFormat="1" ht="13.5" customHeight="1">
      <c r="A238" s="3085"/>
      <c r="B238" s="724" t="s">
        <v>18</v>
      </c>
      <c r="C238" s="3100"/>
      <c r="D238" s="2037">
        <f>+D239</f>
        <v>8833946</v>
      </c>
      <c r="E238" s="2037">
        <f t="shared" ref="E238:G238" si="147">+E239</f>
        <v>0</v>
      </c>
      <c r="F238" s="2037">
        <f t="shared" si="147"/>
        <v>2120150</v>
      </c>
      <c r="G238" s="2037">
        <f t="shared" si="147"/>
        <v>6713796</v>
      </c>
      <c r="H238" s="2037"/>
      <c r="I238" s="2037"/>
      <c r="J238" s="2037"/>
      <c r="K238" s="2037"/>
      <c r="L238" s="2037"/>
      <c r="M238" s="3024"/>
      <c r="N238" s="3024"/>
      <c r="O238" s="3071"/>
    </row>
    <row r="239" spans="1:17" s="267" customFormat="1" ht="13.5" thickBot="1">
      <c r="A239" s="3112"/>
      <c r="B239" s="1054" t="s">
        <v>21</v>
      </c>
      <c r="C239" s="3088"/>
      <c r="D239" s="2195">
        <f>E239+F239+G239+H239+I239+J239+K239+L239</f>
        <v>8833946</v>
      </c>
      <c r="E239" s="2195">
        <v>0</v>
      </c>
      <c r="F239" s="514">
        <f>2380000-33554-226296</f>
        <v>2120150</v>
      </c>
      <c r="G239" s="514">
        <f>7140000-100662-325542</f>
        <v>6713796</v>
      </c>
      <c r="H239" s="514"/>
      <c r="I239" s="514"/>
      <c r="J239" s="514"/>
      <c r="K239" s="514"/>
      <c r="L239" s="514"/>
      <c r="M239" s="3025"/>
      <c r="N239" s="3025"/>
      <c r="O239" s="3072"/>
    </row>
    <row r="240" spans="1:17" ht="28.5" customHeight="1">
      <c r="A240" s="3084" t="s">
        <v>90</v>
      </c>
      <c r="B240" s="442" t="s">
        <v>553</v>
      </c>
      <c r="C240" s="58" t="s">
        <v>81</v>
      </c>
      <c r="D240" s="887"/>
      <c r="E240" s="44"/>
      <c r="F240" s="44"/>
      <c r="G240" s="44"/>
      <c r="H240" s="44"/>
      <c r="I240" s="44"/>
      <c r="J240" s="44"/>
      <c r="K240" s="44"/>
      <c r="L240" s="44"/>
      <c r="M240" s="45"/>
      <c r="N240" s="45"/>
      <c r="O240" s="3095" t="s">
        <v>86</v>
      </c>
    </row>
    <row r="241" spans="1:17" ht="15.75" customHeight="1">
      <c r="A241" s="3085"/>
      <c r="B241" s="525" t="s">
        <v>10</v>
      </c>
      <c r="C241" s="2529"/>
      <c r="D241" s="1036">
        <f>+D242+D245</f>
        <v>20852656</v>
      </c>
      <c r="E241" s="1036">
        <f t="shared" ref="E241" si="148">+E242+E245</f>
        <v>0</v>
      </c>
      <c r="F241" s="1036">
        <f t="shared" ref="F241:G241" si="149">+F242+F245</f>
        <v>2200000</v>
      </c>
      <c r="G241" s="1036">
        <f t="shared" si="149"/>
        <v>18652656</v>
      </c>
      <c r="H241" s="1036"/>
      <c r="I241" s="1036"/>
      <c r="J241" s="1036"/>
      <c r="K241" s="1036"/>
      <c r="L241" s="1036"/>
      <c r="M241" s="1021">
        <f>+M242+M245</f>
        <v>20852656</v>
      </c>
      <c r="N241" s="1021">
        <f>+N242+N245</f>
        <v>18652656</v>
      </c>
      <c r="O241" s="3102"/>
      <c r="P241" s="235" t="s">
        <v>513</v>
      </c>
    </row>
    <row r="242" spans="1:17" ht="13.5" customHeight="1">
      <c r="A242" s="3085"/>
      <c r="B242" s="721" t="s">
        <v>24</v>
      </c>
      <c r="C242" s="3104" t="s">
        <v>84</v>
      </c>
      <c r="D242" s="769">
        <f>+D243+D244</f>
        <v>3212898</v>
      </c>
      <c r="E242" s="769">
        <f t="shared" ref="E242" si="150">+E243+E244</f>
        <v>0</v>
      </c>
      <c r="F242" s="769">
        <f>+F243+F244</f>
        <v>389500</v>
      </c>
      <c r="G242" s="769">
        <f>+G243+G244</f>
        <v>2823398</v>
      </c>
      <c r="H242" s="769"/>
      <c r="I242" s="769"/>
      <c r="J242" s="769"/>
      <c r="K242" s="769"/>
      <c r="L242" s="769"/>
      <c r="M242" s="803">
        <f>+M243</f>
        <v>3212898</v>
      </c>
      <c r="N242" s="803">
        <f>+N243</f>
        <v>2823398</v>
      </c>
      <c r="O242" s="3102"/>
      <c r="P242" s="480"/>
    </row>
    <row r="243" spans="1:17" ht="13.5" customHeight="1">
      <c r="A243" s="3085"/>
      <c r="B243" s="795" t="s">
        <v>12</v>
      </c>
      <c r="C243" s="3105"/>
      <c r="D243" s="249">
        <f>E243+F243+G243+H243+I243+J243+K243+L243</f>
        <v>3212898</v>
      </c>
      <c r="E243" s="286">
        <v>0</v>
      </c>
      <c r="F243" s="777">
        <f>824400-289400-195000+49500</f>
        <v>389500</v>
      </c>
      <c r="G243" s="777">
        <f>4671600-1971600+172898-49500</f>
        <v>2823398</v>
      </c>
      <c r="H243" s="777"/>
      <c r="I243" s="777"/>
      <c r="J243" s="777"/>
      <c r="K243" s="777"/>
      <c r="L243" s="777"/>
      <c r="M243" s="1047">
        <f>SUM(F243:K243)</f>
        <v>3212898</v>
      </c>
      <c r="N243" s="1047">
        <f>SUM(G243:L243)</f>
        <v>2823398</v>
      </c>
      <c r="O243" s="3102"/>
    </row>
    <row r="244" spans="1:17" ht="13.5" hidden="1" customHeight="1">
      <c r="A244" s="3085"/>
      <c r="B244" s="1071" t="s">
        <v>15</v>
      </c>
      <c r="C244" s="3105"/>
      <c r="D244" s="249">
        <f>E244+F244+G244+H244+I244+J244+K244+L244</f>
        <v>0</v>
      </c>
      <c r="E244" s="2530">
        <v>0</v>
      </c>
      <c r="F244" s="1072">
        <v>0</v>
      </c>
      <c r="G244" s="1072">
        <v>0</v>
      </c>
      <c r="H244" s="1072"/>
      <c r="I244" s="1072"/>
      <c r="J244" s="1072"/>
      <c r="K244" s="1072"/>
      <c r="L244" s="1072"/>
      <c r="M244" s="1047">
        <f>SUM(E244:K244)</f>
        <v>0</v>
      </c>
      <c r="N244" s="1047">
        <f>SUM(F244:L244)</f>
        <v>0</v>
      </c>
      <c r="O244" s="3102"/>
    </row>
    <row r="245" spans="1:17" ht="13.5" customHeight="1">
      <c r="A245" s="3085"/>
      <c r="B245" s="1051" t="s">
        <v>18</v>
      </c>
      <c r="C245" s="3105"/>
      <c r="D245" s="698">
        <f>+D246</f>
        <v>17639758</v>
      </c>
      <c r="E245" s="698">
        <f t="shared" ref="E245:G245" si="151">+E246</f>
        <v>0</v>
      </c>
      <c r="F245" s="698">
        <f t="shared" si="151"/>
        <v>1810500</v>
      </c>
      <c r="G245" s="698">
        <f t="shared" si="151"/>
        <v>15829258</v>
      </c>
      <c r="H245" s="698"/>
      <c r="I245" s="698"/>
      <c r="J245" s="698"/>
      <c r="K245" s="698"/>
      <c r="L245" s="698"/>
      <c r="M245" s="694">
        <f>+M246</f>
        <v>17639758</v>
      </c>
      <c r="N245" s="694">
        <f>+N246</f>
        <v>15829258</v>
      </c>
      <c r="O245" s="3102"/>
    </row>
    <row r="246" spans="1:17" ht="13.5" customHeight="1">
      <c r="A246" s="3085"/>
      <c r="B246" s="730" t="s">
        <v>21</v>
      </c>
      <c r="C246" s="3106"/>
      <c r="D246" s="249">
        <f>E246+F246+G246+H246+I246+J246+K246+L246</f>
        <v>17639758</v>
      </c>
      <c r="E246" s="286">
        <v>0</v>
      </c>
      <c r="F246" s="777">
        <f>4671600-2206600-1105000+450500</f>
        <v>1810500</v>
      </c>
      <c r="G246" s="777">
        <f>26472400-11172400+979758-450500</f>
        <v>15829258</v>
      </c>
      <c r="H246" s="777"/>
      <c r="I246" s="777"/>
      <c r="J246" s="777"/>
      <c r="K246" s="777"/>
      <c r="L246" s="777"/>
      <c r="M246" s="1047">
        <f>SUM(F246:K246)</f>
        <v>17639758</v>
      </c>
      <c r="N246" s="1047">
        <f>SUM(G246:L246)</f>
        <v>15829258</v>
      </c>
      <c r="O246" s="3103"/>
    </row>
    <row r="247" spans="1:17">
      <c r="A247" s="3085"/>
      <c r="B247" s="525" t="s">
        <v>22</v>
      </c>
      <c r="C247" s="689"/>
      <c r="D247" s="765">
        <f>+D250+D248</f>
        <v>17639758</v>
      </c>
      <c r="E247" s="765">
        <f t="shared" ref="E247" si="152">+E250+E248</f>
        <v>0</v>
      </c>
      <c r="F247" s="765">
        <f t="shared" ref="F247:G247" si="153">+F250+F248</f>
        <v>1810500</v>
      </c>
      <c r="G247" s="765">
        <f t="shared" si="153"/>
        <v>15829258</v>
      </c>
      <c r="H247" s="765"/>
      <c r="I247" s="765"/>
      <c r="J247" s="765"/>
      <c r="K247" s="765"/>
      <c r="L247" s="765"/>
      <c r="M247" s="3061" t="s">
        <v>23</v>
      </c>
      <c r="N247" s="3061" t="s">
        <v>23</v>
      </c>
      <c r="O247" s="3107" t="s">
        <v>102</v>
      </c>
      <c r="P247" s="480"/>
      <c r="Q247" s="480">
        <v>-1230552</v>
      </c>
    </row>
    <row r="248" spans="1:17" ht="12" hidden="1" customHeight="1">
      <c r="A248" s="3085"/>
      <c r="B248" s="1053" t="s">
        <v>24</v>
      </c>
      <c r="C248" s="3108" t="s">
        <v>221</v>
      </c>
      <c r="D248" s="698">
        <f>+D249</f>
        <v>0</v>
      </c>
      <c r="E248" s="698">
        <f t="shared" ref="E248:G248" si="154">+E249</f>
        <v>0</v>
      </c>
      <c r="F248" s="698">
        <f t="shared" si="154"/>
        <v>0</v>
      </c>
      <c r="G248" s="698">
        <f t="shared" si="154"/>
        <v>0</v>
      </c>
      <c r="H248" s="698"/>
      <c r="I248" s="698"/>
      <c r="J248" s="698"/>
      <c r="K248" s="698"/>
      <c r="L248" s="698"/>
      <c r="M248" s="3024"/>
      <c r="N248" s="3024"/>
      <c r="O248" s="3071"/>
    </row>
    <row r="249" spans="1:17" ht="12" hidden="1" customHeight="1">
      <c r="A249" s="3085"/>
      <c r="B249" s="1046" t="s">
        <v>15</v>
      </c>
      <c r="C249" s="3100"/>
      <c r="D249" s="249">
        <f>E249+F249+G249+H249+I249+J249+K249+L249</f>
        <v>0</v>
      </c>
      <c r="E249" s="1028"/>
      <c r="F249" s="1028"/>
      <c r="G249" s="1028"/>
      <c r="H249" s="1028"/>
      <c r="I249" s="1028"/>
      <c r="J249" s="1028"/>
      <c r="K249" s="1028"/>
      <c r="L249" s="1028"/>
      <c r="M249" s="3024"/>
      <c r="N249" s="3024"/>
      <c r="O249" s="3071"/>
    </row>
    <row r="250" spans="1:17" s="267" customFormat="1" ht="13.5" customHeight="1">
      <c r="A250" s="3085"/>
      <c r="B250" s="724" t="s">
        <v>18</v>
      </c>
      <c r="C250" s="3100"/>
      <c r="D250" s="956">
        <f>+D251</f>
        <v>17639758</v>
      </c>
      <c r="E250" s="956">
        <f t="shared" ref="E250:G250" si="155">+E251</f>
        <v>0</v>
      </c>
      <c r="F250" s="956">
        <f t="shared" si="155"/>
        <v>1810500</v>
      </c>
      <c r="G250" s="956">
        <f t="shared" si="155"/>
        <v>15829258</v>
      </c>
      <c r="H250" s="956"/>
      <c r="I250" s="956"/>
      <c r="J250" s="956"/>
      <c r="K250" s="956"/>
      <c r="L250" s="956"/>
      <c r="M250" s="3024"/>
      <c r="N250" s="3024"/>
      <c r="O250" s="3071"/>
    </row>
    <row r="251" spans="1:17" s="267" customFormat="1" ht="13.5" thickBot="1">
      <c r="A251" s="3112"/>
      <c r="B251" s="1054" t="s">
        <v>21</v>
      </c>
      <c r="C251" s="3088"/>
      <c r="D251" s="249">
        <f>E251+F251+G251+H251+I251+J251+K251+L251</f>
        <v>17639758</v>
      </c>
      <c r="E251" s="286">
        <v>0</v>
      </c>
      <c r="F251" s="514">
        <f>4671600-2206600-1105000+450500</f>
        <v>1810500</v>
      </c>
      <c r="G251" s="514">
        <f>26472400-11172400+979758-450500</f>
        <v>15829258</v>
      </c>
      <c r="H251" s="514"/>
      <c r="I251" s="514"/>
      <c r="J251" s="514"/>
      <c r="K251" s="514"/>
      <c r="L251" s="514"/>
      <c r="M251" s="3025"/>
      <c r="N251" s="3025"/>
      <c r="O251" s="3072"/>
    </row>
    <row r="252" spans="1:17" s="267" customFormat="1" ht="24.75" customHeight="1">
      <c r="A252" s="3084" t="s">
        <v>91</v>
      </c>
      <c r="B252" s="442" t="s">
        <v>524</v>
      </c>
      <c r="C252" s="58" t="s">
        <v>81</v>
      </c>
      <c r="D252" s="887"/>
      <c r="E252" s="44"/>
      <c r="F252" s="44"/>
      <c r="G252" s="44"/>
      <c r="H252" s="44"/>
      <c r="I252" s="44"/>
      <c r="J252" s="44"/>
      <c r="K252" s="44"/>
      <c r="L252" s="44"/>
      <c r="M252" s="45"/>
      <c r="N252" s="45"/>
      <c r="O252" s="3095" t="s">
        <v>86</v>
      </c>
    </row>
    <row r="253" spans="1:17" s="267" customFormat="1">
      <c r="A253" s="3085"/>
      <c r="B253" s="525" t="s">
        <v>10</v>
      </c>
      <c r="C253" s="2531"/>
      <c r="D253" s="2065">
        <f>+D254+D257</f>
        <v>80566500</v>
      </c>
      <c r="E253" s="2065">
        <f t="shared" ref="E253:H253" si="156">+E254+E257</f>
        <v>0</v>
      </c>
      <c r="F253" s="2065">
        <f t="shared" si="156"/>
        <v>592500</v>
      </c>
      <c r="G253" s="2065">
        <f t="shared" si="156"/>
        <v>48944400</v>
      </c>
      <c r="H253" s="2065">
        <f t="shared" si="156"/>
        <v>31029600</v>
      </c>
      <c r="I253" s="2065"/>
      <c r="J253" s="2065"/>
      <c r="K253" s="2065"/>
      <c r="L253" s="2065"/>
      <c r="M253" s="2103">
        <f>+M254+M257</f>
        <v>80566500</v>
      </c>
      <c r="N253" s="2103">
        <f>+N254+N257</f>
        <v>79974000</v>
      </c>
      <c r="O253" s="3102"/>
    </row>
    <row r="254" spans="1:17" s="267" customFormat="1">
      <c r="A254" s="3085"/>
      <c r="B254" s="721" t="s">
        <v>24</v>
      </c>
      <c r="C254" s="3125" t="s">
        <v>84</v>
      </c>
      <c r="D254" s="2066">
        <f>+D255+D256</f>
        <v>12169975</v>
      </c>
      <c r="E254" s="2066">
        <f t="shared" ref="E254" si="157">+E255+E256</f>
        <v>0</v>
      </c>
      <c r="F254" s="2066">
        <f>+F255+F256</f>
        <v>88875</v>
      </c>
      <c r="G254" s="2066">
        <f>+G255+G256</f>
        <v>7426660</v>
      </c>
      <c r="H254" s="2066">
        <f>+H255+H256</f>
        <v>4654440</v>
      </c>
      <c r="I254" s="2066"/>
      <c r="J254" s="2066"/>
      <c r="K254" s="2066"/>
      <c r="L254" s="2066"/>
      <c r="M254" s="2067">
        <f>+M255</f>
        <v>12169975</v>
      </c>
      <c r="N254" s="2067">
        <f>+N255</f>
        <v>12081100</v>
      </c>
      <c r="O254" s="3102"/>
    </row>
    <row r="255" spans="1:17" s="267" customFormat="1">
      <c r="A255" s="3085"/>
      <c r="B255" s="795" t="s">
        <v>12</v>
      </c>
      <c r="C255" s="3105"/>
      <c r="D255" s="1913">
        <f>E255+F255+G255+H255+I255+J255+K255+L255</f>
        <v>12169975</v>
      </c>
      <c r="E255" s="1977">
        <v>0</v>
      </c>
      <c r="F255" s="2032">
        <v>88875</v>
      </c>
      <c r="G255" s="2032">
        <v>7426660</v>
      </c>
      <c r="H255" s="2032">
        <v>4654440</v>
      </c>
      <c r="I255" s="2032"/>
      <c r="J255" s="2032"/>
      <c r="K255" s="2032"/>
      <c r="L255" s="2032"/>
      <c r="M255" s="2033">
        <f>SUM(F255:K255)</f>
        <v>12169975</v>
      </c>
      <c r="N255" s="2033">
        <f>SUM(G255:L255)</f>
        <v>12081100</v>
      </c>
      <c r="O255" s="3102"/>
    </row>
    <row r="256" spans="1:17" s="267" customFormat="1" hidden="1">
      <c r="A256" s="3085"/>
      <c r="B256" s="1071" t="s">
        <v>15</v>
      </c>
      <c r="C256" s="3105"/>
      <c r="D256" s="1913">
        <f>E256+F256+G256+H256+I256+J256+K256+L256</f>
        <v>0</v>
      </c>
      <c r="E256" s="2532">
        <v>0</v>
      </c>
      <c r="F256" s="1072">
        <v>0</v>
      </c>
      <c r="G256" s="1072">
        <v>0</v>
      </c>
      <c r="H256" s="1072"/>
      <c r="I256" s="1072"/>
      <c r="J256" s="1072"/>
      <c r="K256" s="1072"/>
      <c r="L256" s="1072"/>
      <c r="M256" s="2033">
        <f>SUM(E256:K256)</f>
        <v>0</v>
      </c>
      <c r="N256" s="2033">
        <f>SUM(F256:L256)</f>
        <v>0</v>
      </c>
      <c r="O256" s="3102"/>
    </row>
    <row r="257" spans="1:16" s="267" customFormat="1">
      <c r="A257" s="3085"/>
      <c r="B257" s="1051" t="s">
        <v>18</v>
      </c>
      <c r="C257" s="3105"/>
      <c r="D257" s="2007">
        <f>+D258</f>
        <v>68396525</v>
      </c>
      <c r="E257" s="2007">
        <f t="shared" ref="E257:H257" si="158">+E258</f>
        <v>0</v>
      </c>
      <c r="F257" s="2007">
        <f t="shared" si="158"/>
        <v>503625</v>
      </c>
      <c r="G257" s="2007">
        <f t="shared" si="158"/>
        <v>41517740</v>
      </c>
      <c r="H257" s="2007">
        <f t="shared" si="158"/>
        <v>26375160</v>
      </c>
      <c r="I257" s="2007"/>
      <c r="J257" s="2007"/>
      <c r="K257" s="2007"/>
      <c r="L257" s="2007"/>
      <c r="M257" s="2008">
        <f>+M258</f>
        <v>68396525</v>
      </c>
      <c r="N257" s="2008">
        <f>+N258</f>
        <v>67892900</v>
      </c>
      <c r="O257" s="3102"/>
    </row>
    <row r="258" spans="1:16" s="267" customFormat="1">
      <c r="A258" s="3085"/>
      <c r="B258" s="2454" t="s">
        <v>21</v>
      </c>
      <c r="C258" s="3106"/>
      <c r="D258" s="1913">
        <f>E258+F258+G258+H258+I258+J258+K258+L258</f>
        <v>68396525</v>
      </c>
      <c r="E258" s="1977">
        <v>0</v>
      </c>
      <c r="F258" s="2032">
        <v>503625</v>
      </c>
      <c r="G258" s="2032">
        <v>41517740</v>
      </c>
      <c r="H258" s="2032">
        <v>26375160</v>
      </c>
      <c r="I258" s="2032"/>
      <c r="J258" s="2032"/>
      <c r="K258" s="2032"/>
      <c r="L258" s="2032"/>
      <c r="M258" s="2033">
        <f>SUM(F258:K258)</f>
        <v>68396525</v>
      </c>
      <c r="N258" s="2033">
        <f>SUM(G258:L258)</f>
        <v>67892900</v>
      </c>
      <c r="O258" s="3103"/>
    </row>
    <row r="259" spans="1:16" s="267" customFormat="1">
      <c r="A259" s="3085"/>
      <c r="B259" s="525" t="s">
        <v>22</v>
      </c>
      <c r="C259" s="689"/>
      <c r="D259" s="2004">
        <f>+D262+D260</f>
        <v>68396525</v>
      </c>
      <c r="E259" s="2004">
        <f t="shared" ref="E259:H259" si="159">+E262+E260</f>
        <v>0</v>
      </c>
      <c r="F259" s="2004">
        <f t="shared" si="159"/>
        <v>0</v>
      </c>
      <c r="G259" s="2004">
        <f t="shared" si="159"/>
        <v>38021365</v>
      </c>
      <c r="H259" s="2004">
        <f t="shared" si="159"/>
        <v>30375160</v>
      </c>
      <c r="I259" s="2004"/>
      <c r="J259" s="2004"/>
      <c r="K259" s="2004"/>
      <c r="L259" s="2004"/>
      <c r="M259" s="3023" t="s">
        <v>23</v>
      </c>
      <c r="N259" s="3023" t="s">
        <v>23</v>
      </c>
      <c r="O259" s="3089" t="s">
        <v>102</v>
      </c>
    </row>
    <row r="260" spans="1:16" s="267" customFormat="1" hidden="1">
      <c r="A260" s="3085"/>
      <c r="B260" s="2011" t="s">
        <v>24</v>
      </c>
      <c r="C260" s="3040" t="s">
        <v>221</v>
      </c>
      <c r="D260" s="2007">
        <f>+D261</f>
        <v>0</v>
      </c>
      <c r="E260" s="2007">
        <f t="shared" ref="E260:G260" si="160">+E261</f>
        <v>0</v>
      </c>
      <c r="F260" s="2007">
        <f t="shared" si="160"/>
        <v>0</v>
      </c>
      <c r="G260" s="2007">
        <f t="shared" si="160"/>
        <v>0</v>
      </c>
      <c r="H260" s="2007"/>
      <c r="I260" s="2007"/>
      <c r="J260" s="2007"/>
      <c r="K260" s="2007"/>
      <c r="L260" s="2007"/>
      <c r="M260" s="3024"/>
      <c r="N260" s="3024"/>
      <c r="O260" s="3071"/>
    </row>
    <row r="261" spans="1:16" s="267" customFormat="1" hidden="1">
      <c r="A261" s="3085"/>
      <c r="B261" s="2047" t="s">
        <v>15</v>
      </c>
      <c r="C261" s="3100"/>
      <c r="D261" s="1913">
        <f>E261+F261+G261+H261+I261+J261+K261+L261</f>
        <v>0</v>
      </c>
      <c r="E261" s="2036"/>
      <c r="F261" s="2036"/>
      <c r="G261" s="2036"/>
      <c r="H261" s="2036"/>
      <c r="I261" s="2036"/>
      <c r="J261" s="2036"/>
      <c r="K261" s="2036"/>
      <c r="L261" s="2036"/>
      <c r="M261" s="3024"/>
      <c r="N261" s="3024"/>
      <c r="O261" s="3071"/>
    </row>
    <row r="262" spans="1:16" s="267" customFormat="1">
      <c r="A262" s="3085"/>
      <c r="B262" s="724" t="s">
        <v>18</v>
      </c>
      <c r="C262" s="3100"/>
      <c r="D262" s="2037">
        <f>+D263</f>
        <v>68396525</v>
      </c>
      <c r="E262" s="2037">
        <f t="shared" ref="E262:H262" si="161">+E263</f>
        <v>0</v>
      </c>
      <c r="F262" s="2037">
        <f t="shared" si="161"/>
        <v>0</v>
      </c>
      <c r="G262" s="2037">
        <f t="shared" si="161"/>
        <v>38021365</v>
      </c>
      <c r="H262" s="2037">
        <f t="shared" si="161"/>
        <v>30375160</v>
      </c>
      <c r="I262" s="2037"/>
      <c r="J262" s="2037"/>
      <c r="K262" s="2037"/>
      <c r="L262" s="2037"/>
      <c r="M262" s="3024"/>
      <c r="N262" s="3024"/>
      <c r="O262" s="3071"/>
    </row>
    <row r="263" spans="1:16" s="267" customFormat="1" ht="13.5" thickBot="1">
      <c r="A263" s="3112"/>
      <c r="B263" s="1054" t="s">
        <v>21</v>
      </c>
      <c r="C263" s="3088"/>
      <c r="D263" s="2195">
        <f>E263+F263+G263+H263+I263+J263+K263+L263</f>
        <v>68396525</v>
      </c>
      <c r="E263" s="2195">
        <v>0</v>
      </c>
      <c r="F263" s="514"/>
      <c r="G263" s="514">
        <v>38021365</v>
      </c>
      <c r="H263" s="514">
        <v>30375160</v>
      </c>
      <c r="I263" s="514"/>
      <c r="J263" s="514"/>
      <c r="K263" s="514"/>
      <c r="L263" s="514"/>
      <c r="M263" s="3025"/>
      <c r="N263" s="3025"/>
      <c r="O263" s="3072"/>
    </row>
    <row r="264" spans="1:16" ht="25.5" customHeight="1">
      <c r="A264" s="3084" t="s">
        <v>92</v>
      </c>
      <c r="B264" s="284" t="s">
        <v>565</v>
      </c>
      <c r="C264" s="58" t="s">
        <v>81</v>
      </c>
      <c r="D264" s="887"/>
      <c r="E264" s="44"/>
      <c r="F264" s="44"/>
      <c r="G264" s="44"/>
      <c r="H264" s="44"/>
      <c r="I264" s="44"/>
      <c r="J264" s="44"/>
      <c r="K264" s="44"/>
      <c r="L264" s="44"/>
      <c r="M264" s="45"/>
      <c r="N264" s="45"/>
      <c r="O264" s="3095" t="s">
        <v>86</v>
      </c>
      <c r="P264" s="235" t="s">
        <v>308</v>
      </c>
    </row>
    <row r="265" spans="1:16" ht="12" customHeight="1">
      <c r="A265" s="3085"/>
      <c r="B265" s="2002" t="s">
        <v>10</v>
      </c>
      <c r="C265" s="2039"/>
      <c r="D265" s="2533">
        <f t="shared" ref="D265" si="162">+D266+D269</f>
        <v>9472920</v>
      </c>
      <c r="E265" s="1933">
        <f t="shared" ref="E265" si="163">+E266+E269</f>
        <v>0</v>
      </c>
      <c r="F265" s="1933">
        <f>+F266+F269</f>
        <v>596279</v>
      </c>
      <c r="G265" s="1933">
        <f>+G266+G269</f>
        <v>8876641</v>
      </c>
      <c r="H265" s="1933"/>
      <c r="I265" s="1933"/>
      <c r="J265" s="1933"/>
      <c r="K265" s="1933"/>
      <c r="L265" s="1933"/>
      <c r="M265" s="1935">
        <f>M266+M269</f>
        <v>9472920</v>
      </c>
      <c r="N265" s="1935">
        <f>N266+N269</f>
        <v>8876641</v>
      </c>
      <c r="O265" s="3102"/>
      <c r="P265" s="480"/>
    </row>
    <row r="266" spans="1:16" ht="13.5" customHeight="1">
      <c r="A266" s="3085"/>
      <c r="B266" s="2011" t="s">
        <v>24</v>
      </c>
      <c r="C266" s="3040" t="s">
        <v>84</v>
      </c>
      <c r="D266" s="1937">
        <f>+D267+D268</f>
        <v>8558831</v>
      </c>
      <c r="E266" s="1923">
        <f t="shared" ref="E266:G266" si="164">+E267</f>
        <v>0</v>
      </c>
      <c r="F266" s="1923">
        <f t="shared" si="164"/>
        <v>322341</v>
      </c>
      <c r="G266" s="1923">
        <f t="shared" si="164"/>
        <v>8236490</v>
      </c>
      <c r="H266" s="1937"/>
      <c r="I266" s="1937"/>
      <c r="J266" s="2030"/>
      <c r="K266" s="2030"/>
      <c r="L266" s="2030"/>
      <c r="M266" s="2008">
        <f>M267</f>
        <v>8558831</v>
      </c>
      <c r="N266" s="2008">
        <f>N267</f>
        <v>8236490</v>
      </c>
      <c r="O266" s="3102"/>
      <c r="P266" s="480"/>
    </row>
    <row r="267" spans="1:16" ht="12" customHeight="1">
      <c r="A267" s="3085"/>
      <c r="B267" s="2047" t="s">
        <v>12</v>
      </c>
      <c r="C267" s="3098"/>
      <c r="D267" s="1913">
        <f>E267+F267+G267+H267+I267+J267+K267+L267</f>
        <v>8558831</v>
      </c>
      <c r="E267" s="1977">
        <v>0</v>
      </c>
      <c r="F267" s="2032">
        <f>3200000-1940000+1520081+249090-73261-57720-385500-592500-1597849</f>
        <v>322341</v>
      </c>
      <c r="G267" s="2032">
        <f>4984499+500000+710922+57720+385500+1597849</f>
        <v>8236490</v>
      </c>
      <c r="H267" s="2032"/>
      <c r="I267" s="2032"/>
      <c r="J267" s="2032"/>
      <c r="K267" s="2032"/>
      <c r="L267" s="2032"/>
      <c r="M267" s="1047">
        <f>SUM(F267:K267)</f>
        <v>8558831</v>
      </c>
      <c r="N267" s="1047">
        <f>SUM(G267:L267)</f>
        <v>8236490</v>
      </c>
      <c r="O267" s="3102"/>
    </row>
    <row r="268" spans="1:16" hidden="1">
      <c r="A268" s="3085"/>
      <c r="B268" s="93" t="s">
        <v>15</v>
      </c>
      <c r="C268" s="3098"/>
      <c r="D268" s="1913">
        <f>E268+F268+G268+H268+I268+J268+K268+L268</f>
        <v>0</v>
      </c>
      <c r="E268" s="2058">
        <v>0</v>
      </c>
      <c r="F268" s="2059"/>
      <c r="G268" s="2059"/>
      <c r="H268" s="2059"/>
      <c r="I268" s="2059"/>
      <c r="J268" s="205"/>
      <c r="K268" s="205"/>
      <c r="L268" s="205"/>
      <c r="M268" s="69"/>
      <c r="N268" s="69"/>
      <c r="O268" s="3102"/>
    </row>
    <row r="269" spans="1:16" ht="13.5" customHeight="1">
      <c r="A269" s="3085"/>
      <c r="B269" s="2062" t="s">
        <v>18</v>
      </c>
      <c r="C269" s="3098"/>
      <c r="D269" s="2007">
        <f>+D270</f>
        <v>914089</v>
      </c>
      <c r="E269" s="1945">
        <f t="shared" ref="E269:G269" si="165">+E270</f>
        <v>0</v>
      </c>
      <c r="F269" s="1923">
        <f t="shared" si="165"/>
        <v>273938</v>
      </c>
      <c r="G269" s="1923">
        <f t="shared" si="165"/>
        <v>640151</v>
      </c>
      <c r="H269" s="1945"/>
      <c r="I269" s="1945"/>
      <c r="J269" s="2007"/>
      <c r="K269" s="2007"/>
      <c r="L269" s="2007"/>
      <c r="M269" s="2008">
        <f>M270</f>
        <v>914089</v>
      </c>
      <c r="N269" s="2008">
        <f>N270</f>
        <v>640151</v>
      </c>
      <c r="O269" s="3102"/>
    </row>
    <row r="270" spans="1:16">
      <c r="A270" s="3085"/>
      <c r="B270" s="795" t="s">
        <v>21</v>
      </c>
      <c r="C270" s="3099"/>
      <c r="D270" s="2060">
        <f>E270+F270+G270+H270+I270+J270+K270+L270</f>
        <v>914089</v>
      </c>
      <c r="E270" s="1977">
        <v>0</v>
      </c>
      <c r="F270" s="2032">
        <f>1617722-288485-415148-640151</f>
        <v>273938</v>
      </c>
      <c r="G270" s="2032">
        <v>640151</v>
      </c>
      <c r="H270" s="2032"/>
      <c r="I270" s="2032"/>
      <c r="J270" s="2032"/>
      <c r="K270" s="2032"/>
      <c r="L270" s="2032"/>
      <c r="M270" s="1047">
        <f>SUM(F270:K270)</f>
        <v>914089</v>
      </c>
      <c r="N270" s="1047">
        <f>SUM(G270:L270)</f>
        <v>640151</v>
      </c>
      <c r="O270" s="3103"/>
    </row>
    <row r="271" spans="1:16" ht="12" customHeight="1">
      <c r="A271" s="3086"/>
      <c r="B271" s="2002" t="s">
        <v>22</v>
      </c>
      <c r="C271" s="91"/>
      <c r="D271" s="103">
        <f>+D274+D272</f>
        <v>914089</v>
      </c>
      <c r="E271" s="103">
        <f t="shared" ref="E271" si="166">+E274+E272</f>
        <v>0</v>
      </c>
      <c r="F271" s="943">
        <f t="shared" ref="F271:G271" si="167">+F274+F272</f>
        <v>0</v>
      </c>
      <c r="G271" s="103">
        <f t="shared" si="167"/>
        <v>914089</v>
      </c>
      <c r="H271" s="103"/>
      <c r="I271" s="103"/>
      <c r="J271" s="103"/>
      <c r="K271" s="103"/>
      <c r="L271" s="103"/>
      <c r="M271" s="3063" t="s">
        <v>23</v>
      </c>
      <c r="N271" s="3063" t="s">
        <v>23</v>
      </c>
      <c r="O271" s="3155" t="s">
        <v>102</v>
      </c>
    </row>
    <row r="272" spans="1:16" ht="13.5" hidden="1" customHeight="1">
      <c r="A272" s="3086"/>
      <c r="B272" s="2011" t="s">
        <v>24</v>
      </c>
      <c r="C272" s="3040" t="s">
        <v>221</v>
      </c>
      <c r="D272" s="52">
        <f>+D273</f>
        <v>0</v>
      </c>
      <c r="E272" s="52">
        <f t="shared" ref="E272" si="168">+E273</f>
        <v>0</v>
      </c>
      <c r="F272" s="269"/>
      <c r="G272" s="52"/>
      <c r="H272" s="52"/>
      <c r="I272" s="52"/>
      <c r="J272" s="52"/>
      <c r="K272" s="52"/>
      <c r="L272" s="52"/>
      <c r="M272" s="3064"/>
      <c r="N272" s="3064"/>
      <c r="O272" s="3123"/>
    </row>
    <row r="273" spans="1:18" ht="12.75" hidden="1" customHeight="1">
      <c r="A273" s="3086"/>
      <c r="B273" s="93" t="s">
        <v>15</v>
      </c>
      <c r="C273" s="3100"/>
      <c r="D273" s="1913">
        <f>E273+F273+G273+H273+I273+J273+K273+L273</f>
        <v>0</v>
      </c>
      <c r="E273" s="1944">
        <v>0</v>
      </c>
      <c r="F273" s="2061"/>
      <c r="G273" s="1944"/>
      <c r="H273" s="1944"/>
      <c r="I273" s="1944"/>
      <c r="J273" s="1944"/>
      <c r="K273" s="1944"/>
      <c r="L273" s="1944"/>
      <c r="M273" s="3064"/>
      <c r="N273" s="3064"/>
      <c r="O273" s="3123"/>
    </row>
    <row r="274" spans="1:18" ht="12" customHeight="1">
      <c r="A274" s="3086"/>
      <c r="B274" s="2062" t="s">
        <v>18</v>
      </c>
      <c r="C274" s="3100"/>
      <c r="D274" s="2007">
        <f t="shared" ref="D274:G274" si="169">+D275</f>
        <v>914089</v>
      </c>
      <c r="E274" s="1945">
        <f t="shared" si="169"/>
        <v>0</v>
      </c>
      <c r="F274" s="2534">
        <f t="shared" si="169"/>
        <v>0</v>
      </c>
      <c r="G274" s="1945">
        <f t="shared" si="169"/>
        <v>914089</v>
      </c>
      <c r="H274" s="1945"/>
      <c r="I274" s="1945"/>
      <c r="J274" s="1945"/>
      <c r="K274" s="1945"/>
      <c r="L274" s="1945"/>
      <c r="M274" s="3064"/>
      <c r="N274" s="3064"/>
      <c r="O274" s="3123"/>
    </row>
    <row r="275" spans="1:18" ht="13.5" customHeight="1" thickBot="1">
      <c r="A275" s="3087"/>
      <c r="B275" s="1054" t="s">
        <v>21</v>
      </c>
      <c r="C275" s="3088"/>
      <c r="D275" s="1009">
        <f>E275+F275+G275+H275+I275+J275+K275+L275</f>
        <v>914089</v>
      </c>
      <c r="E275" s="1009">
        <v>0</v>
      </c>
      <c r="F275" s="443">
        <f>1900090-569500-416501-914089</f>
        <v>0</v>
      </c>
      <c r="G275" s="57">
        <v>914089</v>
      </c>
      <c r="H275" s="57"/>
      <c r="I275" s="520"/>
      <c r="J275" s="520"/>
      <c r="K275" s="520"/>
      <c r="L275" s="520"/>
      <c r="M275" s="3065"/>
      <c r="N275" s="3065"/>
      <c r="O275" s="3124"/>
    </row>
    <row r="276" spans="1:18" ht="27.75" hidden="1" customHeight="1">
      <c r="A276" s="3084"/>
      <c r="B276" s="74"/>
      <c r="C276" s="58" t="s">
        <v>109</v>
      </c>
      <c r="D276" s="59"/>
      <c r="E276" s="44"/>
      <c r="F276" s="44"/>
      <c r="G276" s="44"/>
      <c r="H276" s="44"/>
      <c r="I276" s="44"/>
      <c r="J276" s="44"/>
      <c r="K276" s="44"/>
      <c r="L276" s="44"/>
      <c r="M276" s="45"/>
      <c r="N276" s="45"/>
      <c r="O276" s="3116" t="s">
        <v>102</v>
      </c>
      <c r="P276" s="3161" t="s">
        <v>307</v>
      </c>
      <c r="Q276" s="3162"/>
      <c r="R276" s="3162"/>
    </row>
    <row r="277" spans="1:18" ht="15" hidden="1" customHeight="1">
      <c r="A277" s="3085"/>
      <c r="B277" s="433" t="s">
        <v>10</v>
      </c>
      <c r="C277" s="22"/>
      <c r="D277" s="422">
        <f>+D278+D281</f>
        <v>0</v>
      </c>
      <c r="E277" s="422">
        <v>0</v>
      </c>
      <c r="F277" s="422"/>
      <c r="G277" s="422"/>
      <c r="H277" s="422"/>
      <c r="I277" s="422"/>
      <c r="J277" s="422"/>
      <c r="K277" s="422"/>
      <c r="L277" s="422"/>
      <c r="M277" s="409">
        <f>M278+M281</f>
        <v>0</v>
      </c>
      <c r="N277" s="409">
        <f>N278+N281</f>
        <v>0</v>
      </c>
      <c r="O277" s="3071"/>
      <c r="P277" s="480"/>
    </row>
    <row r="278" spans="1:18" ht="13.5" hidden="1" customHeight="1">
      <c r="A278" s="3085"/>
      <c r="B278" s="476" t="s">
        <v>24</v>
      </c>
      <c r="C278" s="3121" t="s">
        <v>84</v>
      </c>
      <c r="D278" s="78">
        <f>+D279+D280</f>
        <v>0</v>
      </c>
      <c r="E278" s="78">
        <v>0</v>
      </c>
      <c r="F278" s="78"/>
      <c r="G278" s="78"/>
      <c r="H278" s="78"/>
      <c r="I278" s="78"/>
      <c r="J278" s="78"/>
      <c r="K278" s="78"/>
      <c r="L278" s="78"/>
      <c r="M278" s="424">
        <f>+M279+M280</f>
        <v>0</v>
      </c>
      <c r="N278" s="424">
        <f>+N279+N280</f>
        <v>0</v>
      </c>
      <c r="O278" s="3071"/>
      <c r="P278" s="480"/>
    </row>
    <row r="279" spans="1:18" ht="11.25" hidden="1" customHeight="1">
      <c r="A279" s="3085"/>
      <c r="B279" s="941" t="s">
        <v>12</v>
      </c>
      <c r="C279" s="3098"/>
      <c r="D279" s="249">
        <f t="shared" ref="D279:D280" si="170">E279+F279+G279+H279+I279+J279+K279+L279</f>
        <v>0</v>
      </c>
      <c r="E279" s="487">
        <v>0</v>
      </c>
      <c r="F279" s="506"/>
      <c r="G279" s="506"/>
      <c r="H279" s="506"/>
      <c r="I279" s="506"/>
      <c r="J279" s="506"/>
      <c r="K279" s="506"/>
      <c r="L279" s="506"/>
      <c r="M279" s="507">
        <f>SUM(E279:H279)</f>
        <v>0</v>
      </c>
      <c r="N279" s="507">
        <f>SUM(F279:I279)</f>
        <v>0</v>
      </c>
      <c r="O279" s="3071"/>
    </row>
    <row r="280" spans="1:18" ht="11.25" hidden="1" customHeight="1">
      <c r="A280" s="3085"/>
      <c r="B280" s="637" t="s">
        <v>106</v>
      </c>
      <c r="C280" s="3098"/>
      <c r="D280" s="249">
        <f t="shared" si="170"/>
        <v>0</v>
      </c>
      <c r="E280" s="487">
        <v>0</v>
      </c>
      <c r="F280" s="425"/>
      <c r="G280" s="425"/>
      <c r="H280" s="425"/>
      <c r="I280" s="425"/>
      <c r="J280" s="425"/>
      <c r="K280" s="425"/>
      <c r="L280" s="425"/>
      <c r="M280" s="427">
        <f>SUM(E280:H280)</f>
        <v>0</v>
      </c>
      <c r="N280" s="427">
        <f>SUM(F280:I280)</f>
        <v>0</v>
      </c>
      <c r="O280" s="3071"/>
    </row>
    <row r="281" spans="1:18" ht="13.5" hidden="1" thickBot="1">
      <c r="A281" s="3085"/>
      <c r="B281" s="488" t="s">
        <v>18</v>
      </c>
      <c r="C281" s="3098"/>
      <c r="D281" s="428">
        <f>+D282</f>
        <v>0</v>
      </c>
      <c r="E281" s="428">
        <v>0</v>
      </c>
      <c r="F281" s="428"/>
      <c r="G281" s="428"/>
      <c r="H281" s="428"/>
      <c r="I281" s="428"/>
      <c r="J281" s="428"/>
      <c r="K281" s="428"/>
      <c r="L281" s="428"/>
      <c r="M281" s="424">
        <f>M282</f>
        <v>0</v>
      </c>
      <c r="N281" s="424">
        <f>N282</f>
        <v>0</v>
      </c>
      <c r="O281" s="3071"/>
    </row>
    <row r="282" spans="1:18" ht="13.5" hidden="1" thickBot="1">
      <c r="A282" s="3085"/>
      <c r="B282" s="509" t="s">
        <v>21</v>
      </c>
      <c r="C282" s="3098"/>
      <c r="D282" s="249">
        <f>E282+F282+G282+H282+I282+J282+K282+L282</f>
        <v>0</v>
      </c>
      <c r="E282" s="1006">
        <v>0</v>
      </c>
      <c r="F282" s="425"/>
      <c r="G282" s="425"/>
      <c r="H282" s="425"/>
      <c r="I282" s="425"/>
      <c r="J282" s="425"/>
      <c r="K282" s="425"/>
      <c r="L282" s="425"/>
      <c r="M282" s="36">
        <f>SUM(E282:K282)</f>
        <v>0</v>
      </c>
      <c r="N282" s="36">
        <f>SUM(F282:L282)</f>
        <v>0</v>
      </c>
      <c r="O282" s="3071"/>
    </row>
    <row r="283" spans="1:18" ht="15.75" hidden="1" customHeight="1">
      <c r="A283" s="3086"/>
      <c r="B283" s="21" t="s">
        <v>22</v>
      </c>
      <c r="C283" s="22"/>
      <c r="D283" s="439">
        <f>+D286+D284</f>
        <v>0</v>
      </c>
      <c r="E283" s="439">
        <v>0</v>
      </c>
      <c r="F283" s="439"/>
      <c r="G283" s="439"/>
      <c r="H283" s="439"/>
      <c r="I283" s="439"/>
      <c r="J283" s="439"/>
      <c r="K283" s="439"/>
      <c r="L283" s="439"/>
      <c r="M283" s="3066" t="s">
        <v>23</v>
      </c>
      <c r="N283" s="3066" t="s">
        <v>23</v>
      </c>
      <c r="O283" s="3071"/>
    </row>
    <row r="284" spans="1:18" ht="12.75" hidden="1" customHeight="1">
      <c r="A284" s="3086"/>
      <c r="B284" s="476" t="s">
        <v>24</v>
      </c>
      <c r="C284" s="3121" t="s">
        <v>397</v>
      </c>
      <c r="D284" s="944">
        <f>D285</f>
        <v>0</v>
      </c>
      <c r="E284" s="944">
        <v>0</v>
      </c>
      <c r="F284" s="944"/>
      <c r="G284" s="944"/>
      <c r="H284" s="944"/>
      <c r="I284" s="944"/>
      <c r="J284" s="944"/>
      <c r="K284" s="944"/>
      <c r="L284" s="944"/>
      <c r="M284" s="3024"/>
      <c r="N284" s="3024"/>
      <c r="O284" s="3071"/>
    </row>
    <row r="285" spans="1:18" ht="12.75" hidden="1" customHeight="1">
      <c r="A285" s="3086"/>
      <c r="B285" s="637" t="s">
        <v>106</v>
      </c>
      <c r="C285" s="3100"/>
      <c r="D285" s="249">
        <f>E285+F285+G285+H285+I285+J285+K285+L285</f>
        <v>0</v>
      </c>
      <c r="E285" s="487">
        <v>0</v>
      </c>
      <c r="F285" s="944"/>
      <c r="G285" s="944"/>
      <c r="H285" s="944"/>
      <c r="I285" s="944"/>
      <c r="J285" s="944"/>
      <c r="K285" s="944"/>
      <c r="L285" s="944"/>
      <c r="M285" s="3024"/>
      <c r="N285" s="3024"/>
      <c r="O285" s="3071"/>
    </row>
    <row r="286" spans="1:18" s="267" customFormat="1" ht="16.5" hidden="1" customHeight="1">
      <c r="A286" s="3086"/>
      <c r="B286" s="488" t="s">
        <v>18</v>
      </c>
      <c r="C286" s="3100"/>
      <c r="D286" s="511">
        <f>+D287</f>
        <v>0</v>
      </c>
      <c r="E286" s="511">
        <v>0</v>
      </c>
      <c r="F286" s="512"/>
      <c r="G286" s="512"/>
      <c r="H286" s="512"/>
      <c r="I286" s="512"/>
      <c r="J286" s="512"/>
      <c r="K286" s="512"/>
      <c r="L286" s="512"/>
      <c r="M286" s="3024"/>
      <c r="N286" s="3024"/>
      <c r="O286" s="3071"/>
    </row>
    <row r="287" spans="1:18" s="267" customFormat="1" ht="17.25" hidden="1" customHeight="1" thickBot="1">
      <c r="A287" s="3087"/>
      <c r="B287" s="365" t="s">
        <v>21</v>
      </c>
      <c r="C287" s="3088"/>
      <c r="D287" s="249">
        <f>E287+F287+G287+H287+I287+J287+K287+L287</f>
        <v>0</v>
      </c>
      <c r="E287" s="1006">
        <v>0</v>
      </c>
      <c r="F287" s="514"/>
      <c r="G287" s="514"/>
      <c r="H287" s="514"/>
      <c r="I287" s="514"/>
      <c r="J287" s="514"/>
      <c r="K287" s="514"/>
      <c r="L287" s="514"/>
      <c r="M287" s="3025"/>
      <c r="N287" s="3025"/>
      <c r="O287" s="3072"/>
    </row>
    <row r="288" spans="1:18" ht="29.25" hidden="1" customHeight="1">
      <c r="A288" s="3084"/>
      <c r="B288" s="74" t="s">
        <v>415</v>
      </c>
      <c r="C288" s="58" t="s">
        <v>81</v>
      </c>
      <c r="D288" s="887"/>
      <c r="E288" s="444"/>
      <c r="F288" s="444"/>
      <c r="G288" s="444"/>
      <c r="H288" s="444"/>
      <c r="I288" s="444"/>
      <c r="J288" s="44"/>
      <c r="K288" s="44"/>
      <c r="L288" s="44"/>
      <c r="M288" s="45"/>
      <c r="N288" s="45"/>
      <c r="O288" s="3116" t="s">
        <v>102</v>
      </c>
      <c r="P288" s="235" t="s">
        <v>308</v>
      </c>
    </row>
    <row r="289" spans="1:17" ht="13.5" hidden="1" customHeight="1">
      <c r="A289" s="3085"/>
      <c r="B289" s="719" t="s">
        <v>10</v>
      </c>
      <c r="C289" s="813"/>
      <c r="D289" s="765">
        <f t="shared" ref="D289" si="171">+D290+D293</f>
        <v>0</v>
      </c>
      <c r="E289" s="784">
        <v>0</v>
      </c>
      <c r="F289" s="766">
        <f>+F290+F293</f>
        <v>0</v>
      </c>
      <c r="G289" s="766"/>
      <c r="H289" s="766"/>
      <c r="I289" s="766"/>
      <c r="J289" s="766"/>
      <c r="K289" s="766"/>
      <c r="L289" s="766"/>
      <c r="M289" s="1024">
        <f>M290+M293</f>
        <v>0</v>
      </c>
      <c r="N289" s="1024">
        <f>N290+N293</f>
        <v>0</v>
      </c>
      <c r="O289" s="3071"/>
      <c r="P289" s="480"/>
    </row>
    <row r="290" spans="1:17" ht="14.25" hidden="1" customHeight="1">
      <c r="A290" s="3085"/>
      <c r="B290" s="1417" t="s">
        <v>24</v>
      </c>
      <c r="C290" s="3108" t="s">
        <v>98</v>
      </c>
      <c r="D290" s="956">
        <f t="shared" ref="D290" si="172">+D291+D292</f>
        <v>0</v>
      </c>
      <c r="E290" s="734">
        <v>0</v>
      </c>
      <c r="F290" s="956">
        <f>+F291+F292</f>
        <v>0</v>
      </c>
      <c r="G290" s="956"/>
      <c r="H290" s="956"/>
      <c r="I290" s="956"/>
      <c r="J290" s="956"/>
      <c r="K290" s="956"/>
      <c r="L290" s="956"/>
      <c r="M290" s="694">
        <f>+M291+M292</f>
        <v>0</v>
      </c>
      <c r="N290" s="694">
        <f>+N291+N292</f>
        <v>0</v>
      </c>
      <c r="O290" s="3071"/>
      <c r="P290" s="480"/>
    </row>
    <row r="291" spans="1:17" ht="12.75" hidden="1" customHeight="1">
      <c r="A291" s="3085"/>
      <c r="B291" s="1418" t="s">
        <v>12</v>
      </c>
      <c r="C291" s="3098"/>
      <c r="D291" s="1016">
        <f>SUM(E291:L291)</f>
        <v>0</v>
      </c>
      <c r="E291" s="728"/>
      <c r="F291" s="778"/>
      <c r="G291" s="778"/>
      <c r="H291" s="778"/>
      <c r="I291" s="778"/>
      <c r="J291" s="778"/>
      <c r="K291" s="778"/>
      <c r="L291" s="778"/>
      <c r="M291" s="1419"/>
      <c r="N291" s="1419"/>
      <c r="O291" s="3071"/>
    </row>
    <row r="292" spans="1:17" ht="11.25" hidden="1" customHeight="1">
      <c r="A292" s="3085"/>
      <c r="B292" s="637" t="s">
        <v>106</v>
      </c>
      <c r="C292" s="3098"/>
      <c r="D292" s="249">
        <f>E292+F292+G292+H292+I292+J292+K292+L292</f>
        <v>0</v>
      </c>
      <c r="E292" s="728">
        <v>0</v>
      </c>
      <c r="F292" s="779">
        <f>5400000-5400000</f>
        <v>0</v>
      </c>
      <c r="G292" s="778"/>
      <c r="H292" s="778"/>
      <c r="I292" s="779"/>
      <c r="J292" s="778"/>
      <c r="K292" s="778"/>
      <c r="L292" s="778"/>
      <c r="M292" s="1047">
        <f>SUM(E292:K292)</f>
        <v>0</v>
      </c>
      <c r="N292" s="1047">
        <f>SUM(F292:L292)</f>
        <v>0</v>
      </c>
      <c r="O292" s="3071"/>
    </row>
    <row r="293" spans="1:17" ht="11.25" hidden="1" customHeight="1">
      <c r="A293" s="3085"/>
      <c r="B293" s="1420" t="s">
        <v>18</v>
      </c>
      <c r="C293" s="3098"/>
      <c r="D293" s="698">
        <f t="shared" ref="D293:F293" si="173">+D294</f>
        <v>0</v>
      </c>
      <c r="E293" s="1057">
        <v>0</v>
      </c>
      <c r="F293" s="1030">
        <f t="shared" si="173"/>
        <v>0</v>
      </c>
      <c r="G293" s="1030"/>
      <c r="H293" s="1030"/>
      <c r="I293" s="1030"/>
      <c r="J293" s="1030"/>
      <c r="K293" s="1030"/>
      <c r="L293" s="1030"/>
      <c r="M293" s="694">
        <f>M294</f>
        <v>0</v>
      </c>
      <c r="N293" s="694">
        <f>N294</f>
        <v>0</v>
      </c>
      <c r="O293" s="3071"/>
    </row>
    <row r="294" spans="1:17" ht="13.5" hidden="1" customHeight="1">
      <c r="A294" s="3085"/>
      <c r="B294" s="1421" t="s">
        <v>21</v>
      </c>
      <c r="C294" s="3099"/>
      <c r="D294" s="249">
        <f>E294+F294+G294+H294+I294+J294+K294+L294</f>
        <v>0</v>
      </c>
      <c r="E294" s="728">
        <v>0</v>
      </c>
      <c r="F294" s="778">
        <f>30600000-30600000</f>
        <v>0</v>
      </c>
      <c r="G294" s="778"/>
      <c r="H294" s="777"/>
      <c r="I294" s="778"/>
      <c r="J294" s="777"/>
      <c r="K294" s="777"/>
      <c r="L294" s="777"/>
      <c r="M294" s="1047">
        <f>SUM(E294:K294)</f>
        <v>0</v>
      </c>
      <c r="N294" s="1047">
        <f>SUM(F294:L294)</f>
        <v>0</v>
      </c>
      <c r="O294" s="3071"/>
    </row>
    <row r="295" spans="1:17" ht="13.5" hidden="1" customHeight="1">
      <c r="A295" s="3086"/>
      <c r="B295" s="1422" t="s">
        <v>22</v>
      </c>
      <c r="C295" s="91"/>
      <c r="D295" s="103">
        <f>+D298+D296</f>
        <v>0</v>
      </c>
      <c r="E295" s="943">
        <v>0</v>
      </c>
      <c r="F295" s="103">
        <f t="shared" ref="F295" si="174">+F298+F296</f>
        <v>0</v>
      </c>
      <c r="G295" s="103"/>
      <c r="H295" s="103"/>
      <c r="I295" s="103"/>
      <c r="J295" s="103"/>
      <c r="K295" s="103"/>
      <c r="L295" s="103"/>
      <c r="M295" s="3062" t="s">
        <v>23</v>
      </c>
      <c r="N295" s="3062" t="s">
        <v>23</v>
      </c>
      <c r="O295" s="3071"/>
    </row>
    <row r="296" spans="1:17" ht="13.5" hidden="1" customHeight="1">
      <c r="A296" s="3086"/>
      <c r="B296" s="1053" t="s">
        <v>24</v>
      </c>
      <c r="C296" s="3108" t="s">
        <v>306</v>
      </c>
      <c r="D296" s="884">
        <f>D297</f>
        <v>0</v>
      </c>
      <c r="E296" s="1423">
        <v>0</v>
      </c>
      <c r="F296" s="884">
        <f t="shared" ref="F296" si="175">F297</f>
        <v>0</v>
      </c>
      <c r="G296" s="884"/>
      <c r="H296" s="884"/>
      <c r="I296" s="884"/>
      <c r="J296" s="884"/>
      <c r="K296" s="884"/>
      <c r="L296" s="884"/>
      <c r="M296" s="3028"/>
      <c r="N296" s="3028"/>
      <c r="O296" s="3071"/>
    </row>
    <row r="297" spans="1:17" ht="13.5" hidden="1" customHeight="1">
      <c r="A297" s="3086"/>
      <c r="B297" s="637" t="s">
        <v>106</v>
      </c>
      <c r="C297" s="3100"/>
      <c r="D297" s="249">
        <f>E297+F297+G297+H297+I297+J297+K297+L297</f>
        <v>0</v>
      </c>
      <c r="E297" s="728">
        <v>0</v>
      </c>
      <c r="F297" s="1424">
        <v>0</v>
      </c>
      <c r="G297" s="884"/>
      <c r="H297" s="1424"/>
      <c r="I297" s="1424"/>
      <c r="J297" s="884"/>
      <c r="K297" s="884"/>
      <c r="L297" s="884"/>
      <c r="M297" s="3028"/>
      <c r="N297" s="3028"/>
      <c r="O297" s="3071"/>
    </row>
    <row r="298" spans="1:17" ht="12" hidden="1" customHeight="1">
      <c r="A298" s="3086"/>
      <c r="B298" s="729" t="s">
        <v>18</v>
      </c>
      <c r="C298" s="3100"/>
      <c r="D298" s="698">
        <f>+D299</f>
        <v>0</v>
      </c>
      <c r="E298" s="1057">
        <v>0</v>
      </c>
      <c r="F298" s="1030">
        <f t="shared" ref="F298" si="176">+F299</f>
        <v>0</v>
      </c>
      <c r="G298" s="1030"/>
      <c r="H298" s="1030"/>
      <c r="I298" s="1030"/>
      <c r="J298" s="1030"/>
      <c r="K298" s="1030"/>
      <c r="L298" s="1030"/>
      <c r="M298" s="3028"/>
      <c r="N298" s="3028"/>
      <c r="O298" s="3071"/>
    </row>
    <row r="299" spans="1:17" ht="13.5" hidden="1" customHeight="1" thickBot="1">
      <c r="A299" s="3087"/>
      <c r="B299" s="1054" t="s">
        <v>21</v>
      </c>
      <c r="C299" s="3088"/>
      <c r="D299" s="249">
        <f>E299+F299+G299+H299+I299+J299+K299+L299</f>
        <v>0</v>
      </c>
      <c r="E299" s="731">
        <v>0</v>
      </c>
      <c r="F299" s="57">
        <f>30600000-30600000</f>
        <v>0</v>
      </c>
      <c r="G299" s="57"/>
      <c r="H299" s="57"/>
      <c r="I299" s="57"/>
      <c r="J299" s="57"/>
      <c r="K299" s="57"/>
      <c r="L299" s="57"/>
      <c r="M299" s="3029"/>
      <c r="N299" s="3029"/>
      <c r="O299" s="3072"/>
    </row>
    <row r="300" spans="1:17" ht="27" customHeight="1">
      <c r="A300" s="3084" t="s">
        <v>93</v>
      </c>
      <c r="B300" s="74" t="s">
        <v>416</v>
      </c>
      <c r="C300" s="58" t="s">
        <v>81</v>
      </c>
      <c r="D300" s="1565"/>
      <c r="E300" s="95"/>
      <c r="F300" s="96"/>
      <c r="G300" s="96"/>
      <c r="H300" s="96"/>
      <c r="I300" s="96"/>
      <c r="J300" s="96"/>
      <c r="K300" s="96"/>
      <c r="L300" s="96"/>
      <c r="M300" s="45"/>
      <c r="N300" s="45"/>
      <c r="O300" s="3116" t="s">
        <v>102</v>
      </c>
      <c r="P300" s="235" t="s">
        <v>308</v>
      </c>
    </row>
    <row r="301" spans="1:17" ht="13.5" customHeight="1">
      <c r="A301" s="3085"/>
      <c r="B301" s="2002" t="s">
        <v>10</v>
      </c>
      <c r="C301" s="2003"/>
      <c r="D301" s="2104">
        <f t="shared" ref="D301" si="177">+D302+D306</f>
        <v>326610000</v>
      </c>
      <c r="E301" s="1566">
        <f t="shared" ref="E301" si="178">+E302+E306</f>
        <v>0</v>
      </c>
      <c r="F301" s="2105">
        <f>+F302+F306</f>
        <v>142545000</v>
      </c>
      <c r="G301" s="2105">
        <f>+G302+G306</f>
        <v>184065000</v>
      </c>
      <c r="H301" s="2106">
        <f>+H302+H306</f>
        <v>0</v>
      </c>
      <c r="I301" s="2106">
        <f>+I302+I306</f>
        <v>0</v>
      </c>
      <c r="J301" s="2105"/>
      <c r="K301" s="2105"/>
      <c r="L301" s="2105"/>
      <c r="M301" s="2005">
        <f>+M302+M306</f>
        <v>326610000</v>
      </c>
      <c r="N301" s="2005">
        <f>+N302+N306</f>
        <v>184065000</v>
      </c>
      <c r="O301" s="3071"/>
      <c r="Q301" s="480"/>
    </row>
    <row r="302" spans="1:17" ht="13.5" customHeight="1">
      <c r="A302" s="3085"/>
      <c r="B302" s="2011" t="s">
        <v>24</v>
      </c>
      <c r="C302" s="3040" t="s">
        <v>98</v>
      </c>
      <c r="D302" s="1567">
        <f>+D303+D305+D304</f>
        <v>48991500</v>
      </c>
      <c r="E302" s="1567">
        <f t="shared" ref="E302" si="179">+E303+E305+E304</f>
        <v>0</v>
      </c>
      <c r="F302" s="1567">
        <f t="shared" ref="F302:G302" si="180">+F303+F305+F304</f>
        <v>21381750</v>
      </c>
      <c r="G302" s="1567">
        <f t="shared" si="180"/>
        <v>27609750</v>
      </c>
      <c r="H302" s="1568">
        <f>+H303+H305+H304</f>
        <v>0</v>
      </c>
      <c r="I302" s="1568">
        <f>+I303+I305+I304</f>
        <v>0</v>
      </c>
      <c r="J302" s="1567"/>
      <c r="K302" s="1567"/>
      <c r="L302" s="1567"/>
      <c r="M302" s="2008">
        <f>+M303+M305+M304</f>
        <v>48991500</v>
      </c>
      <c r="N302" s="2008">
        <f>+N303+N305+N304</f>
        <v>27609750</v>
      </c>
      <c r="O302" s="3071"/>
      <c r="Q302" s="480"/>
    </row>
    <row r="303" spans="1:17" ht="12.75" customHeight="1">
      <c r="A303" s="3085"/>
      <c r="B303" s="2047" t="s">
        <v>12</v>
      </c>
      <c r="C303" s="3098"/>
      <c r="D303" s="1016">
        <f>E303+F303+G303+H303+I303+J303+K303+L303</f>
        <v>48991500</v>
      </c>
      <c r="E303" s="1977">
        <v>0</v>
      </c>
      <c r="F303" s="2032">
        <v>21381750</v>
      </c>
      <c r="G303" s="2031">
        <v>27609750</v>
      </c>
      <c r="H303" s="2068">
        <v>0</v>
      </c>
      <c r="I303" s="1960">
        <v>0</v>
      </c>
      <c r="J303" s="2032"/>
      <c r="K303" s="2032"/>
      <c r="L303" s="2032"/>
      <c r="M303" s="2033">
        <f>SUM(F303:K303)</f>
        <v>48991500</v>
      </c>
      <c r="N303" s="2033">
        <f>SUM(G303:L303)</f>
        <v>27609750</v>
      </c>
      <c r="O303" s="3071"/>
    </row>
    <row r="304" spans="1:17" ht="12.75" hidden="1" customHeight="1">
      <c r="A304" s="3085"/>
      <c r="B304" s="637" t="s">
        <v>106</v>
      </c>
      <c r="C304" s="3098"/>
      <c r="D304" s="1016">
        <f>E304+F304+G304+H304+I304+J304+K304+L304</f>
        <v>0</v>
      </c>
      <c r="E304" s="2049">
        <v>0</v>
      </c>
      <c r="F304" s="1062">
        <f>15546856-2076856-13470000</f>
        <v>0</v>
      </c>
      <c r="G304" s="1788">
        <f>8419285+6619715-15039000</f>
        <v>0</v>
      </c>
      <c r="H304" s="1519">
        <v>0</v>
      </c>
      <c r="I304" s="2107">
        <f>2076000-2076000</f>
        <v>0</v>
      </c>
      <c r="J304" s="1062"/>
      <c r="K304" s="1062"/>
      <c r="L304" s="1062"/>
      <c r="M304" s="2033">
        <f>SUM(E304:K304)</f>
        <v>0</v>
      </c>
      <c r="N304" s="2033">
        <f>SUM(F304:L304)</f>
        <v>0</v>
      </c>
      <c r="O304" s="3071"/>
    </row>
    <row r="305" spans="1:17" ht="13.5" hidden="1" customHeight="1">
      <c r="A305" s="3085"/>
      <c r="B305" s="93" t="s">
        <v>15</v>
      </c>
      <c r="C305" s="3098"/>
      <c r="D305" s="1016">
        <f>SUM(E305:I305)</f>
        <v>0</v>
      </c>
      <c r="E305" s="2049"/>
      <c r="F305" s="1062">
        <v>0</v>
      </c>
      <c r="G305" s="1062">
        <v>0</v>
      </c>
      <c r="H305" s="1519"/>
      <c r="I305" s="1519"/>
      <c r="J305" s="1062"/>
      <c r="K305" s="1062"/>
      <c r="L305" s="1062"/>
      <c r="M305" s="69"/>
      <c r="N305" s="69"/>
      <c r="O305" s="3071"/>
    </row>
    <row r="306" spans="1:17" ht="13.5" customHeight="1">
      <c r="A306" s="3085"/>
      <c r="B306" s="2062" t="s">
        <v>18</v>
      </c>
      <c r="C306" s="3098"/>
      <c r="D306" s="2007">
        <f>+D307</f>
        <v>277618500</v>
      </c>
      <c r="E306" s="2013">
        <f t="shared" ref="E306:N306" si="181">+E307</f>
        <v>0</v>
      </c>
      <c r="F306" s="2013">
        <f t="shared" si="181"/>
        <v>121163250</v>
      </c>
      <c r="G306" s="2013">
        <f t="shared" si="181"/>
        <v>156455250</v>
      </c>
      <c r="H306" s="2108">
        <f t="shared" si="181"/>
        <v>0</v>
      </c>
      <c r="I306" s="2108">
        <f t="shared" si="181"/>
        <v>0</v>
      </c>
      <c r="J306" s="2013"/>
      <c r="K306" s="2013"/>
      <c r="L306" s="2013"/>
      <c r="M306" s="2008">
        <f t="shared" si="181"/>
        <v>277618500</v>
      </c>
      <c r="N306" s="2008">
        <f t="shared" si="181"/>
        <v>156455250</v>
      </c>
      <c r="O306" s="3071"/>
    </row>
    <row r="307" spans="1:17" ht="13.5" customHeight="1">
      <c r="A307" s="3085"/>
      <c r="B307" s="2454" t="s">
        <v>21</v>
      </c>
      <c r="C307" s="3099"/>
      <c r="D307" s="1016">
        <f>E307+F307+G307+H307+I307+J307+K307+L307</f>
        <v>277618500</v>
      </c>
      <c r="E307" s="1977">
        <v>0</v>
      </c>
      <c r="F307" s="1062">
        <f>112200000-35870000+44833250</f>
        <v>121163250</v>
      </c>
      <c r="G307" s="1062">
        <f>96900000-11679000+71234250</f>
        <v>156455250</v>
      </c>
      <c r="H307" s="1519">
        <v>0</v>
      </c>
      <c r="I307" s="1519">
        <f>11764000-11764000</f>
        <v>0</v>
      </c>
      <c r="J307" s="1062"/>
      <c r="K307" s="1062"/>
      <c r="L307" s="1062"/>
      <c r="M307" s="2033">
        <f>SUM(F307:K307)</f>
        <v>277618500</v>
      </c>
      <c r="N307" s="2033">
        <f>SUM(G307:L307)</f>
        <v>156455250</v>
      </c>
      <c r="O307" s="3071"/>
    </row>
    <row r="308" spans="1:17" ht="16.5" customHeight="1">
      <c r="A308" s="3086"/>
      <c r="B308" s="2002" t="s">
        <v>22</v>
      </c>
      <c r="C308" s="2003"/>
      <c r="D308" s="2004">
        <f>+D309+D312</f>
        <v>277618500</v>
      </c>
      <c r="E308" s="2109">
        <f t="shared" ref="E308" si="182">+E309+E312</f>
        <v>0</v>
      </c>
      <c r="F308" s="2109">
        <f t="shared" ref="F308:I308" si="183">+F309+F312</f>
        <v>121163250</v>
      </c>
      <c r="G308" s="2109">
        <f t="shared" si="183"/>
        <v>156455250</v>
      </c>
      <c r="H308" s="2110">
        <f t="shared" si="183"/>
        <v>0</v>
      </c>
      <c r="I308" s="2110">
        <f t="shared" si="183"/>
        <v>0</v>
      </c>
      <c r="J308" s="2109"/>
      <c r="K308" s="2109"/>
      <c r="L308" s="2109"/>
      <c r="M308" s="2830"/>
      <c r="N308" s="2830"/>
      <c r="O308" s="3071"/>
    </row>
    <row r="309" spans="1:17" hidden="1">
      <c r="A309" s="3086"/>
      <c r="B309" s="2011" t="s">
        <v>24</v>
      </c>
      <c r="C309" s="3127" t="s">
        <v>397</v>
      </c>
      <c r="D309" s="52">
        <f>+D311+D310</f>
        <v>0</v>
      </c>
      <c r="E309" s="52">
        <f t="shared" ref="E309" si="184">+E311+E310</f>
        <v>0</v>
      </c>
      <c r="F309" s="52">
        <f t="shared" ref="F309" si="185">+F311+F310</f>
        <v>0</v>
      </c>
      <c r="G309" s="52">
        <f t="shared" ref="G309" si="186">+G311+G310</f>
        <v>0</v>
      </c>
      <c r="H309" s="269">
        <f>+H311+H310</f>
        <v>0</v>
      </c>
      <c r="I309" s="269">
        <f>+I311+I310</f>
        <v>0</v>
      </c>
      <c r="J309" s="52"/>
      <c r="K309" s="52"/>
      <c r="L309" s="52"/>
      <c r="M309" s="2169"/>
      <c r="N309" s="2169"/>
      <c r="O309" s="3071"/>
    </row>
    <row r="310" spans="1:17" ht="13.5" hidden="1" customHeight="1">
      <c r="A310" s="3086"/>
      <c r="B310" s="637" t="s">
        <v>106</v>
      </c>
      <c r="C310" s="3170"/>
      <c r="D310" s="1016">
        <f>E310+F310+G310+H310+I310+J310+K310+L310</f>
        <v>0</v>
      </c>
      <c r="E310" s="52"/>
      <c r="F310" s="1569">
        <f>8419285-8419285</f>
        <v>0</v>
      </c>
      <c r="G310" s="1569">
        <f>8419285-8419285</f>
        <v>0</v>
      </c>
      <c r="H310" s="1570">
        <v>0</v>
      </c>
      <c r="I310" s="269">
        <v>0</v>
      </c>
      <c r="J310" s="52"/>
      <c r="K310" s="52"/>
      <c r="L310" s="52"/>
      <c r="M310" s="2169"/>
      <c r="N310" s="2169"/>
      <c r="O310" s="3071"/>
    </row>
    <row r="311" spans="1:17" ht="12.75" hidden="1" customHeight="1">
      <c r="A311" s="3086"/>
      <c r="B311" s="93" t="s">
        <v>15</v>
      </c>
      <c r="C311" s="3114"/>
      <c r="D311" s="1016">
        <f>SUM(E311:I311)</f>
        <v>0</v>
      </c>
      <c r="E311" s="2036">
        <v>0</v>
      </c>
      <c r="F311" s="97"/>
      <c r="G311" s="97"/>
      <c r="H311" s="1571"/>
      <c r="I311" s="1571"/>
      <c r="J311" s="97"/>
      <c r="K311" s="97"/>
      <c r="L311" s="97"/>
      <c r="M311" s="2169"/>
      <c r="N311" s="2169"/>
      <c r="O311" s="3071"/>
    </row>
    <row r="312" spans="1:17" ht="14.25" customHeight="1">
      <c r="A312" s="3086"/>
      <c r="B312" s="2062" t="s">
        <v>18</v>
      </c>
      <c r="C312" s="3114"/>
      <c r="D312" s="2007">
        <f t="shared" ref="D312:I312" si="187">+D313</f>
        <v>277618500</v>
      </c>
      <c r="E312" s="2013">
        <f t="shared" si="187"/>
        <v>0</v>
      </c>
      <c r="F312" s="2013">
        <f t="shared" si="187"/>
        <v>121163250</v>
      </c>
      <c r="G312" s="2013">
        <f t="shared" si="187"/>
        <v>156455250</v>
      </c>
      <c r="H312" s="2108">
        <f t="shared" si="187"/>
        <v>0</v>
      </c>
      <c r="I312" s="2108">
        <f t="shared" si="187"/>
        <v>0</v>
      </c>
      <c r="J312" s="2013"/>
      <c r="K312" s="2013"/>
      <c r="L312" s="2013"/>
      <c r="M312" s="2169"/>
      <c r="N312" s="2169"/>
      <c r="O312" s="3071"/>
    </row>
    <row r="313" spans="1:17" ht="12.75" customHeight="1" thickBot="1">
      <c r="A313" s="3087"/>
      <c r="B313" s="1054" t="s">
        <v>21</v>
      </c>
      <c r="C313" s="3115"/>
      <c r="D313" s="2195">
        <f>E313+F313+G313+H313+I313+J313+K313+L313</f>
        <v>277618500</v>
      </c>
      <c r="E313" s="2195">
        <v>0</v>
      </c>
      <c r="F313" s="57">
        <f>112200000-35870000+44833250</f>
        <v>121163250</v>
      </c>
      <c r="G313" s="57">
        <f>96900000-11679000+71234250</f>
        <v>156455250</v>
      </c>
      <c r="H313" s="443">
        <v>0</v>
      </c>
      <c r="I313" s="443">
        <f>11764000-11764000</f>
        <v>0</v>
      </c>
      <c r="J313" s="57"/>
      <c r="K313" s="57"/>
      <c r="L313" s="57"/>
      <c r="M313" s="2170"/>
      <c r="N313" s="2170"/>
      <c r="O313" s="3072"/>
    </row>
    <row r="314" spans="1:17" ht="20.25" customHeight="1">
      <c r="A314" s="3117" t="s">
        <v>227</v>
      </c>
      <c r="B314" s="116" t="s">
        <v>237</v>
      </c>
      <c r="C314" s="945"/>
      <c r="D314" s="117"/>
      <c r="E314" s="118"/>
      <c r="F314" s="118"/>
      <c r="G314" s="118"/>
      <c r="H314" s="118"/>
      <c r="I314" s="118"/>
      <c r="J314" s="306"/>
      <c r="K314" s="307"/>
      <c r="L314" s="307"/>
      <c r="M314" s="119"/>
      <c r="N314" s="119"/>
      <c r="O314" s="3109"/>
    </row>
    <row r="315" spans="1:17" s="947" customFormat="1" ht="14.25" customHeight="1">
      <c r="A315" s="3118"/>
      <c r="B315" s="1073" t="s">
        <v>10</v>
      </c>
      <c r="C315" s="91"/>
      <c r="D315" s="120">
        <f>+D316+D319</f>
        <v>47036305</v>
      </c>
      <c r="E315" s="120">
        <f t="shared" ref="E315:N315" si="188">+E316+E319</f>
        <v>843115</v>
      </c>
      <c r="F315" s="120">
        <f t="shared" si="188"/>
        <v>9083400</v>
      </c>
      <c r="G315" s="120">
        <f t="shared" si="188"/>
        <v>29131523</v>
      </c>
      <c r="H315" s="120">
        <f t="shared" si="188"/>
        <v>7896095</v>
      </c>
      <c r="I315" s="120">
        <f t="shared" si="188"/>
        <v>82172</v>
      </c>
      <c r="J315" s="120">
        <f t="shared" si="188"/>
        <v>0</v>
      </c>
      <c r="K315" s="120">
        <f t="shared" si="188"/>
        <v>0</v>
      </c>
      <c r="L315" s="120">
        <f t="shared" si="188"/>
        <v>0</v>
      </c>
      <c r="M315" s="1021">
        <f t="shared" ref="M315" si="189">+M316+M319</f>
        <v>46193190</v>
      </c>
      <c r="N315" s="1021">
        <f t="shared" si="188"/>
        <v>37109790</v>
      </c>
      <c r="O315" s="3110"/>
      <c r="P315" s="480"/>
      <c r="Q315" s="946"/>
    </row>
    <row r="316" spans="1:17" s="948" customFormat="1" ht="13.5" customHeight="1">
      <c r="A316" s="3118"/>
      <c r="B316" s="121" t="s">
        <v>11</v>
      </c>
      <c r="C316" s="122"/>
      <c r="D316" s="1075">
        <f>+D317+D318</f>
        <v>13720469</v>
      </c>
      <c r="E316" s="1075">
        <f>+E317+E318</f>
        <v>510058</v>
      </c>
      <c r="F316" s="1075">
        <f t="shared" ref="F316:L316" si="190">+F317</f>
        <v>2226265</v>
      </c>
      <c r="G316" s="1075">
        <f t="shared" si="190"/>
        <v>9107003</v>
      </c>
      <c r="H316" s="1075">
        <f t="shared" si="190"/>
        <v>1864477</v>
      </c>
      <c r="I316" s="1075">
        <f t="shared" si="190"/>
        <v>12666</v>
      </c>
      <c r="J316" s="1075">
        <f t="shared" si="190"/>
        <v>0</v>
      </c>
      <c r="K316" s="1075">
        <f t="shared" si="190"/>
        <v>0</v>
      </c>
      <c r="L316" s="1075">
        <f t="shared" si="190"/>
        <v>0</v>
      </c>
      <c r="M316" s="694">
        <f>+M317</f>
        <v>13210411</v>
      </c>
      <c r="N316" s="694">
        <f>+N317</f>
        <v>10984146</v>
      </c>
      <c r="O316" s="3110"/>
      <c r="Q316" s="946"/>
    </row>
    <row r="317" spans="1:17" s="947" customFormat="1" ht="11.25" customHeight="1">
      <c r="A317" s="3118"/>
      <c r="B317" s="38" t="s">
        <v>12</v>
      </c>
      <c r="C317" s="39"/>
      <c r="D317" s="1076">
        <f>+D329+D339+D396++D348+D360+D369+D378+D387+D411</f>
        <v>13663466</v>
      </c>
      <c r="E317" s="1076">
        <f t="shared" ref="E317:J317" si="191">+E329+E339+E396++E348+E360+E369+E378+E387+E411</f>
        <v>453055</v>
      </c>
      <c r="F317" s="1076">
        <f t="shared" si="191"/>
        <v>2226265</v>
      </c>
      <c r="G317" s="1076">
        <f t="shared" si="191"/>
        <v>9107003</v>
      </c>
      <c r="H317" s="1076">
        <f t="shared" si="191"/>
        <v>1864477</v>
      </c>
      <c r="I317" s="1076">
        <f t="shared" si="191"/>
        <v>12666</v>
      </c>
      <c r="J317" s="1076">
        <f t="shared" si="191"/>
        <v>0</v>
      </c>
      <c r="K317" s="1076">
        <f t="shared" ref="K317:L317" si="192">+K329+K339+K396++K348+K360+K369+K378+K387</f>
        <v>0</v>
      </c>
      <c r="L317" s="1076">
        <f t="shared" si="192"/>
        <v>0</v>
      </c>
      <c r="M317" s="1047">
        <f>SUM(F317:K317)</f>
        <v>13210411</v>
      </c>
      <c r="N317" s="1047">
        <f>SUM(G317:L317)</f>
        <v>10984146</v>
      </c>
      <c r="O317" s="3110"/>
      <c r="P317" s="946"/>
      <c r="Q317" s="946"/>
    </row>
    <row r="318" spans="1:17" s="947" customFormat="1" ht="11.25" customHeight="1">
      <c r="A318" s="3118"/>
      <c r="B318" s="38" t="s">
        <v>15</v>
      </c>
      <c r="C318" s="39"/>
      <c r="D318" s="1076">
        <f>+D349</f>
        <v>57003</v>
      </c>
      <c r="E318" s="1076">
        <f t="shared" ref="E318:L318" si="193">+E349</f>
        <v>57003</v>
      </c>
      <c r="F318" s="1076">
        <f t="shared" si="193"/>
        <v>0</v>
      </c>
      <c r="G318" s="1076">
        <f t="shared" si="193"/>
        <v>0</v>
      </c>
      <c r="H318" s="1076">
        <f t="shared" si="193"/>
        <v>0</v>
      </c>
      <c r="I318" s="1076">
        <f t="shared" si="193"/>
        <v>0</v>
      </c>
      <c r="J318" s="1076">
        <f t="shared" si="193"/>
        <v>0</v>
      </c>
      <c r="K318" s="1076">
        <f t="shared" si="193"/>
        <v>0</v>
      </c>
      <c r="L318" s="1076">
        <f t="shared" si="193"/>
        <v>0</v>
      </c>
      <c r="M318" s="1047">
        <f>SUM(F318:K318)</f>
        <v>0</v>
      </c>
      <c r="N318" s="1047">
        <f>SUM(G318:L318)</f>
        <v>0</v>
      </c>
      <c r="O318" s="3110"/>
      <c r="P318" s="946"/>
      <c r="Q318" s="946"/>
    </row>
    <row r="319" spans="1:17" s="948" customFormat="1" ht="13.5" customHeight="1">
      <c r="A319" s="3118"/>
      <c r="B319" s="1077" t="s">
        <v>100</v>
      </c>
      <c r="C319" s="1078"/>
      <c r="D319" s="1079">
        <f>+D320</f>
        <v>33315836</v>
      </c>
      <c r="E319" s="1079">
        <f t="shared" ref="E319:L319" si="194">+E320</f>
        <v>333057</v>
      </c>
      <c r="F319" s="1079">
        <f t="shared" si="194"/>
        <v>6857135</v>
      </c>
      <c r="G319" s="1079">
        <f t="shared" si="194"/>
        <v>20024520</v>
      </c>
      <c r="H319" s="1079">
        <f t="shared" si="194"/>
        <v>6031618</v>
      </c>
      <c r="I319" s="1079">
        <f t="shared" si="194"/>
        <v>69506</v>
      </c>
      <c r="J319" s="1079">
        <f t="shared" si="194"/>
        <v>0</v>
      </c>
      <c r="K319" s="1079">
        <f t="shared" si="194"/>
        <v>0</v>
      </c>
      <c r="L319" s="1079">
        <f t="shared" si="194"/>
        <v>0</v>
      </c>
      <c r="M319" s="694">
        <f>+M320</f>
        <v>32982779</v>
      </c>
      <c r="N319" s="694">
        <f>+N320</f>
        <v>26125644</v>
      </c>
      <c r="O319" s="3110"/>
      <c r="Q319" s="946"/>
    </row>
    <row r="320" spans="1:17" s="947" customFormat="1" ht="12.75" customHeight="1">
      <c r="A320" s="3118"/>
      <c r="B320" s="38" t="s">
        <v>20</v>
      </c>
      <c r="C320" s="39"/>
      <c r="D320" s="1076">
        <f>+D331+D341+D401+D351+D362+D371+D380+D389+D416</f>
        <v>33315836</v>
      </c>
      <c r="E320" s="1076">
        <f t="shared" ref="E320:K320" si="195">+E331+E341+E401+E351+E362+E371+E380+E389+E416</f>
        <v>333057</v>
      </c>
      <c r="F320" s="1076">
        <f t="shared" si="195"/>
        <v>6857135</v>
      </c>
      <c r="G320" s="1076">
        <f t="shared" si="195"/>
        <v>20024520</v>
      </c>
      <c r="H320" s="1076">
        <f t="shared" si="195"/>
        <v>6031618</v>
      </c>
      <c r="I320" s="1076">
        <f t="shared" si="195"/>
        <v>69506</v>
      </c>
      <c r="J320" s="1076">
        <f t="shared" si="195"/>
        <v>0</v>
      </c>
      <c r="K320" s="1076">
        <f t="shared" si="195"/>
        <v>0</v>
      </c>
      <c r="L320" s="1076">
        <f t="shared" ref="L320" si="196">+L331+L341+L401+L351+L362+L371+L380+L389</f>
        <v>0</v>
      </c>
      <c r="M320" s="1047">
        <f>SUM(F320:K320)</f>
        <v>32982779</v>
      </c>
      <c r="N320" s="1047">
        <f>SUM(G320:L320)</f>
        <v>26125644</v>
      </c>
      <c r="O320" s="3110"/>
      <c r="P320" s="946"/>
      <c r="Q320" s="946"/>
    </row>
    <row r="321" spans="1:16" s="947" customFormat="1" ht="12" customHeight="1">
      <c r="A321" s="3119"/>
      <c r="B321" s="715" t="s">
        <v>22</v>
      </c>
      <c r="C321" s="813"/>
      <c r="D321" s="1045">
        <f>+D324+D322</f>
        <v>33372839</v>
      </c>
      <c r="E321" s="1045">
        <f t="shared" ref="E321:L321" si="197">+E324+E322</f>
        <v>57003</v>
      </c>
      <c r="F321" s="1045">
        <f t="shared" si="197"/>
        <v>45897</v>
      </c>
      <c r="G321" s="1045">
        <f t="shared" si="197"/>
        <v>17908775</v>
      </c>
      <c r="H321" s="1045">
        <f t="shared" si="197"/>
        <v>12227102</v>
      </c>
      <c r="I321" s="1045">
        <f t="shared" si="197"/>
        <v>3134062</v>
      </c>
      <c r="J321" s="1045">
        <f t="shared" si="197"/>
        <v>0</v>
      </c>
      <c r="K321" s="1045">
        <f t="shared" si="197"/>
        <v>0</v>
      </c>
      <c r="L321" s="1045">
        <f t="shared" si="197"/>
        <v>0</v>
      </c>
      <c r="M321" s="3061" t="s">
        <v>23</v>
      </c>
      <c r="N321" s="3061" t="s">
        <v>23</v>
      </c>
      <c r="O321" s="124"/>
      <c r="P321" s="946"/>
    </row>
    <row r="322" spans="1:16" s="947" customFormat="1" ht="12" customHeight="1">
      <c r="A322" s="3119"/>
      <c r="B322" s="121" t="s">
        <v>24</v>
      </c>
      <c r="C322" s="122"/>
      <c r="D322" s="1075">
        <f>+D323</f>
        <v>57003</v>
      </c>
      <c r="E322" s="1075">
        <v>57003</v>
      </c>
      <c r="F322" s="1075"/>
      <c r="G322" s="1075"/>
      <c r="H322" s="1075"/>
      <c r="I322" s="1075"/>
      <c r="J322" s="1075"/>
      <c r="K322" s="1075"/>
      <c r="L322" s="1075"/>
      <c r="M322" s="3024"/>
      <c r="N322" s="3024"/>
      <c r="O322" s="124"/>
      <c r="P322" s="946"/>
    </row>
    <row r="323" spans="1:16" s="947" customFormat="1" ht="12" customHeight="1">
      <c r="A323" s="3119"/>
      <c r="B323" s="38" t="s">
        <v>15</v>
      </c>
      <c r="C323" s="39"/>
      <c r="D323" s="1076">
        <f>+D354</f>
        <v>57003</v>
      </c>
      <c r="E323" s="1076">
        <f>+E349</f>
        <v>57003</v>
      </c>
      <c r="F323" s="1076">
        <f>+F349</f>
        <v>0</v>
      </c>
      <c r="G323" s="1076">
        <f t="shared" ref="G323:K323" si="198">+G349</f>
        <v>0</v>
      </c>
      <c r="H323" s="1076">
        <f t="shared" si="198"/>
        <v>0</v>
      </c>
      <c r="I323" s="1076">
        <f t="shared" si="198"/>
        <v>0</v>
      </c>
      <c r="J323" s="1076">
        <f t="shared" si="198"/>
        <v>0</v>
      </c>
      <c r="K323" s="1076">
        <f t="shared" si="198"/>
        <v>0</v>
      </c>
      <c r="L323" s="1076">
        <f t="shared" ref="L323" si="199">+L354</f>
        <v>0</v>
      </c>
      <c r="M323" s="3024"/>
      <c r="N323" s="3024"/>
      <c r="O323" s="124"/>
      <c r="P323" s="946"/>
    </row>
    <row r="324" spans="1:16" s="947" customFormat="1" ht="12.75" customHeight="1">
      <c r="A324" s="3119"/>
      <c r="B324" s="1080" t="s">
        <v>18</v>
      </c>
      <c r="C324" s="949"/>
      <c r="D324" s="125">
        <f>+D325</f>
        <v>33315836</v>
      </c>
      <c r="E324" s="125">
        <v>0</v>
      </c>
      <c r="F324" s="125">
        <f t="shared" ref="F324:I324" si="200">+F325</f>
        <v>45897</v>
      </c>
      <c r="G324" s="125">
        <f t="shared" si="200"/>
        <v>17908775</v>
      </c>
      <c r="H324" s="125">
        <f t="shared" si="200"/>
        <v>12227102</v>
      </c>
      <c r="I324" s="125">
        <f t="shared" si="200"/>
        <v>3134062</v>
      </c>
      <c r="J324" s="125">
        <f>+J325</f>
        <v>0</v>
      </c>
      <c r="K324" s="125">
        <f>+K325</f>
        <v>0</v>
      </c>
      <c r="L324" s="125">
        <f>+L325</f>
        <v>0</v>
      </c>
      <c r="M324" s="3024"/>
      <c r="N324" s="3024"/>
      <c r="O324" s="2981"/>
      <c r="P324" s="946"/>
    </row>
    <row r="325" spans="1:16" s="947" customFormat="1" ht="13.5" customHeight="1" thickBot="1">
      <c r="A325" s="3120"/>
      <c r="B325" s="950" t="s">
        <v>20</v>
      </c>
      <c r="C325" s="951"/>
      <c r="D325" s="126">
        <f>+D334+D344+D407+D356+D365+D374+D383+D392+D422</f>
        <v>33315836</v>
      </c>
      <c r="E325" s="126">
        <f t="shared" ref="E325:L325" si="201">+E334+E344+E407+E356+E365+E374+E383+E392+E422</f>
        <v>0</v>
      </c>
      <c r="F325" s="126">
        <f t="shared" si="201"/>
        <v>45897</v>
      </c>
      <c r="G325" s="126">
        <f t="shared" si="201"/>
        <v>17908775</v>
      </c>
      <c r="H325" s="126">
        <f t="shared" si="201"/>
        <v>12227102</v>
      </c>
      <c r="I325" s="126">
        <f t="shared" si="201"/>
        <v>3134062</v>
      </c>
      <c r="J325" s="126">
        <f t="shared" si="201"/>
        <v>0</v>
      </c>
      <c r="K325" s="126">
        <f t="shared" si="201"/>
        <v>0</v>
      </c>
      <c r="L325" s="126">
        <f t="shared" si="201"/>
        <v>0</v>
      </c>
      <c r="M325" s="3025"/>
      <c r="N325" s="3025"/>
      <c r="O325" s="127"/>
      <c r="P325" s="946">
        <f>D325-D320</f>
        <v>0</v>
      </c>
    </row>
    <row r="326" spans="1:16" ht="13.5" hidden="1" thickBot="1">
      <c r="A326" s="3084"/>
      <c r="B326" s="284"/>
      <c r="C326" s="58" t="s">
        <v>81</v>
      </c>
      <c r="D326" s="130"/>
      <c r="E326" s="42"/>
      <c r="F326" s="44"/>
      <c r="G326" s="44"/>
      <c r="H326" s="290"/>
      <c r="I326" s="43"/>
      <c r="J326" s="290"/>
      <c r="K326" s="290"/>
      <c r="L326" s="290"/>
      <c r="M326" s="291"/>
      <c r="N326" s="291"/>
      <c r="O326" s="3037" t="s">
        <v>101</v>
      </c>
    </row>
    <row r="327" spans="1:16" ht="13.5" hidden="1" thickBot="1">
      <c r="A327" s="3085"/>
      <c r="B327" s="21" t="s">
        <v>10</v>
      </c>
      <c r="C327" s="22"/>
      <c r="D327" s="128">
        <f>+D328+D330</f>
        <v>0</v>
      </c>
      <c r="E327" s="128">
        <v>0</v>
      </c>
      <c r="F327" s="128"/>
      <c r="G327" s="128"/>
      <c r="H327" s="128"/>
      <c r="I327" s="128"/>
      <c r="J327" s="128"/>
      <c r="K327" s="128"/>
      <c r="L327" s="128"/>
      <c r="M327" s="65">
        <f>+M328+M330</f>
        <v>0</v>
      </c>
      <c r="N327" s="65">
        <f>+N328+N330</f>
        <v>0</v>
      </c>
      <c r="O327" s="3038"/>
    </row>
    <row r="328" spans="1:16" ht="13.5" hidden="1" thickBot="1">
      <c r="A328" s="3085"/>
      <c r="B328" s="173" t="s">
        <v>24</v>
      </c>
      <c r="C328" s="3050" t="s">
        <v>84</v>
      </c>
      <c r="D328" s="129">
        <f>+D329</f>
        <v>0</v>
      </c>
      <c r="E328" s="129">
        <v>0</v>
      </c>
      <c r="F328" s="129"/>
      <c r="G328" s="129"/>
      <c r="H328" s="129"/>
      <c r="I328" s="129"/>
      <c r="J328" s="129"/>
      <c r="K328" s="129"/>
      <c r="L328" s="129"/>
      <c r="M328" s="79">
        <f>+M329</f>
        <v>0</v>
      </c>
      <c r="N328" s="79">
        <f>+N329</f>
        <v>0</v>
      </c>
      <c r="O328" s="3038"/>
    </row>
    <row r="329" spans="1:16" ht="13.5" hidden="1" thickBot="1">
      <c r="A329" s="3085"/>
      <c r="B329" s="450" t="s">
        <v>12</v>
      </c>
      <c r="C329" s="3046"/>
      <c r="D329" s="249">
        <f>E329+F329+G329+H329+I329+J329+K329+L329</f>
        <v>0</v>
      </c>
      <c r="E329" s="286">
        <v>0</v>
      </c>
      <c r="F329" s="87"/>
      <c r="G329" s="87"/>
      <c r="H329" s="87"/>
      <c r="I329" s="87"/>
      <c r="J329" s="87"/>
      <c r="K329" s="87"/>
      <c r="L329" s="87"/>
      <c r="M329" s="36">
        <f>SUM(E329:H329)</f>
        <v>0</v>
      </c>
      <c r="N329" s="36">
        <f>SUM(F329:I329)</f>
        <v>0</v>
      </c>
      <c r="O329" s="3038"/>
    </row>
    <row r="330" spans="1:16" ht="12.75" hidden="1" customHeight="1">
      <c r="A330" s="3085"/>
      <c r="B330" s="488" t="s">
        <v>18</v>
      </c>
      <c r="C330" s="3046"/>
      <c r="D330" s="49">
        <f>+D331</f>
        <v>0</v>
      </c>
      <c r="E330" s="49">
        <v>0</v>
      </c>
      <c r="F330" s="49"/>
      <c r="G330" s="49"/>
      <c r="H330" s="49"/>
      <c r="I330" s="49"/>
      <c r="J330" s="49"/>
      <c r="K330" s="49"/>
      <c r="L330" s="49"/>
      <c r="M330" s="79">
        <f>+M331</f>
        <v>0</v>
      </c>
      <c r="N330" s="79">
        <f>+N331</f>
        <v>0</v>
      </c>
      <c r="O330" s="3038"/>
    </row>
    <row r="331" spans="1:16" ht="13.5" hidden="1" thickBot="1">
      <c r="A331" s="3085"/>
      <c r="B331" s="937" t="s">
        <v>238</v>
      </c>
      <c r="C331" s="3111"/>
      <c r="D331" s="249">
        <f>E331+F331+G331+H331+I331+J331+K331+L331</f>
        <v>0</v>
      </c>
      <c r="E331" s="286"/>
      <c r="F331" s="87"/>
      <c r="G331" s="87"/>
      <c r="H331" s="87"/>
      <c r="I331" s="87"/>
      <c r="J331" s="87"/>
      <c r="K331" s="87"/>
      <c r="L331" s="87"/>
      <c r="M331" s="36">
        <f>SUM(E331:H331)</f>
        <v>0</v>
      </c>
      <c r="N331" s="36">
        <f>SUM(F331:I331)</f>
        <v>0</v>
      </c>
      <c r="O331" s="3052"/>
      <c r="P331" s="480"/>
    </row>
    <row r="332" spans="1:16" ht="10.5" hidden="1" customHeight="1">
      <c r="A332" s="3086"/>
      <c r="B332" s="21" t="s">
        <v>22</v>
      </c>
      <c r="C332" s="22"/>
      <c r="D332" s="199">
        <f>+D333</f>
        <v>0</v>
      </c>
      <c r="E332" s="199">
        <v>0</v>
      </c>
      <c r="F332" s="199"/>
      <c r="G332" s="199"/>
      <c r="H332" s="199"/>
      <c r="I332" s="199"/>
      <c r="J332" s="199"/>
      <c r="K332" s="199"/>
      <c r="L332" s="199"/>
      <c r="M332" s="3026" t="s">
        <v>23</v>
      </c>
      <c r="N332" s="3026" t="s">
        <v>23</v>
      </c>
      <c r="O332" s="3070" t="s">
        <v>102</v>
      </c>
    </row>
    <row r="333" spans="1:16" s="267" customFormat="1" ht="12.75" hidden="1" customHeight="1">
      <c r="A333" s="3086"/>
      <c r="B333" s="488" t="s">
        <v>18</v>
      </c>
      <c r="C333" s="3050" t="s">
        <v>84</v>
      </c>
      <c r="D333" s="830">
        <f>+D334</f>
        <v>0</v>
      </c>
      <c r="E333" s="932">
        <v>0</v>
      </c>
      <c r="F333" s="830"/>
      <c r="G333" s="830"/>
      <c r="H333" s="830"/>
      <c r="I333" s="830"/>
      <c r="J333" s="830"/>
      <c r="K333" s="830"/>
      <c r="L333" s="830"/>
      <c r="M333" s="3024"/>
      <c r="N333" s="3024"/>
      <c r="O333" s="3071"/>
    </row>
    <row r="334" spans="1:16" ht="12" hidden="1" customHeight="1" thickBot="1">
      <c r="A334" s="3087"/>
      <c r="B334" s="55" t="s">
        <v>20</v>
      </c>
      <c r="C334" s="3074"/>
      <c r="D334" s="249">
        <f>E334+F334+G334+H334+I334+J334+K334+L334</f>
        <v>0</v>
      </c>
      <c r="E334" s="286">
        <v>0</v>
      </c>
      <c r="F334" s="72"/>
      <c r="G334" s="72"/>
      <c r="H334" s="72"/>
      <c r="I334" s="72"/>
      <c r="J334" s="72"/>
      <c r="K334" s="72"/>
      <c r="L334" s="72"/>
      <c r="M334" s="3025"/>
      <c r="N334" s="3025"/>
      <c r="O334" s="3072"/>
    </row>
    <row r="335" spans="1:16" ht="20.25" customHeight="1" thickBot="1">
      <c r="A335" s="292"/>
      <c r="B335" s="282" t="s">
        <v>239</v>
      </c>
      <c r="C335" s="207"/>
      <c r="D335" s="952"/>
      <c r="E335" s="206"/>
      <c r="F335" s="953"/>
      <c r="G335" s="953"/>
      <c r="H335" s="954"/>
      <c r="I335" s="208"/>
      <c r="J335" s="954"/>
      <c r="K335" s="954"/>
      <c r="L335" s="954"/>
      <c r="M335" s="293"/>
      <c r="N335" s="293"/>
      <c r="O335" s="294"/>
    </row>
    <row r="336" spans="1:16" ht="28.5" customHeight="1">
      <c r="A336" s="3084" t="s">
        <v>94</v>
      </c>
      <c r="B336" s="284" t="s">
        <v>357</v>
      </c>
      <c r="C336" s="58" t="s">
        <v>81</v>
      </c>
      <c r="D336" s="130"/>
      <c r="E336" s="42"/>
      <c r="F336" s="44"/>
      <c r="G336" s="44"/>
      <c r="H336" s="239"/>
      <c r="I336" s="43"/>
      <c r="J336" s="239"/>
      <c r="K336" s="239"/>
      <c r="L336" s="239"/>
      <c r="M336" s="62"/>
      <c r="N336" s="62"/>
      <c r="O336" s="3037" t="s">
        <v>86</v>
      </c>
      <c r="P336" s="235" t="s">
        <v>308</v>
      </c>
    </row>
    <row r="337" spans="1:16">
      <c r="A337" s="3085"/>
      <c r="B337" s="715" t="s">
        <v>10</v>
      </c>
      <c r="C337" s="2003"/>
      <c r="D337" s="2040">
        <f>+D338+D340</f>
        <v>13000000</v>
      </c>
      <c r="E337" s="2040">
        <f t="shared" ref="E337" si="202">+E338+E340</f>
        <v>20256</v>
      </c>
      <c r="F337" s="2040">
        <f>+F338+F340</f>
        <v>8627420</v>
      </c>
      <c r="G337" s="2040">
        <f>+G338+G340</f>
        <v>4352324</v>
      </c>
      <c r="H337" s="2040"/>
      <c r="I337" s="2040"/>
      <c r="J337" s="2040"/>
      <c r="K337" s="2040"/>
      <c r="L337" s="2040"/>
      <c r="M337" s="2005">
        <f>+M338+M340</f>
        <v>12979744</v>
      </c>
      <c r="N337" s="2005">
        <f>+N338+N340</f>
        <v>4352324</v>
      </c>
      <c r="O337" s="3038"/>
    </row>
    <row r="338" spans="1:16">
      <c r="A338" s="3085"/>
      <c r="B338" s="681" t="s">
        <v>24</v>
      </c>
      <c r="C338" s="3040" t="s">
        <v>84</v>
      </c>
      <c r="D338" s="2041">
        <f>+D339</f>
        <v>5392942</v>
      </c>
      <c r="E338" s="2041">
        <f t="shared" ref="E338:G338" si="203">+E339</f>
        <v>20256</v>
      </c>
      <c r="F338" s="2041">
        <f t="shared" si="203"/>
        <v>2106885</v>
      </c>
      <c r="G338" s="2041">
        <f t="shared" si="203"/>
        <v>3265801</v>
      </c>
      <c r="H338" s="2041"/>
      <c r="I338" s="2041"/>
      <c r="J338" s="2041"/>
      <c r="K338" s="2041"/>
      <c r="L338" s="2041"/>
      <c r="M338" s="2008">
        <f>+M339</f>
        <v>5372686</v>
      </c>
      <c r="N338" s="2008">
        <f>+N339</f>
        <v>3265801</v>
      </c>
      <c r="O338" s="3038"/>
    </row>
    <row r="339" spans="1:16">
      <c r="A339" s="3085"/>
      <c r="B339" s="1055" t="s">
        <v>12</v>
      </c>
      <c r="C339" s="3046"/>
      <c r="D339" s="1913">
        <f>E339+F339+G339+H339+I339+J339+K339+L339</f>
        <v>5392942</v>
      </c>
      <c r="E339" s="1977">
        <f>20256</f>
        <v>20256</v>
      </c>
      <c r="F339" s="2031">
        <f>1743624+383940+1505122+240000-1765801</f>
        <v>2106885</v>
      </c>
      <c r="G339" s="2031">
        <v>3265801</v>
      </c>
      <c r="H339" s="2031"/>
      <c r="I339" s="2031"/>
      <c r="J339" s="2031"/>
      <c r="K339" s="2031"/>
      <c r="L339" s="2031"/>
      <c r="M339" s="2033">
        <f>SUM(F339:K339)</f>
        <v>5372686</v>
      </c>
      <c r="N339" s="2033">
        <f>SUM(G339:L339)</f>
        <v>3265801</v>
      </c>
      <c r="O339" s="3038"/>
    </row>
    <row r="340" spans="1:16">
      <c r="A340" s="3085"/>
      <c r="B340" s="1051" t="s">
        <v>18</v>
      </c>
      <c r="C340" s="3046"/>
      <c r="D340" s="2007">
        <f>+D341</f>
        <v>7607058</v>
      </c>
      <c r="E340" s="2445">
        <f t="shared" ref="E340:G340" si="204">+E341</f>
        <v>0</v>
      </c>
      <c r="F340" s="2007">
        <f t="shared" si="204"/>
        <v>6520535</v>
      </c>
      <c r="G340" s="2007">
        <f t="shared" si="204"/>
        <v>1086523</v>
      </c>
      <c r="H340" s="2007"/>
      <c r="I340" s="2007"/>
      <c r="J340" s="2007"/>
      <c r="K340" s="2007"/>
      <c r="L340" s="2007"/>
      <c r="M340" s="2008">
        <f>+M341</f>
        <v>7607058</v>
      </c>
      <c r="N340" s="2008">
        <f>+N341</f>
        <v>1086523</v>
      </c>
      <c r="O340" s="3038"/>
    </row>
    <row r="341" spans="1:16">
      <c r="A341" s="3085"/>
      <c r="B341" s="2446" t="s">
        <v>238</v>
      </c>
      <c r="C341" s="3111"/>
      <c r="D341" s="1913">
        <f>E341+F341+G341+H341+I341+J341+K341+L341</f>
        <v>7607058</v>
      </c>
      <c r="E341" s="2049">
        <v>0</v>
      </c>
      <c r="F341" s="2031">
        <f>5576376+1196060+74622+760000-1086523</f>
        <v>6520535</v>
      </c>
      <c r="G341" s="2031">
        <v>1086523</v>
      </c>
      <c r="H341" s="2031"/>
      <c r="I341" s="2031"/>
      <c r="J341" s="2031"/>
      <c r="K341" s="2031"/>
      <c r="L341" s="2031"/>
      <c r="M341" s="2033">
        <f>SUM(F341:K341)</f>
        <v>7607058</v>
      </c>
      <c r="N341" s="2033">
        <f>SUM(G341:L341)</f>
        <v>1086523</v>
      </c>
      <c r="O341" s="3052"/>
      <c r="P341" s="480"/>
    </row>
    <row r="342" spans="1:16">
      <c r="A342" s="3086"/>
      <c r="B342" s="715" t="s">
        <v>22</v>
      </c>
      <c r="C342" s="2003"/>
      <c r="D342" s="2004">
        <f>+D343</f>
        <v>7607058</v>
      </c>
      <c r="E342" s="2447">
        <f t="shared" ref="E342:G343" si="205">+E343</f>
        <v>0</v>
      </c>
      <c r="F342" s="2447">
        <f t="shared" si="205"/>
        <v>0</v>
      </c>
      <c r="G342" s="2004">
        <f t="shared" si="205"/>
        <v>7607058</v>
      </c>
      <c r="H342" s="2004"/>
      <c r="I342" s="2004"/>
      <c r="J342" s="2004"/>
      <c r="K342" s="2004"/>
      <c r="L342" s="2004"/>
      <c r="M342" s="3023" t="s">
        <v>23</v>
      </c>
      <c r="N342" s="3023" t="s">
        <v>23</v>
      </c>
      <c r="O342" s="3089" t="s">
        <v>102</v>
      </c>
      <c r="P342" s="480"/>
    </row>
    <row r="343" spans="1:16" s="267" customFormat="1" ht="12.75" customHeight="1">
      <c r="A343" s="3086"/>
      <c r="B343" s="1051" t="s">
        <v>18</v>
      </c>
      <c r="C343" s="3040" t="s">
        <v>84</v>
      </c>
      <c r="D343" s="2037">
        <f>+D344</f>
        <v>7607058</v>
      </c>
      <c r="E343" s="2455">
        <v>0</v>
      </c>
      <c r="F343" s="2455">
        <f t="shared" si="205"/>
        <v>0</v>
      </c>
      <c r="G343" s="2045">
        <f t="shared" si="205"/>
        <v>7607058</v>
      </c>
      <c r="H343" s="2037"/>
      <c r="I343" s="2037"/>
      <c r="J343" s="2037"/>
      <c r="K343" s="2037"/>
      <c r="L343" s="2037"/>
      <c r="M343" s="3024"/>
      <c r="N343" s="3024"/>
      <c r="O343" s="3071"/>
    </row>
    <row r="344" spans="1:16" ht="12" customHeight="1" thickBot="1">
      <c r="A344" s="3087"/>
      <c r="B344" s="891" t="s">
        <v>20</v>
      </c>
      <c r="C344" s="3074"/>
      <c r="D344" s="2195">
        <f>E344+F344+G344+H344+I344+J344+K344+L344</f>
        <v>7607058</v>
      </c>
      <c r="E344" s="2456">
        <v>0</v>
      </c>
      <c r="F344" s="2458">
        <v>0</v>
      </c>
      <c r="G344" s="2457">
        <f>2861124+4745934</f>
        <v>7607058</v>
      </c>
      <c r="H344" s="2457"/>
      <c r="I344" s="2457"/>
      <c r="J344" s="2457"/>
      <c r="K344" s="2457"/>
      <c r="L344" s="2457"/>
      <c r="M344" s="3025"/>
      <c r="N344" s="3025"/>
      <c r="O344" s="3072"/>
    </row>
    <row r="345" spans="1:16" ht="24">
      <c r="A345" s="3084" t="s">
        <v>95</v>
      </c>
      <c r="B345" s="284" t="s">
        <v>462</v>
      </c>
      <c r="C345" s="58" t="s">
        <v>81</v>
      </c>
      <c r="D345" s="130"/>
      <c r="E345" s="42"/>
      <c r="F345" s="44"/>
      <c r="G345" s="44"/>
      <c r="H345" s="239"/>
      <c r="I345" s="43"/>
      <c r="J345" s="239"/>
      <c r="K345" s="239"/>
      <c r="L345" s="239"/>
      <c r="M345" s="62"/>
      <c r="N345" s="62"/>
      <c r="O345" s="3037" t="s">
        <v>86</v>
      </c>
      <c r="P345" s="235" t="s">
        <v>308</v>
      </c>
    </row>
    <row r="346" spans="1:16">
      <c r="A346" s="3085"/>
      <c r="B346" s="715" t="s">
        <v>10</v>
      </c>
      <c r="C346" s="2039"/>
      <c r="D346" s="2040">
        <f>+D347+D350</f>
        <v>8417660</v>
      </c>
      <c r="E346" s="2040">
        <f t="shared" ref="E346" si="206">+E347+E350</f>
        <v>395660</v>
      </c>
      <c r="F346" s="2040">
        <f t="shared" ref="F346:G346" si="207">+F347+F350</f>
        <v>0</v>
      </c>
      <c r="G346" s="2040">
        <f t="shared" si="207"/>
        <v>8022000</v>
      </c>
      <c r="H346" s="2040"/>
      <c r="I346" s="2040"/>
      <c r="J346" s="2040"/>
      <c r="K346" s="2040"/>
      <c r="L346" s="2040"/>
      <c r="M346" s="1935">
        <f>+M347+M350</f>
        <v>8022000</v>
      </c>
      <c r="N346" s="1935">
        <f>+N347+N350</f>
        <v>8022000</v>
      </c>
      <c r="O346" s="3038"/>
    </row>
    <row r="347" spans="1:16">
      <c r="A347" s="3085"/>
      <c r="B347" s="681" t="s">
        <v>24</v>
      </c>
      <c r="C347" s="3040" t="s">
        <v>84</v>
      </c>
      <c r="D347" s="2041">
        <f>+D348+D349</f>
        <v>2306501</v>
      </c>
      <c r="E347" s="2041">
        <f t="shared" ref="E347" si="208">+E348+E349</f>
        <v>395660</v>
      </c>
      <c r="F347" s="2044">
        <v>0</v>
      </c>
      <c r="G347" s="2041">
        <f>+G348+G349</f>
        <v>1910841</v>
      </c>
      <c r="H347" s="2041"/>
      <c r="I347" s="2041"/>
      <c r="J347" s="2041"/>
      <c r="K347" s="2041"/>
      <c r="L347" s="2041"/>
      <c r="M347" s="2008">
        <f>+M348</f>
        <v>1910841</v>
      </c>
      <c r="N347" s="2008">
        <f>+N348</f>
        <v>1910841</v>
      </c>
      <c r="O347" s="3038"/>
    </row>
    <row r="348" spans="1:16">
      <c r="A348" s="3085"/>
      <c r="B348" s="1055" t="s">
        <v>12</v>
      </c>
      <c r="C348" s="3046"/>
      <c r="D348" s="1913">
        <f>E348+F348+G348+H348+I348+J348+K348+L348</f>
        <v>2249498</v>
      </c>
      <c r="E348" s="1977">
        <v>338657</v>
      </c>
      <c r="F348" s="2042">
        <v>0</v>
      </c>
      <c r="G348" s="2031">
        <f>1887021+23820</f>
        <v>1910841</v>
      </c>
      <c r="H348" s="2031"/>
      <c r="I348" s="2031"/>
      <c r="J348" s="2031"/>
      <c r="K348" s="2031"/>
      <c r="L348" s="2031"/>
      <c r="M348" s="1047">
        <f>SUM(F348:K348)</f>
        <v>1910841</v>
      </c>
      <c r="N348" s="1047">
        <f>SUM(G348:L348)</f>
        <v>1910841</v>
      </c>
      <c r="O348" s="3038"/>
    </row>
    <row r="349" spans="1:16" ht="12" customHeight="1">
      <c r="A349" s="3085"/>
      <c r="B349" s="1055" t="s">
        <v>15</v>
      </c>
      <c r="C349" s="3046"/>
      <c r="D349" s="1913">
        <f>E349+F349+G349+H349+I349+J349+K349+L349</f>
        <v>57003</v>
      </c>
      <c r="E349" s="1977">
        <v>57003</v>
      </c>
      <c r="F349" s="2042">
        <v>0</v>
      </c>
      <c r="G349" s="2042">
        <v>0</v>
      </c>
      <c r="H349" s="2042"/>
      <c r="I349" s="2042"/>
      <c r="J349" s="2042"/>
      <c r="K349" s="2042"/>
      <c r="L349" s="2042"/>
      <c r="M349" s="1047">
        <f>SUM(F349:K349)</f>
        <v>0</v>
      </c>
      <c r="N349" s="1047">
        <f>SUM(G349:L349)</f>
        <v>0</v>
      </c>
      <c r="O349" s="3038"/>
    </row>
    <row r="350" spans="1:16">
      <c r="A350" s="3085"/>
      <c r="B350" s="1051" t="s">
        <v>18</v>
      </c>
      <c r="C350" s="3046"/>
      <c r="D350" s="2007">
        <f>+D351</f>
        <v>6111159</v>
      </c>
      <c r="E350" s="2007">
        <f t="shared" ref="E350:G350" si="209">+E351</f>
        <v>0</v>
      </c>
      <c r="F350" s="2044">
        <v>0</v>
      </c>
      <c r="G350" s="2007">
        <f t="shared" si="209"/>
        <v>6111159</v>
      </c>
      <c r="H350" s="2007"/>
      <c r="I350" s="2007"/>
      <c r="J350" s="2007"/>
      <c r="K350" s="2007"/>
      <c r="L350" s="2007"/>
      <c r="M350" s="2008">
        <f>+M351</f>
        <v>6111159</v>
      </c>
      <c r="N350" s="2008">
        <f>+N351</f>
        <v>6111159</v>
      </c>
      <c r="O350" s="3038"/>
    </row>
    <row r="351" spans="1:16" ht="12" customHeight="1">
      <c r="A351" s="3085"/>
      <c r="B351" s="2043" t="s">
        <v>238</v>
      </c>
      <c r="C351" s="3111"/>
      <c r="D351" s="1913">
        <f>E351+F351+G351+H351+I351+J351+K351+L351</f>
        <v>6111159</v>
      </c>
      <c r="E351" s="1977">
        <v>0</v>
      </c>
      <c r="F351" s="2042">
        <v>0</v>
      </c>
      <c r="G351" s="2031">
        <f>6034979+76180</f>
        <v>6111159</v>
      </c>
      <c r="H351" s="2031"/>
      <c r="I351" s="2031"/>
      <c r="J351" s="2031"/>
      <c r="K351" s="2031"/>
      <c r="L351" s="2031"/>
      <c r="M351" s="1047">
        <f>SUM(F351:K351)</f>
        <v>6111159</v>
      </c>
      <c r="N351" s="1047">
        <f>SUM(G351:L351)</f>
        <v>6111159</v>
      </c>
      <c r="O351" s="3052"/>
      <c r="P351" s="480"/>
    </row>
    <row r="352" spans="1:16" ht="11.25" customHeight="1">
      <c r="A352" s="3086"/>
      <c r="B352" s="715" t="s">
        <v>22</v>
      </c>
      <c r="C352" s="2039"/>
      <c r="D352" s="2004">
        <f>+D353+D355</f>
        <v>6168162</v>
      </c>
      <c r="E352" s="2004">
        <f t="shared" ref="E352" si="210">+E353+E355</f>
        <v>57003</v>
      </c>
      <c r="F352" s="2447">
        <f t="shared" ref="F352:H352" si="211">+F353+F355</f>
        <v>0</v>
      </c>
      <c r="G352" s="2004">
        <f t="shared" si="211"/>
        <v>3697167</v>
      </c>
      <c r="H352" s="2004">
        <f t="shared" si="211"/>
        <v>2413992</v>
      </c>
      <c r="I352" s="2004"/>
      <c r="J352" s="2004"/>
      <c r="K352" s="2004"/>
      <c r="L352" s="2004"/>
      <c r="M352" s="3023" t="s">
        <v>23</v>
      </c>
      <c r="N352" s="3023" t="s">
        <v>23</v>
      </c>
      <c r="O352" s="3089" t="s">
        <v>102</v>
      </c>
    </row>
    <row r="353" spans="1:16">
      <c r="A353" s="3086"/>
      <c r="B353" s="1051" t="s">
        <v>24</v>
      </c>
      <c r="C353" s="3171" t="s">
        <v>84</v>
      </c>
      <c r="D353" s="2041">
        <f>+D354</f>
        <v>57003</v>
      </c>
      <c r="E353" s="2041">
        <f t="shared" ref="E353" si="212">+E354</f>
        <v>57003</v>
      </c>
      <c r="F353" s="2044">
        <v>0</v>
      </c>
      <c r="G353" s="2044">
        <v>0</v>
      </c>
      <c r="H353" s="2044">
        <v>0</v>
      </c>
      <c r="I353" s="2044"/>
      <c r="J353" s="2044"/>
      <c r="K353" s="2044"/>
      <c r="L353" s="2044"/>
      <c r="M353" s="3024"/>
      <c r="N353" s="3024"/>
      <c r="O353" s="3071"/>
    </row>
    <row r="354" spans="1:16">
      <c r="A354" s="3086"/>
      <c r="B354" s="2043" t="s">
        <v>15</v>
      </c>
      <c r="C354" s="3172"/>
      <c r="D354" s="1913">
        <f>E354+F354+G354+H354+I354+J354+K354+L354</f>
        <v>57003</v>
      </c>
      <c r="E354" s="1977">
        <v>57003</v>
      </c>
      <c r="F354" s="2042">
        <v>0</v>
      </c>
      <c r="G354" s="2042">
        <v>0</v>
      </c>
      <c r="H354" s="2042">
        <v>0</v>
      </c>
      <c r="I354" s="2042"/>
      <c r="J354" s="2042"/>
      <c r="K354" s="2042"/>
      <c r="L354" s="2042"/>
      <c r="M354" s="3024"/>
      <c r="N354" s="3024"/>
      <c r="O354" s="3071"/>
    </row>
    <row r="355" spans="1:16" s="267" customFormat="1" ht="12.75" customHeight="1">
      <c r="A355" s="3086"/>
      <c r="B355" s="1051" t="s">
        <v>18</v>
      </c>
      <c r="C355" s="3172"/>
      <c r="D355" s="2037">
        <f>+D356</f>
        <v>6111159</v>
      </c>
      <c r="E355" s="1701">
        <f t="shared" ref="E355:H355" si="213">+E356</f>
        <v>0</v>
      </c>
      <c r="F355" s="2044">
        <v>0</v>
      </c>
      <c r="G355" s="2045">
        <f t="shared" si="213"/>
        <v>3697167</v>
      </c>
      <c r="H355" s="2045">
        <f t="shared" si="213"/>
        <v>2413992</v>
      </c>
      <c r="I355" s="2037"/>
      <c r="J355" s="2037"/>
      <c r="K355" s="2037"/>
      <c r="L355" s="2037"/>
      <c r="M355" s="3024"/>
      <c r="N355" s="3024"/>
      <c r="O355" s="3071"/>
    </row>
    <row r="356" spans="1:16" ht="12" customHeight="1" thickBot="1">
      <c r="A356" s="3087"/>
      <c r="B356" s="891" t="s">
        <v>20</v>
      </c>
      <c r="C356" s="3173"/>
      <c r="D356" s="1009">
        <f>E356+F356+G356+H356+I356+J356+K356+L356</f>
        <v>6111159</v>
      </c>
      <c r="E356" s="1009">
        <v>0</v>
      </c>
      <c r="F356" s="2042">
        <v>0</v>
      </c>
      <c r="G356" s="520">
        <f>2555629+1141538</f>
        <v>3697167</v>
      </c>
      <c r="H356" s="520">
        <v>2413992</v>
      </c>
      <c r="I356" s="520"/>
      <c r="J356" s="520"/>
      <c r="K356" s="520"/>
      <c r="L356" s="520"/>
      <c r="M356" s="3025"/>
      <c r="N356" s="3025"/>
      <c r="O356" s="3072"/>
    </row>
    <row r="357" spans="1:16" ht="22.5" customHeight="1">
      <c r="A357" s="3084" t="s">
        <v>96</v>
      </c>
      <c r="B357" s="284" t="s">
        <v>463</v>
      </c>
      <c r="C357" s="58" t="s">
        <v>81</v>
      </c>
      <c r="D357" s="130"/>
      <c r="E357" s="692"/>
      <c r="F357" s="44"/>
      <c r="G357" s="44"/>
      <c r="H357" s="239"/>
      <c r="I357" s="43"/>
      <c r="J357" s="239"/>
      <c r="K357" s="239"/>
      <c r="L357" s="239"/>
      <c r="M357" s="62"/>
      <c r="N357" s="62"/>
      <c r="O357" s="3037" t="s">
        <v>86</v>
      </c>
      <c r="P357" s="235" t="s">
        <v>308</v>
      </c>
    </row>
    <row r="358" spans="1:16">
      <c r="A358" s="3085"/>
      <c r="B358" s="715" t="s">
        <v>10</v>
      </c>
      <c r="C358" s="2003"/>
      <c r="D358" s="2040">
        <f>+D359+D361</f>
        <v>8042058</v>
      </c>
      <c r="E358" s="2040">
        <f t="shared" ref="E358" si="214">+E359+E361</f>
        <v>5520</v>
      </c>
      <c r="F358" s="2040">
        <f t="shared" ref="F358:G358" si="215">+F359+F361</f>
        <v>40833</v>
      </c>
      <c r="G358" s="2040">
        <f t="shared" si="215"/>
        <v>7995705</v>
      </c>
      <c r="H358" s="2040"/>
      <c r="I358" s="2040"/>
      <c r="J358" s="2040"/>
      <c r="K358" s="2040"/>
      <c r="L358" s="2040"/>
      <c r="M358" s="2005">
        <f>+M359+M361</f>
        <v>8036538</v>
      </c>
      <c r="N358" s="2005">
        <f>+N359+N361</f>
        <v>7995705</v>
      </c>
      <c r="O358" s="3038"/>
    </row>
    <row r="359" spans="1:16">
      <c r="A359" s="3085"/>
      <c r="B359" s="681" t="s">
        <v>24</v>
      </c>
      <c r="C359" s="3040" t="s">
        <v>84</v>
      </c>
      <c r="D359" s="2041">
        <f>+D360</f>
        <v>1913818</v>
      </c>
      <c r="E359" s="2041">
        <f t="shared" ref="E359:G359" si="216">+E360</f>
        <v>1315</v>
      </c>
      <c r="F359" s="2041">
        <f t="shared" si="216"/>
        <v>40833</v>
      </c>
      <c r="G359" s="2041">
        <f t="shared" si="216"/>
        <v>1871670</v>
      </c>
      <c r="H359" s="2041"/>
      <c r="I359" s="2041"/>
      <c r="J359" s="2041"/>
      <c r="K359" s="2041"/>
      <c r="L359" s="2041"/>
      <c r="M359" s="2008">
        <f>+M360</f>
        <v>1912503</v>
      </c>
      <c r="N359" s="2008">
        <f>+N360</f>
        <v>1871670</v>
      </c>
      <c r="O359" s="3038"/>
    </row>
    <row r="360" spans="1:16">
      <c r="A360" s="3085"/>
      <c r="B360" s="1055" t="s">
        <v>12</v>
      </c>
      <c r="C360" s="3046"/>
      <c r="D360" s="1016">
        <f>E360+F360+G360+H360+I360+J360+K360+L360</f>
        <v>1913818</v>
      </c>
      <c r="E360" s="1977">
        <v>1315</v>
      </c>
      <c r="F360" s="2031">
        <f>1853686+256180+42637-2094503-17167</f>
        <v>40833</v>
      </c>
      <c r="G360" s="2031">
        <f>1854503+17167</f>
        <v>1871670</v>
      </c>
      <c r="H360" s="2031"/>
      <c r="I360" s="2031"/>
      <c r="J360" s="2031"/>
      <c r="K360" s="2031"/>
      <c r="L360" s="2031"/>
      <c r="M360" s="2033">
        <f>SUM(F360:K360)</f>
        <v>1912503</v>
      </c>
      <c r="N360" s="2033">
        <f>SUM(G360:L360)</f>
        <v>1871670</v>
      </c>
      <c r="O360" s="3038"/>
    </row>
    <row r="361" spans="1:16">
      <c r="A361" s="3085"/>
      <c r="B361" s="1051" t="s">
        <v>18</v>
      </c>
      <c r="C361" s="3046"/>
      <c r="D361" s="2007">
        <f>+D362</f>
        <v>6128240</v>
      </c>
      <c r="E361" s="2007">
        <f t="shared" ref="E361:G361" si="217">+E362</f>
        <v>4205</v>
      </c>
      <c r="F361" s="2007">
        <f t="shared" si="217"/>
        <v>0</v>
      </c>
      <c r="G361" s="2007">
        <f t="shared" si="217"/>
        <v>6124035</v>
      </c>
      <c r="H361" s="2007"/>
      <c r="I361" s="2007"/>
      <c r="J361" s="2007"/>
      <c r="K361" s="2007"/>
      <c r="L361" s="2007"/>
      <c r="M361" s="2008">
        <f>+M362</f>
        <v>6124035</v>
      </c>
      <c r="N361" s="2008">
        <f>+N362</f>
        <v>6124035</v>
      </c>
      <c r="O361" s="3038"/>
    </row>
    <row r="362" spans="1:16">
      <c r="A362" s="3085"/>
      <c r="B362" s="2446" t="s">
        <v>238</v>
      </c>
      <c r="C362" s="3111"/>
      <c r="D362" s="1016">
        <f>E362+F362+G362+H362+I362+J362+K362+L362</f>
        <v>6128240</v>
      </c>
      <c r="E362" s="1977">
        <v>4205</v>
      </c>
      <c r="F362" s="2031">
        <f>5928372+953820+1843-6884035</f>
        <v>0</v>
      </c>
      <c r="G362" s="2031">
        <v>6124035</v>
      </c>
      <c r="H362" s="2031"/>
      <c r="I362" s="2031"/>
      <c r="J362" s="2031"/>
      <c r="K362" s="2031"/>
      <c r="L362" s="2031"/>
      <c r="M362" s="2033">
        <f>SUM(F362:K362)</f>
        <v>6124035</v>
      </c>
      <c r="N362" s="2033">
        <f>SUM(G362:L362)</f>
        <v>6124035</v>
      </c>
      <c r="O362" s="3052"/>
      <c r="P362" s="480"/>
    </row>
    <row r="363" spans="1:16">
      <c r="A363" s="3086"/>
      <c r="B363" s="715" t="s">
        <v>22</v>
      </c>
      <c r="C363" s="2003"/>
      <c r="D363" s="2004">
        <f>+D364</f>
        <v>6128240</v>
      </c>
      <c r="E363" s="2004">
        <f t="shared" ref="E363:H364" si="218">+E364</f>
        <v>0</v>
      </c>
      <c r="F363" s="2004">
        <f t="shared" si="218"/>
        <v>0</v>
      </c>
      <c r="G363" s="2004">
        <f t="shared" si="218"/>
        <v>3909880</v>
      </c>
      <c r="H363" s="2004">
        <f t="shared" si="218"/>
        <v>2218360</v>
      </c>
      <c r="I363" s="2004"/>
      <c r="J363" s="2004"/>
      <c r="K363" s="2004"/>
      <c r="L363" s="2004"/>
      <c r="M363" s="3023" t="s">
        <v>23</v>
      </c>
      <c r="N363" s="3023" t="s">
        <v>23</v>
      </c>
      <c r="O363" s="3089" t="s">
        <v>102</v>
      </c>
    </row>
    <row r="364" spans="1:16" s="267" customFormat="1" ht="12.75" customHeight="1">
      <c r="A364" s="3086"/>
      <c r="B364" s="1051" t="s">
        <v>18</v>
      </c>
      <c r="C364" s="3040" t="s">
        <v>84</v>
      </c>
      <c r="D364" s="2037">
        <f>+D365</f>
        <v>6128240</v>
      </c>
      <c r="E364" s="2045">
        <f t="shared" si="218"/>
        <v>0</v>
      </c>
      <c r="F364" s="2045">
        <f t="shared" si="218"/>
        <v>0</v>
      </c>
      <c r="G364" s="2045">
        <f t="shared" si="218"/>
        <v>3909880</v>
      </c>
      <c r="H364" s="2045">
        <f t="shared" si="218"/>
        <v>2218360</v>
      </c>
      <c r="I364" s="2037"/>
      <c r="J364" s="2037"/>
      <c r="K364" s="2037"/>
      <c r="L364" s="2037"/>
      <c r="M364" s="3024"/>
      <c r="N364" s="3024"/>
      <c r="O364" s="3071"/>
    </row>
    <row r="365" spans="1:16" ht="13.5" thickBot="1">
      <c r="A365" s="3087"/>
      <c r="B365" s="891" t="s">
        <v>20</v>
      </c>
      <c r="C365" s="3074"/>
      <c r="D365" s="2195">
        <f>E365+F365+G365+H365+I365+J365+K365+L365</f>
        <v>6128240</v>
      </c>
      <c r="E365" s="2195">
        <v>0</v>
      </c>
      <c r="F365" s="2457">
        <f>3909880-3909880</f>
        <v>0</v>
      </c>
      <c r="G365" s="2457">
        <f>2978360+931520</f>
        <v>3909880</v>
      </c>
      <c r="H365" s="2457">
        <v>2218360</v>
      </c>
      <c r="I365" s="2457"/>
      <c r="J365" s="2457"/>
      <c r="K365" s="2457"/>
      <c r="L365" s="2457"/>
      <c r="M365" s="3025"/>
      <c r="N365" s="3025"/>
      <c r="O365" s="3072"/>
    </row>
    <row r="366" spans="1:16" ht="22.5" customHeight="1">
      <c r="A366" s="3084" t="s">
        <v>97</v>
      </c>
      <c r="B366" s="284" t="s">
        <v>464</v>
      </c>
      <c r="C366" s="58" t="s">
        <v>81</v>
      </c>
      <c r="D366" s="130"/>
      <c r="E366" s="692"/>
      <c r="F366" s="44"/>
      <c r="G366" s="44"/>
      <c r="H366" s="239"/>
      <c r="I366" s="43"/>
      <c r="J366" s="239"/>
      <c r="K366" s="239"/>
      <c r="L366" s="239"/>
      <c r="M366" s="62"/>
      <c r="N366" s="62"/>
      <c r="O366" s="3037" t="s">
        <v>86</v>
      </c>
      <c r="P366" s="235" t="s">
        <v>308</v>
      </c>
    </row>
    <row r="367" spans="1:16" ht="12" customHeight="1">
      <c r="A367" s="3085"/>
      <c r="B367" s="715" t="s">
        <v>10</v>
      </c>
      <c r="C367" s="2039"/>
      <c r="D367" s="2040">
        <f>+D368+D370</f>
        <v>4410000</v>
      </c>
      <c r="E367" s="2040">
        <f t="shared" ref="E367" si="219">+E368+E370</f>
        <v>373305</v>
      </c>
      <c r="F367" s="2040">
        <f t="shared" ref="F367:G367" si="220">+F368+F370</f>
        <v>78417</v>
      </c>
      <c r="G367" s="2040">
        <f t="shared" si="220"/>
        <v>3958278</v>
      </c>
      <c r="H367" s="2040"/>
      <c r="I367" s="2040"/>
      <c r="J367" s="2040"/>
      <c r="K367" s="2040"/>
      <c r="L367" s="2040"/>
      <c r="M367" s="2005">
        <f>+M368+M370</f>
        <v>4036695</v>
      </c>
      <c r="N367" s="2005">
        <f>+N368+N370</f>
        <v>3958278</v>
      </c>
      <c r="O367" s="3038"/>
    </row>
    <row r="368" spans="1:16">
      <c r="A368" s="3085"/>
      <c r="B368" s="681" t="s">
        <v>24</v>
      </c>
      <c r="C368" s="3108" t="s">
        <v>84</v>
      </c>
      <c r="D368" s="2041">
        <f>+D369</f>
        <v>1050462</v>
      </c>
      <c r="E368" s="2041">
        <f t="shared" ref="E368:G368" si="221">+E369</f>
        <v>85279</v>
      </c>
      <c r="F368" s="2041">
        <f t="shared" si="221"/>
        <v>26847</v>
      </c>
      <c r="G368" s="2041">
        <f t="shared" si="221"/>
        <v>938336</v>
      </c>
      <c r="H368" s="2041"/>
      <c r="I368" s="2041"/>
      <c r="J368" s="2041"/>
      <c r="K368" s="2041"/>
      <c r="L368" s="2041"/>
      <c r="M368" s="2008">
        <f>+M369</f>
        <v>965183</v>
      </c>
      <c r="N368" s="2008">
        <f>+N369</f>
        <v>938336</v>
      </c>
      <c r="O368" s="3038"/>
    </row>
    <row r="369" spans="1:16">
      <c r="A369" s="3085"/>
      <c r="B369" s="1055" t="s">
        <v>12</v>
      </c>
      <c r="C369" s="3046"/>
      <c r="D369" s="1016">
        <f>E369+F369+G369+H369+I369+J369+K369+L369</f>
        <v>1050462</v>
      </c>
      <c r="E369" s="1977">
        <v>85279</v>
      </c>
      <c r="F369" s="2031">
        <f>630277+321489+13417-938336</f>
        <v>26847</v>
      </c>
      <c r="G369" s="2031">
        <v>938336</v>
      </c>
      <c r="H369" s="2031"/>
      <c r="I369" s="2031"/>
      <c r="J369" s="2031"/>
      <c r="K369" s="2031"/>
      <c r="L369" s="2031"/>
      <c r="M369" s="2033">
        <f>SUM(F369:K369)</f>
        <v>965183</v>
      </c>
      <c r="N369" s="2033">
        <f>SUM(G369:L369)</f>
        <v>938336</v>
      </c>
      <c r="O369" s="3038"/>
    </row>
    <row r="370" spans="1:16">
      <c r="A370" s="3085"/>
      <c r="B370" s="1051" t="s">
        <v>18</v>
      </c>
      <c r="C370" s="3046"/>
      <c r="D370" s="2007">
        <f>+D371</f>
        <v>3359538</v>
      </c>
      <c r="E370" s="2007">
        <f t="shared" ref="E370:G370" si="222">+E371</f>
        <v>288026</v>
      </c>
      <c r="F370" s="2007">
        <f t="shared" si="222"/>
        <v>51570</v>
      </c>
      <c r="G370" s="2007">
        <f t="shared" si="222"/>
        <v>3019942</v>
      </c>
      <c r="H370" s="2007"/>
      <c r="I370" s="2007"/>
      <c r="J370" s="2007"/>
      <c r="K370" s="2007"/>
      <c r="L370" s="2007"/>
      <c r="M370" s="2008">
        <f>+M371</f>
        <v>3071512</v>
      </c>
      <c r="N370" s="2008">
        <f>+N371</f>
        <v>3019942</v>
      </c>
      <c r="O370" s="3038"/>
    </row>
    <row r="371" spans="1:16">
      <c r="A371" s="3085"/>
      <c r="B371" s="877" t="s">
        <v>238</v>
      </c>
      <c r="C371" s="3111"/>
      <c r="D371" s="1016">
        <f>E371+F371+G371+H371+I371+J371+K371+L371</f>
        <v>3359538</v>
      </c>
      <c r="E371" s="1977">
        <v>288026</v>
      </c>
      <c r="F371" s="2031">
        <f>2015723+1001511+47569+6709-3019942</f>
        <v>51570</v>
      </c>
      <c r="G371" s="2031">
        <v>3019942</v>
      </c>
      <c r="H371" s="2031"/>
      <c r="I371" s="2031"/>
      <c r="J371" s="2031"/>
      <c r="K371" s="2031"/>
      <c r="L371" s="2031"/>
      <c r="M371" s="2033">
        <f>SUM(F371:K371)</f>
        <v>3071512</v>
      </c>
      <c r="N371" s="2033">
        <f>SUM(G371:L371)</f>
        <v>3019942</v>
      </c>
      <c r="O371" s="3052"/>
      <c r="P371" s="480"/>
    </row>
    <row r="372" spans="1:16">
      <c r="A372" s="3086"/>
      <c r="B372" s="715" t="s">
        <v>22</v>
      </c>
      <c r="C372" s="2039"/>
      <c r="D372" s="2004">
        <f>+D373</f>
        <v>3359538</v>
      </c>
      <c r="E372" s="2004">
        <f t="shared" ref="E372:H373" si="223">+E373</f>
        <v>0</v>
      </c>
      <c r="F372" s="2004">
        <f t="shared" si="223"/>
        <v>0</v>
      </c>
      <c r="G372" s="2004">
        <f t="shared" si="223"/>
        <v>2334228</v>
      </c>
      <c r="H372" s="2004">
        <f t="shared" si="223"/>
        <v>1025310</v>
      </c>
      <c r="I372" s="2004"/>
      <c r="J372" s="2004"/>
      <c r="K372" s="2004"/>
      <c r="L372" s="2004"/>
      <c r="M372" s="3061" t="s">
        <v>23</v>
      </c>
      <c r="N372" s="3061" t="s">
        <v>23</v>
      </c>
      <c r="O372" s="3107" t="s">
        <v>102</v>
      </c>
    </row>
    <row r="373" spans="1:16" s="267" customFormat="1" ht="12.75" customHeight="1">
      <c r="A373" s="3086"/>
      <c r="B373" s="1051" t="s">
        <v>18</v>
      </c>
      <c r="C373" s="3108" t="s">
        <v>84</v>
      </c>
      <c r="D373" s="2037">
        <f>+D374</f>
        <v>3359538</v>
      </c>
      <c r="E373" s="2045">
        <f t="shared" si="223"/>
        <v>0</v>
      </c>
      <c r="F373" s="2045">
        <f t="shared" si="223"/>
        <v>0</v>
      </c>
      <c r="G373" s="2045">
        <f t="shared" si="223"/>
        <v>2334228</v>
      </c>
      <c r="H373" s="2045">
        <f t="shared" si="223"/>
        <v>1025310</v>
      </c>
      <c r="I373" s="2037"/>
      <c r="J373" s="2037"/>
      <c r="K373" s="2037"/>
      <c r="L373" s="2037"/>
      <c r="M373" s="3024"/>
      <c r="N373" s="3024"/>
      <c r="O373" s="3071"/>
    </row>
    <row r="374" spans="1:16" ht="12" customHeight="1" thickBot="1">
      <c r="A374" s="3087"/>
      <c r="B374" s="891" t="s">
        <v>20</v>
      </c>
      <c r="C374" s="3074"/>
      <c r="D374" s="1009">
        <f>E374+F374+G374+H374+I374+J374+K374+L374</f>
        <v>3359538</v>
      </c>
      <c r="E374" s="1009">
        <v>0</v>
      </c>
      <c r="F374" s="520">
        <f>2334228-2334228</f>
        <v>0</v>
      </c>
      <c r="G374" s="520">
        <f>1025310+1308918</f>
        <v>2334228</v>
      </c>
      <c r="H374" s="520">
        <v>1025310</v>
      </c>
      <c r="I374" s="520"/>
      <c r="J374" s="520"/>
      <c r="K374" s="520"/>
      <c r="L374" s="520"/>
      <c r="M374" s="3025"/>
      <c r="N374" s="3025"/>
      <c r="O374" s="3072"/>
    </row>
    <row r="375" spans="1:16" ht="23.25" customHeight="1">
      <c r="A375" s="3084" t="s">
        <v>99</v>
      </c>
      <c r="B375" s="284" t="s">
        <v>302</v>
      </c>
      <c r="C375" s="58" t="s">
        <v>81</v>
      </c>
      <c r="D375" s="130"/>
      <c r="E375" s="692"/>
      <c r="F375" s="44"/>
      <c r="G375" s="44"/>
      <c r="H375" s="239"/>
      <c r="I375" s="43"/>
      <c r="J375" s="239"/>
      <c r="K375" s="239"/>
      <c r="L375" s="99"/>
      <c r="M375" s="62"/>
      <c r="N375" s="62"/>
      <c r="O375" s="3037" t="s">
        <v>86</v>
      </c>
      <c r="P375" s="235" t="s">
        <v>308</v>
      </c>
    </row>
    <row r="376" spans="1:16">
      <c r="A376" s="3085"/>
      <c r="B376" s="21" t="s">
        <v>10</v>
      </c>
      <c r="C376" s="22"/>
      <c r="D376" s="434">
        <f>+D377+D379</f>
        <v>7056000</v>
      </c>
      <c r="E376" s="434">
        <f t="shared" ref="E376:F376" si="224">+E377+E379</f>
        <v>0</v>
      </c>
      <c r="F376" s="690">
        <f t="shared" si="224"/>
        <v>0</v>
      </c>
      <c r="G376" s="434">
        <f>+G377+G379</f>
        <v>2610720</v>
      </c>
      <c r="H376" s="434">
        <f>+H377+H379</f>
        <v>4445280</v>
      </c>
      <c r="I376" s="434"/>
      <c r="J376" s="434"/>
      <c r="K376" s="434"/>
      <c r="L376" s="695"/>
      <c r="M376" s="693">
        <f>+M377+M379</f>
        <v>7056000</v>
      </c>
      <c r="N376" s="693">
        <f>+N377+N379</f>
        <v>7056000</v>
      </c>
      <c r="O376" s="3038"/>
    </row>
    <row r="377" spans="1:16" ht="13.5" customHeight="1">
      <c r="A377" s="3085"/>
      <c r="B377" s="173" t="s">
        <v>24</v>
      </c>
      <c r="C377" s="3121" t="s">
        <v>84</v>
      </c>
      <c r="D377" s="435">
        <f>+D378</f>
        <v>1680740</v>
      </c>
      <c r="E377" s="435">
        <f t="shared" ref="E377:H377" si="225">+E378</f>
        <v>0</v>
      </c>
      <c r="F377" s="691">
        <f t="shared" si="225"/>
        <v>0</v>
      </c>
      <c r="G377" s="435">
        <f t="shared" si="225"/>
        <v>621874</v>
      </c>
      <c r="H377" s="435">
        <f t="shared" si="225"/>
        <v>1058866</v>
      </c>
      <c r="I377" s="435"/>
      <c r="J377" s="435"/>
      <c r="K377" s="435"/>
      <c r="L377" s="696"/>
      <c r="M377" s="694">
        <f>+M378</f>
        <v>1680740</v>
      </c>
      <c r="N377" s="694">
        <f>+N378</f>
        <v>1680740</v>
      </c>
      <c r="O377" s="3038"/>
    </row>
    <row r="378" spans="1:16">
      <c r="A378" s="3085"/>
      <c r="B378" s="450" t="s">
        <v>12</v>
      </c>
      <c r="C378" s="3046"/>
      <c r="D378" s="249">
        <f>E378+F378+G378+H378+I378+J378+K378+L378</f>
        <v>1680740</v>
      </c>
      <c r="E378" s="286">
        <v>0</v>
      </c>
      <c r="F378" s="508">
        <v>0</v>
      </c>
      <c r="G378" s="426">
        <v>621874</v>
      </c>
      <c r="H378" s="426">
        <v>1058866</v>
      </c>
      <c r="I378" s="426"/>
      <c r="J378" s="426"/>
      <c r="K378" s="426"/>
      <c r="L378" s="697"/>
      <c r="M378" s="1047">
        <f>SUM(F378:K378)</f>
        <v>1680740</v>
      </c>
      <c r="N378" s="1047">
        <f>SUM(G378:L378)</f>
        <v>1680740</v>
      </c>
      <c r="O378" s="3038"/>
    </row>
    <row r="379" spans="1:16">
      <c r="A379" s="3085"/>
      <c r="B379" s="488" t="s">
        <v>18</v>
      </c>
      <c r="C379" s="3046"/>
      <c r="D379" s="428">
        <f>+D380</f>
        <v>5375260</v>
      </c>
      <c r="E379" s="428">
        <f t="shared" ref="E379:H379" si="226">+E380</f>
        <v>0</v>
      </c>
      <c r="F379" s="504">
        <f t="shared" si="226"/>
        <v>0</v>
      </c>
      <c r="G379" s="428">
        <f t="shared" si="226"/>
        <v>1988846</v>
      </c>
      <c r="H379" s="428">
        <f t="shared" si="226"/>
        <v>3386414</v>
      </c>
      <c r="I379" s="428"/>
      <c r="J379" s="428"/>
      <c r="K379" s="428"/>
      <c r="L379" s="698"/>
      <c r="M379" s="694">
        <f>+M380</f>
        <v>5375260</v>
      </c>
      <c r="N379" s="694">
        <f>+N380</f>
        <v>5375260</v>
      </c>
      <c r="O379" s="3038"/>
    </row>
    <row r="380" spans="1:16" ht="11.25" customHeight="1">
      <c r="A380" s="3085"/>
      <c r="B380" s="955" t="s">
        <v>238</v>
      </c>
      <c r="C380" s="3111"/>
      <c r="D380" s="249">
        <f>E380+F380+G380+H380+I380+J380+K380+L380</f>
        <v>5375260</v>
      </c>
      <c r="E380" s="286">
        <v>0</v>
      </c>
      <c r="F380" s="508">
        <v>0</v>
      </c>
      <c r="G380" s="426">
        <v>1988846</v>
      </c>
      <c r="H380" s="426">
        <v>3386414</v>
      </c>
      <c r="I380" s="426"/>
      <c r="J380" s="426"/>
      <c r="K380" s="426"/>
      <c r="L380" s="697"/>
      <c r="M380" s="1047">
        <f>SUM(F380:K380)</f>
        <v>5375260</v>
      </c>
      <c r="N380" s="1047">
        <f>SUM(G380:L380)</f>
        <v>5375260</v>
      </c>
      <c r="O380" s="3052"/>
      <c r="P380" s="480"/>
    </row>
    <row r="381" spans="1:16">
      <c r="A381" s="3086"/>
      <c r="B381" s="21" t="s">
        <v>22</v>
      </c>
      <c r="C381" s="22"/>
      <c r="D381" s="439">
        <f>+D382</f>
        <v>5375260</v>
      </c>
      <c r="E381" s="439">
        <f t="shared" ref="E381:I382" si="227">+E382</f>
        <v>0</v>
      </c>
      <c r="F381" s="510">
        <f t="shared" si="227"/>
        <v>0</v>
      </c>
      <c r="G381" s="439">
        <f t="shared" si="227"/>
        <v>0</v>
      </c>
      <c r="H381" s="439">
        <f t="shared" si="227"/>
        <v>3657763</v>
      </c>
      <c r="I381" s="439">
        <f t="shared" si="227"/>
        <v>1717497</v>
      </c>
      <c r="J381" s="439"/>
      <c r="K381" s="439"/>
      <c r="L381" s="765"/>
      <c r="M381" s="3158" t="s">
        <v>23</v>
      </c>
      <c r="N381" s="3158" t="s">
        <v>23</v>
      </c>
      <c r="O381" s="3154" t="s">
        <v>102</v>
      </c>
    </row>
    <row r="382" spans="1:16" s="267" customFormat="1">
      <c r="A382" s="3086"/>
      <c r="B382" s="488" t="s">
        <v>18</v>
      </c>
      <c r="C382" s="3121" t="s">
        <v>84</v>
      </c>
      <c r="D382" s="512">
        <f>+D383</f>
        <v>5375260</v>
      </c>
      <c r="E382" s="511">
        <f t="shared" si="227"/>
        <v>0</v>
      </c>
      <c r="F382" s="513">
        <f t="shared" si="227"/>
        <v>0</v>
      </c>
      <c r="G382" s="511">
        <f t="shared" si="227"/>
        <v>0</v>
      </c>
      <c r="H382" s="511">
        <f t="shared" si="227"/>
        <v>3657763</v>
      </c>
      <c r="I382" s="511">
        <f t="shared" si="227"/>
        <v>1717497</v>
      </c>
      <c r="J382" s="512"/>
      <c r="K382" s="512"/>
      <c r="L382" s="956"/>
      <c r="M382" s="3159"/>
      <c r="N382" s="3159"/>
      <c r="O382" s="3071"/>
    </row>
    <row r="383" spans="1:16" ht="12" customHeight="1" thickBot="1">
      <c r="A383" s="3087"/>
      <c r="B383" s="55" t="s">
        <v>20</v>
      </c>
      <c r="C383" s="3074"/>
      <c r="D383" s="249">
        <f>E383+F383+G383+H383+I383+J383+K383+L383</f>
        <v>5375260</v>
      </c>
      <c r="E383" s="286">
        <v>0</v>
      </c>
      <c r="F383" s="288">
        <v>0</v>
      </c>
      <c r="G383" s="72">
        <v>0</v>
      </c>
      <c r="H383" s="72">
        <v>3657763</v>
      </c>
      <c r="I383" s="72">
        <v>1717497</v>
      </c>
      <c r="J383" s="72"/>
      <c r="K383" s="72"/>
      <c r="L383" s="520"/>
      <c r="M383" s="3160"/>
      <c r="N383" s="3160"/>
      <c r="O383" s="3072"/>
    </row>
    <row r="384" spans="1:16" ht="21.75" customHeight="1">
      <c r="A384" s="3084" t="s">
        <v>292</v>
      </c>
      <c r="B384" s="284" t="s">
        <v>303</v>
      </c>
      <c r="C384" s="58" t="s">
        <v>81</v>
      </c>
      <c r="D384" s="130"/>
      <c r="E384" s="692"/>
      <c r="F384" s="515"/>
      <c r="G384" s="44"/>
      <c r="H384" s="239"/>
      <c r="I384" s="43"/>
      <c r="J384" s="239"/>
      <c r="K384" s="239"/>
      <c r="L384" s="99"/>
      <c r="M384" s="62"/>
      <c r="N384" s="62"/>
      <c r="O384" s="3037" t="s">
        <v>86</v>
      </c>
      <c r="P384" s="235" t="s">
        <v>308</v>
      </c>
    </row>
    <row r="385" spans="1:16" ht="10.5" customHeight="1">
      <c r="A385" s="3085"/>
      <c r="B385" s="715" t="s">
        <v>10</v>
      </c>
      <c r="C385" s="2003"/>
      <c r="D385" s="2040">
        <f>+D386+D388</f>
        <v>5166000</v>
      </c>
      <c r="E385" s="2040">
        <f t="shared" ref="E385" si="228">+E386+E388</f>
        <v>0</v>
      </c>
      <c r="F385" s="2046">
        <f t="shared" ref="F385:H385" si="229">+F386+F388</f>
        <v>0</v>
      </c>
      <c r="G385" s="2040">
        <f t="shared" si="229"/>
        <v>1911420</v>
      </c>
      <c r="H385" s="2040">
        <f t="shared" si="229"/>
        <v>3254580</v>
      </c>
      <c r="I385" s="2040"/>
      <c r="J385" s="2040"/>
      <c r="K385" s="2040"/>
      <c r="L385" s="2040"/>
      <c r="M385" s="2111">
        <f>+M386+M388</f>
        <v>5166000</v>
      </c>
      <c r="N385" s="2111">
        <f>+N386+N388</f>
        <v>5166000</v>
      </c>
      <c r="O385" s="3038"/>
    </row>
    <row r="386" spans="1:16">
      <c r="A386" s="3085"/>
      <c r="B386" s="681" t="s">
        <v>24</v>
      </c>
      <c r="C386" s="3040" t="s">
        <v>84</v>
      </c>
      <c r="D386" s="2041">
        <f>+D387</f>
        <v>1230541</v>
      </c>
      <c r="E386" s="2041">
        <f t="shared" ref="E386:H386" si="230">+E387</f>
        <v>0</v>
      </c>
      <c r="F386" s="2044">
        <f t="shared" si="230"/>
        <v>0</v>
      </c>
      <c r="G386" s="2041">
        <f t="shared" si="230"/>
        <v>455300</v>
      </c>
      <c r="H386" s="2041">
        <f t="shared" si="230"/>
        <v>775241</v>
      </c>
      <c r="I386" s="2041"/>
      <c r="J386" s="2041"/>
      <c r="K386" s="2041"/>
      <c r="L386" s="2041"/>
      <c r="M386" s="2008">
        <f>+M387</f>
        <v>1230541</v>
      </c>
      <c r="N386" s="2008">
        <f>+N387</f>
        <v>1230541</v>
      </c>
      <c r="O386" s="3038"/>
    </row>
    <row r="387" spans="1:16" ht="11.25" customHeight="1">
      <c r="A387" s="3085"/>
      <c r="B387" s="1055" t="s">
        <v>12</v>
      </c>
      <c r="C387" s="3046"/>
      <c r="D387" s="1913">
        <f>E387+F387+G387+H387+I387+J387+K387+L387</f>
        <v>1230541</v>
      </c>
      <c r="E387" s="2031">
        <f>47545-47545</f>
        <v>0</v>
      </c>
      <c r="F387" s="1960">
        <v>0</v>
      </c>
      <c r="G387" s="2031">
        <v>455300</v>
      </c>
      <c r="H387" s="2031">
        <v>775241</v>
      </c>
      <c r="I387" s="2031"/>
      <c r="J387" s="2031"/>
      <c r="K387" s="2031"/>
      <c r="L387" s="2031"/>
      <c r="M387" s="2033">
        <f>SUM(F387:K387)</f>
        <v>1230541</v>
      </c>
      <c r="N387" s="2033">
        <f>SUM(G387:L387)</f>
        <v>1230541</v>
      </c>
      <c r="O387" s="3038"/>
    </row>
    <row r="388" spans="1:16">
      <c r="A388" s="3085"/>
      <c r="B388" s="1051" t="s">
        <v>18</v>
      </c>
      <c r="C388" s="3046"/>
      <c r="D388" s="2007">
        <f>+D389</f>
        <v>3935459</v>
      </c>
      <c r="E388" s="2007">
        <f t="shared" ref="E388:H388" si="231">+E389</f>
        <v>0</v>
      </c>
      <c r="F388" s="2445">
        <f t="shared" si="231"/>
        <v>0</v>
      </c>
      <c r="G388" s="2007">
        <f t="shared" si="231"/>
        <v>1456120</v>
      </c>
      <c r="H388" s="2007">
        <f t="shared" si="231"/>
        <v>2479339</v>
      </c>
      <c r="I388" s="2007"/>
      <c r="J388" s="2007"/>
      <c r="K388" s="2007"/>
      <c r="L388" s="2007"/>
      <c r="M388" s="2008">
        <f>+M389</f>
        <v>3935459</v>
      </c>
      <c r="N388" s="2008">
        <f>+N389</f>
        <v>3935459</v>
      </c>
      <c r="O388" s="3038"/>
    </row>
    <row r="389" spans="1:16">
      <c r="A389" s="3085"/>
      <c r="B389" s="2446" t="s">
        <v>238</v>
      </c>
      <c r="C389" s="3111"/>
      <c r="D389" s="1913">
        <f>E389+F389+G389+H389+I389+J389+K389+L389</f>
        <v>3935459</v>
      </c>
      <c r="E389" s="1977">
        <v>0</v>
      </c>
      <c r="F389" s="1960">
        <v>0</v>
      </c>
      <c r="G389" s="2031">
        <v>1456120</v>
      </c>
      <c r="H389" s="2031">
        <v>2479339</v>
      </c>
      <c r="I389" s="2031"/>
      <c r="J389" s="2031"/>
      <c r="K389" s="2031"/>
      <c r="L389" s="2031"/>
      <c r="M389" s="2033">
        <f>SUM(F389:K389)</f>
        <v>3935459</v>
      </c>
      <c r="N389" s="2033">
        <f>SUM(G389:L389)</f>
        <v>3935459</v>
      </c>
      <c r="O389" s="3052"/>
      <c r="P389" s="480"/>
    </row>
    <row r="390" spans="1:16" ht="12" customHeight="1">
      <c r="A390" s="3086"/>
      <c r="B390" s="715" t="s">
        <v>22</v>
      </c>
      <c r="C390" s="2003"/>
      <c r="D390" s="2004">
        <f>+D391</f>
        <v>3935459</v>
      </c>
      <c r="E390" s="2004">
        <f t="shared" ref="E390:I391" si="232">+E391</f>
        <v>0</v>
      </c>
      <c r="F390" s="2447">
        <f t="shared" si="232"/>
        <v>0</v>
      </c>
      <c r="G390" s="2004">
        <f t="shared" si="232"/>
        <v>0</v>
      </c>
      <c r="H390" s="2004">
        <f t="shared" si="232"/>
        <v>2671398</v>
      </c>
      <c r="I390" s="2004">
        <f t="shared" si="232"/>
        <v>1264061</v>
      </c>
      <c r="J390" s="2004"/>
      <c r="K390" s="2004"/>
      <c r="L390" s="2004"/>
      <c r="M390" s="3023" t="s">
        <v>23</v>
      </c>
      <c r="N390" s="3023" t="s">
        <v>23</v>
      </c>
      <c r="O390" s="3089" t="s">
        <v>102</v>
      </c>
    </row>
    <row r="391" spans="1:16" s="267" customFormat="1" ht="12.75" customHeight="1">
      <c r="A391" s="3086"/>
      <c r="B391" s="1051" t="s">
        <v>18</v>
      </c>
      <c r="C391" s="3040" t="s">
        <v>84</v>
      </c>
      <c r="D391" s="2037">
        <f>+D392</f>
        <v>3935459</v>
      </c>
      <c r="E391" s="2045">
        <f t="shared" si="232"/>
        <v>0</v>
      </c>
      <c r="F391" s="2455">
        <f t="shared" si="232"/>
        <v>0</v>
      </c>
      <c r="G391" s="2045">
        <f t="shared" si="232"/>
        <v>0</v>
      </c>
      <c r="H391" s="2045">
        <f t="shared" si="232"/>
        <v>2671398</v>
      </c>
      <c r="I391" s="2045">
        <f t="shared" si="232"/>
        <v>1264061</v>
      </c>
      <c r="J391" s="2037"/>
      <c r="K391" s="2037"/>
      <c r="L391" s="2037"/>
      <c r="M391" s="3024"/>
      <c r="N391" s="3024"/>
      <c r="O391" s="3071"/>
    </row>
    <row r="392" spans="1:16" ht="12" customHeight="1" thickBot="1">
      <c r="A392" s="3087"/>
      <c r="B392" s="891" t="s">
        <v>20</v>
      </c>
      <c r="C392" s="3074"/>
      <c r="D392" s="2195">
        <f>E392+F392+G392+H392+I392+J392+K392+L392</f>
        <v>3935459</v>
      </c>
      <c r="E392" s="2195">
        <v>0</v>
      </c>
      <c r="F392" s="2458">
        <v>0</v>
      </c>
      <c r="G392" s="2457">
        <v>0</v>
      </c>
      <c r="H392" s="2457">
        <v>2671398</v>
      </c>
      <c r="I392" s="2457">
        <v>1264061</v>
      </c>
      <c r="J392" s="2457"/>
      <c r="K392" s="2457"/>
      <c r="L392" s="2457"/>
      <c r="M392" s="3025"/>
      <c r="N392" s="3025"/>
      <c r="O392" s="3072"/>
    </row>
    <row r="393" spans="1:16" ht="27.75" customHeight="1">
      <c r="A393" s="3163" t="s">
        <v>104</v>
      </c>
      <c r="B393" s="284" t="s">
        <v>534</v>
      </c>
      <c r="C393" s="58" t="s">
        <v>109</v>
      </c>
      <c r="D393" s="44"/>
      <c r="E393" s="692"/>
      <c r="F393" s="44"/>
      <c r="G393" s="44"/>
      <c r="H393" s="44"/>
      <c r="I393" s="43"/>
      <c r="J393" s="239"/>
      <c r="K393" s="239"/>
      <c r="L393" s="239"/>
      <c r="M393" s="62"/>
      <c r="N393" s="62"/>
      <c r="O393" s="3037" t="s">
        <v>311</v>
      </c>
    </row>
    <row r="394" spans="1:16" ht="15.75" customHeight="1">
      <c r="A394" s="3164"/>
      <c r="B394" s="715" t="s">
        <v>10</v>
      </c>
      <c r="C394" s="2039"/>
      <c r="D394" s="2040">
        <f>+D395+D400</f>
        <v>454666</v>
      </c>
      <c r="E394" s="2040">
        <f t="shared" ref="E394" si="233">+E395+E400</f>
        <v>48374</v>
      </c>
      <c r="F394" s="2040">
        <f>+F395+F400</f>
        <v>262063</v>
      </c>
      <c r="G394" s="2040">
        <f>+G395+G400</f>
        <v>115985</v>
      </c>
      <c r="H394" s="2040">
        <f>+H395+H400</f>
        <v>28244</v>
      </c>
      <c r="I394" s="2046">
        <v>0</v>
      </c>
      <c r="J394" s="2046">
        <v>0</v>
      </c>
      <c r="K394" s="2046">
        <v>0</v>
      </c>
      <c r="L394" s="2046">
        <v>0</v>
      </c>
      <c r="M394" s="1935">
        <f>+M395+M400</f>
        <v>406292</v>
      </c>
      <c r="N394" s="1935">
        <f>+N395+N400</f>
        <v>144229</v>
      </c>
      <c r="O394" s="3038"/>
    </row>
    <row r="395" spans="1:16" ht="12.75" customHeight="1">
      <c r="A395" s="3164"/>
      <c r="B395" s="681" t="s">
        <v>24</v>
      </c>
      <c r="C395" s="3040" t="s">
        <v>422</v>
      </c>
      <c r="D395" s="2041">
        <f>+D396</f>
        <v>70277</v>
      </c>
      <c r="E395" s="2041">
        <f t="shared" ref="E395" si="234">+E396</f>
        <v>7548</v>
      </c>
      <c r="F395" s="2041">
        <f>+F396</f>
        <v>40160</v>
      </c>
      <c r="G395" s="2041">
        <f>+G396</f>
        <v>17908</v>
      </c>
      <c r="H395" s="2041">
        <f>+H396</f>
        <v>4661</v>
      </c>
      <c r="I395" s="2044">
        <v>0</v>
      </c>
      <c r="J395" s="2044">
        <v>0</v>
      </c>
      <c r="K395" s="2044">
        <v>0</v>
      </c>
      <c r="L395" s="2044">
        <v>0</v>
      </c>
      <c r="M395" s="2008">
        <f>M396</f>
        <v>62729</v>
      </c>
      <c r="N395" s="2008">
        <f>N396</f>
        <v>22569</v>
      </c>
      <c r="O395" s="3038"/>
    </row>
    <row r="396" spans="1:16" ht="12.75" customHeight="1">
      <c r="A396" s="3164"/>
      <c r="B396" s="1055" t="s">
        <v>12</v>
      </c>
      <c r="C396" s="3046"/>
      <c r="D396" s="1913">
        <f>E396+F396+G396+H396+I396+J396+K396+L396</f>
        <v>70277</v>
      </c>
      <c r="E396" s="1977">
        <f>+E398+E399</f>
        <v>7548</v>
      </c>
      <c r="F396" s="2031">
        <f>+F398+F399</f>
        <v>40160</v>
      </c>
      <c r="G396" s="2031">
        <f>+G398+G399</f>
        <v>17908</v>
      </c>
      <c r="H396" s="2031">
        <f>+H398+H399</f>
        <v>4661</v>
      </c>
      <c r="I396" s="1960">
        <v>0</v>
      </c>
      <c r="J396" s="1960">
        <v>0</v>
      </c>
      <c r="K396" s="1960">
        <v>0</v>
      </c>
      <c r="L396" s="1960">
        <v>0</v>
      </c>
      <c r="M396" s="1047">
        <f>SUM(F396:L396)</f>
        <v>62729</v>
      </c>
      <c r="N396" s="1047">
        <f>SUM(G396:L396)</f>
        <v>22569</v>
      </c>
      <c r="O396" s="3038"/>
    </row>
    <row r="397" spans="1:16" ht="12.75" hidden="1" customHeight="1">
      <c r="A397" s="3164"/>
      <c r="B397" s="1055" t="s">
        <v>150</v>
      </c>
      <c r="C397" s="3046"/>
      <c r="D397" s="1913"/>
      <c r="E397" s="2049"/>
      <c r="F397" s="2031"/>
      <c r="G397" s="2031"/>
      <c r="H397" s="2031"/>
      <c r="I397" s="1960"/>
      <c r="J397" s="1960"/>
      <c r="K397" s="1960"/>
      <c r="L397" s="1960"/>
      <c r="M397" s="2033"/>
      <c r="N397" s="2033"/>
      <c r="O397" s="3038"/>
    </row>
    <row r="398" spans="1:16" ht="18" hidden="1" customHeight="1">
      <c r="A398" s="3164"/>
      <c r="B398" s="1055" t="s">
        <v>110</v>
      </c>
      <c r="C398" s="3046"/>
      <c r="D398" s="1913">
        <f>SUM(E398:H398)</f>
        <v>54138</v>
      </c>
      <c r="E398" s="2031">
        <v>3466</v>
      </c>
      <c r="F398" s="2031">
        <f>35747+1841-2300</f>
        <v>35288</v>
      </c>
      <c r="G398" s="2031">
        <f>12993+600-951</f>
        <v>12642</v>
      </c>
      <c r="H398" s="2031">
        <f>2242+500</f>
        <v>2742</v>
      </c>
      <c r="I398" s="1960"/>
      <c r="J398" s="1960"/>
      <c r="K398" s="1960"/>
      <c r="L398" s="1960"/>
      <c r="M398" s="2033">
        <f>SUM(E398:G398)</f>
        <v>51396</v>
      </c>
      <c r="N398" s="2033">
        <f>SUM(F398:H398)</f>
        <v>50672</v>
      </c>
      <c r="O398" s="3038"/>
    </row>
    <row r="399" spans="1:16" ht="18" hidden="1" customHeight="1">
      <c r="A399" s="3164"/>
      <c r="B399" s="1055" t="s">
        <v>294</v>
      </c>
      <c r="C399" s="3046"/>
      <c r="D399" s="1913">
        <f>SUM(E399:H399)</f>
        <v>16139</v>
      </c>
      <c r="E399" s="2031">
        <f>3291+791</f>
        <v>4082</v>
      </c>
      <c r="F399" s="2031">
        <f>4259+28+585</f>
        <v>4872</v>
      </c>
      <c r="G399" s="2031">
        <f>4315+951</f>
        <v>5266</v>
      </c>
      <c r="H399" s="2031">
        <f>995+924</f>
        <v>1919</v>
      </c>
      <c r="I399" s="1960"/>
      <c r="J399" s="1960"/>
      <c r="K399" s="1960"/>
      <c r="L399" s="1960"/>
      <c r="M399" s="2033">
        <f>SUM(E399:G399)</f>
        <v>14220</v>
      </c>
      <c r="N399" s="2033">
        <f>SUM(F399:H399)</f>
        <v>12057</v>
      </c>
      <c r="O399" s="3038"/>
    </row>
    <row r="400" spans="1:16" ht="12.75" customHeight="1">
      <c r="A400" s="3164"/>
      <c r="B400" s="1051" t="s">
        <v>18</v>
      </c>
      <c r="C400" s="3046"/>
      <c r="D400" s="2007">
        <f>+D401</f>
        <v>384389</v>
      </c>
      <c r="E400" s="2007">
        <f t="shared" ref="E400" si="235">+E401</f>
        <v>40826</v>
      </c>
      <c r="F400" s="2007">
        <f>+F401</f>
        <v>221903</v>
      </c>
      <c r="G400" s="2007">
        <f>+G401</f>
        <v>98077</v>
      </c>
      <c r="H400" s="2007">
        <f>+H401</f>
        <v>23583</v>
      </c>
      <c r="I400" s="2445">
        <v>0</v>
      </c>
      <c r="J400" s="2445">
        <v>0</v>
      </c>
      <c r="K400" s="2445">
        <v>0</v>
      </c>
      <c r="L400" s="2445">
        <v>0</v>
      </c>
      <c r="M400" s="2008">
        <f>+M401</f>
        <v>343563</v>
      </c>
      <c r="N400" s="2008">
        <f>+N401</f>
        <v>121660</v>
      </c>
      <c r="O400" s="3038"/>
    </row>
    <row r="401" spans="1:16" ht="12.75" customHeight="1">
      <c r="A401" s="3164"/>
      <c r="B401" s="2043" t="s">
        <v>238</v>
      </c>
      <c r="C401" s="3111"/>
      <c r="D401" s="1913">
        <f>E401+F401+G401+H401+I401+J401+K401+L401</f>
        <v>384389</v>
      </c>
      <c r="E401" s="1977">
        <f>+E403+E404</f>
        <v>40826</v>
      </c>
      <c r="F401" s="2031">
        <f>+F403+F404</f>
        <v>221903</v>
      </c>
      <c r="G401" s="2031">
        <f>+G403+G404</f>
        <v>98077</v>
      </c>
      <c r="H401" s="2031">
        <f>+H403+H404</f>
        <v>23583</v>
      </c>
      <c r="I401" s="1960">
        <v>0</v>
      </c>
      <c r="J401" s="1960">
        <v>0</v>
      </c>
      <c r="K401" s="1960">
        <v>0</v>
      </c>
      <c r="L401" s="1960">
        <v>0</v>
      </c>
      <c r="M401" s="1047">
        <f>SUM(F401:L401)</f>
        <v>343563</v>
      </c>
      <c r="N401" s="1047">
        <f>SUM(G401:L401)</f>
        <v>121660</v>
      </c>
      <c r="O401" s="3038"/>
    </row>
    <row r="402" spans="1:16" ht="12.75" hidden="1" customHeight="1">
      <c r="A402" s="3164"/>
      <c r="B402" s="1055" t="s">
        <v>150</v>
      </c>
      <c r="C402" s="2974"/>
      <c r="D402" s="1913"/>
      <c r="E402" s="2049"/>
      <c r="F402" s="2031"/>
      <c r="G402" s="2031"/>
      <c r="H402" s="2031"/>
      <c r="I402" s="1960"/>
      <c r="J402" s="1960"/>
      <c r="K402" s="1960"/>
      <c r="L402" s="1960"/>
      <c r="M402" s="2824"/>
      <c r="N402" s="2824"/>
      <c r="O402" s="3038"/>
    </row>
    <row r="403" spans="1:16" ht="21" hidden="1" customHeight="1">
      <c r="A403" s="3164"/>
      <c r="B403" s="1055" t="s">
        <v>110</v>
      </c>
      <c r="C403" s="2822"/>
      <c r="D403" s="1913">
        <f>+F403+G403+H403+E403</f>
        <v>292933</v>
      </c>
      <c r="E403" s="2031">
        <v>17695</v>
      </c>
      <c r="F403" s="2031">
        <f>202561+4760-13035</f>
        <v>194286</v>
      </c>
      <c r="G403" s="2031">
        <f>73627-5379</f>
        <v>68248</v>
      </c>
      <c r="H403" s="2031">
        <v>12704</v>
      </c>
      <c r="I403" s="1960"/>
      <c r="J403" s="1960"/>
      <c r="K403" s="1960"/>
      <c r="L403" s="1960"/>
      <c r="M403" s="2033">
        <f>SUM(E403:G403)</f>
        <v>280229</v>
      </c>
      <c r="N403" s="2033">
        <f>SUM(F403:H403)</f>
        <v>275238</v>
      </c>
      <c r="O403" s="3038"/>
    </row>
    <row r="404" spans="1:16" ht="14.25" hidden="1" customHeight="1">
      <c r="A404" s="3164"/>
      <c r="B404" s="1055" t="s">
        <v>294</v>
      </c>
      <c r="C404" s="2822"/>
      <c r="D404" s="1913">
        <f>+F404+G404+H404+E404</f>
        <v>91456</v>
      </c>
      <c r="E404" s="2031">
        <f>18646+4485</f>
        <v>23131</v>
      </c>
      <c r="F404" s="2031">
        <f>24139+163+3315</f>
        <v>27617</v>
      </c>
      <c r="G404" s="2031">
        <f>24450+5379</f>
        <v>29829</v>
      </c>
      <c r="H404" s="2031">
        <f>5644+5235</f>
        <v>10879</v>
      </c>
      <c r="I404" s="1960"/>
      <c r="J404" s="1960"/>
      <c r="K404" s="1960"/>
      <c r="L404" s="1960"/>
      <c r="M404" s="2033">
        <f>SUM(E404:G404)</f>
        <v>80577</v>
      </c>
      <c r="N404" s="2033">
        <f>SUM(F404:H404)</f>
        <v>68325</v>
      </c>
      <c r="O404" s="3038"/>
    </row>
    <row r="405" spans="1:16" ht="15.75" customHeight="1">
      <c r="A405" s="3164"/>
      <c r="B405" s="715" t="s">
        <v>22</v>
      </c>
      <c r="C405" s="2039"/>
      <c r="D405" s="2004">
        <f>SUM(E405:L405)</f>
        <v>384389</v>
      </c>
      <c r="E405" s="2004">
        <v>0</v>
      </c>
      <c r="F405" s="2004">
        <f t="shared" ref="F405:I406" si="236">+F406</f>
        <v>45897</v>
      </c>
      <c r="G405" s="2004">
        <f t="shared" si="236"/>
        <v>239058</v>
      </c>
      <c r="H405" s="2004">
        <f t="shared" si="236"/>
        <v>99434</v>
      </c>
      <c r="I405" s="2447">
        <f t="shared" si="236"/>
        <v>0</v>
      </c>
      <c r="J405" s="2447">
        <v>0</v>
      </c>
      <c r="K405" s="2447">
        <v>0</v>
      </c>
      <c r="L405" s="2447">
        <v>0</v>
      </c>
      <c r="M405" s="3023" t="s">
        <v>23</v>
      </c>
      <c r="N405" s="3023" t="s">
        <v>23</v>
      </c>
      <c r="O405" s="3038"/>
    </row>
    <row r="406" spans="1:16" ht="12.75" customHeight="1">
      <c r="A406" s="3164"/>
      <c r="B406" s="1051" t="s">
        <v>18</v>
      </c>
      <c r="C406" s="3040" t="s">
        <v>111</v>
      </c>
      <c r="D406" s="2037">
        <f>+D407</f>
        <v>384389</v>
      </c>
      <c r="E406" s="2037">
        <v>0</v>
      </c>
      <c r="F406" s="2045">
        <f t="shared" si="236"/>
        <v>45897</v>
      </c>
      <c r="G406" s="2045">
        <f t="shared" si="236"/>
        <v>239058</v>
      </c>
      <c r="H406" s="2045">
        <f t="shared" si="236"/>
        <v>99434</v>
      </c>
      <c r="I406" s="2455">
        <f t="shared" si="236"/>
        <v>0</v>
      </c>
      <c r="J406" s="2448">
        <v>0</v>
      </c>
      <c r="K406" s="2448">
        <v>0</v>
      </c>
      <c r="L406" s="2448">
        <v>0</v>
      </c>
      <c r="M406" s="3024"/>
      <c r="N406" s="3024"/>
      <c r="O406" s="3038"/>
    </row>
    <row r="407" spans="1:16" ht="12" customHeight="1" thickBot="1">
      <c r="A407" s="3165"/>
      <c r="B407" s="891" t="s">
        <v>20</v>
      </c>
      <c r="C407" s="3074"/>
      <c r="D407" s="1009">
        <f>E407+F407+G407+H407+I407+J407+K407+L407</f>
        <v>384389</v>
      </c>
      <c r="E407" s="1009">
        <v>0</v>
      </c>
      <c r="F407" s="520">
        <f>20632+7848+17417</f>
        <v>45897</v>
      </c>
      <c r="G407" s="520">
        <f>133982+66898+38178</f>
        <v>239058</v>
      </c>
      <c r="H407" s="520">
        <f>229775-109440-20901</f>
        <v>99434</v>
      </c>
      <c r="I407" s="1058">
        <f>34694-34694</f>
        <v>0</v>
      </c>
      <c r="J407" s="1058">
        <v>0</v>
      </c>
      <c r="K407" s="1058">
        <v>0</v>
      </c>
      <c r="L407" s="1058">
        <v>0</v>
      </c>
      <c r="M407" s="3025"/>
      <c r="N407" s="3025"/>
      <c r="O407" s="3039"/>
      <c r="P407" s="480">
        <f>D407-D401</f>
        <v>0</v>
      </c>
    </row>
    <row r="408" spans="1:16" ht="27.75" customHeight="1">
      <c r="A408" s="2976"/>
      <c r="B408" s="284" t="s">
        <v>423</v>
      </c>
      <c r="C408" s="58" t="s">
        <v>109</v>
      </c>
      <c r="D408" s="130"/>
      <c r="E408" s="692"/>
      <c r="F408" s="44"/>
      <c r="G408" s="44"/>
      <c r="H408" s="42"/>
      <c r="I408" s="43"/>
      <c r="J408" s="239"/>
      <c r="K408" s="239"/>
      <c r="L408" s="239"/>
      <c r="M408" s="62"/>
      <c r="N408" s="62"/>
      <c r="O408" s="2970"/>
      <c r="P408" s="235" t="s">
        <v>413</v>
      </c>
    </row>
    <row r="409" spans="1:16" ht="15.75" customHeight="1">
      <c r="A409" s="2976"/>
      <c r="B409" s="715" t="s">
        <v>10</v>
      </c>
      <c r="C409" s="813"/>
      <c r="D409" s="695">
        <f>+F409+G409+H409+I409</f>
        <v>489921</v>
      </c>
      <c r="E409" s="695">
        <f>+E410+E415</f>
        <v>0</v>
      </c>
      <c r="F409" s="695">
        <f>+F410+F415</f>
        <v>74667</v>
      </c>
      <c r="G409" s="695">
        <f t="shared" ref="G409:I409" si="237">+G410+G415</f>
        <v>165091</v>
      </c>
      <c r="H409" s="695">
        <f t="shared" si="237"/>
        <v>167991</v>
      </c>
      <c r="I409" s="695">
        <f t="shared" si="237"/>
        <v>82172</v>
      </c>
      <c r="J409" s="1061">
        <v>0</v>
      </c>
      <c r="K409" s="1061">
        <v>0</v>
      </c>
      <c r="L409" s="1061">
        <v>0</v>
      </c>
      <c r="M409" s="1935">
        <f>+M410+M415</f>
        <v>489921</v>
      </c>
      <c r="N409" s="1935">
        <f>+N410+N415</f>
        <v>415254</v>
      </c>
      <c r="O409" s="2970"/>
    </row>
    <row r="410" spans="1:16" ht="12.75" customHeight="1">
      <c r="A410" s="2976"/>
      <c r="B410" s="681" t="s">
        <v>24</v>
      </c>
      <c r="C410" s="3040" t="s">
        <v>422</v>
      </c>
      <c r="D410" s="2041">
        <f t="shared" ref="D410:D414" si="238">+F410+G410+H410+I410</f>
        <v>75188</v>
      </c>
      <c r="E410" s="2041">
        <f>+E411</f>
        <v>0</v>
      </c>
      <c r="F410" s="2041">
        <f>+F411</f>
        <v>11540</v>
      </c>
      <c r="G410" s="2041">
        <f t="shared" ref="G410:I410" si="239">+G411</f>
        <v>25273</v>
      </c>
      <c r="H410" s="2041">
        <f t="shared" si="239"/>
        <v>25709</v>
      </c>
      <c r="I410" s="2041">
        <f t="shared" si="239"/>
        <v>12666</v>
      </c>
      <c r="J410" s="2044">
        <v>0</v>
      </c>
      <c r="K410" s="2044">
        <v>0</v>
      </c>
      <c r="L410" s="2044">
        <v>0</v>
      </c>
      <c r="M410" s="2008">
        <f>+M411</f>
        <v>75188</v>
      </c>
      <c r="N410" s="2008">
        <f>+N411</f>
        <v>63648</v>
      </c>
      <c r="O410" s="2970"/>
    </row>
    <row r="411" spans="1:16" ht="12.75" customHeight="1">
      <c r="A411" s="2976" t="s">
        <v>293</v>
      </c>
      <c r="B411" s="1055" t="s">
        <v>12</v>
      </c>
      <c r="C411" s="3046"/>
      <c r="D411" s="1016">
        <f>E411+F411+G411+H411+I411+J411+K411+L411</f>
        <v>75188</v>
      </c>
      <c r="E411" s="1977">
        <v>0</v>
      </c>
      <c r="F411" s="2031">
        <f>+F412</f>
        <v>11540</v>
      </c>
      <c r="G411" s="2031">
        <f t="shared" ref="G411:I411" si="240">+G412</f>
        <v>25273</v>
      </c>
      <c r="H411" s="2031">
        <f t="shared" si="240"/>
        <v>25709</v>
      </c>
      <c r="I411" s="2031">
        <f t="shared" si="240"/>
        <v>12666</v>
      </c>
      <c r="J411" s="1960">
        <v>0</v>
      </c>
      <c r="K411" s="1960">
        <v>0</v>
      </c>
      <c r="L411" s="1960">
        <v>0</v>
      </c>
      <c r="M411" s="2033">
        <f>SUM(F411:K411)</f>
        <v>75188</v>
      </c>
      <c r="N411" s="2033">
        <f>SUM(G411:L411)</f>
        <v>63648</v>
      </c>
      <c r="O411" s="2970" t="s">
        <v>311</v>
      </c>
    </row>
    <row r="412" spans="1:16" ht="12.75" hidden="1" customHeight="1">
      <c r="A412" s="2976"/>
      <c r="B412" s="1055" t="s">
        <v>150</v>
      </c>
      <c r="C412" s="3046"/>
      <c r="D412" s="2031">
        <f t="shared" si="238"/>
        <v>75188</v>
      </c>
      <c r="E412" s="2049">
        <v>0</v>
      </c>
      <c r="F412" s="2031">
        <f>+F413+F414</f>
        <v>11540</v>
      </c>
      <c r="G412" s="2031">
        <f t="shared" ref="G412:I412" si="241">+G413+G414</f>
        <v>25273</v>
      </c>
      <c r="H412" s="2031">
        <f t="shared" si="241"/>
        <v>25709</v>
      </c>
      <c r="I412" s="2031">
        <f t="shared" si="241"/>
        <v>12666</v>
      </c>
      <c r="J412" s="1960">
        <v>0</v>
      </c>
      <c r="K412" s="1960">
        <v>0</v>
      </c>
      <c r="L412" s="1960">
        <v>0</v>
      </c>
      <c r="M412" s="2033">
        <f t="shared" ref="M412:N414" si="242">+H412+G412+F412+E412</f>
        <v>62522</v>
      </c>
      <c r="N412" s="2033">
        <f t="shared" si="242"/>
        <v>75188</v>
      </c>
      <c r="O412" s="2970"/>
    </row>
    <row r="413" spans="1:16" ht="12.75" hidden="1" customHeight="1">
      <c r="A413" s="2976"/>
      <c r="B413" s="1055" t="s">
        <v>110</v>
      </c>
      <c r="C413" s="3046"/>
      <c r="D413" s="2031">
        <f t="shared" si="238"/>
        <v>61857</v>
      </c>
      <c r="E413" s="2049">
        <v>0</v>
      </c>
      <c r="F413" s="2031">
        <f>10714-1427</f>
        <v>9287</v>
      </c>
      <c r="G413" s="2031">
        <f>21623-548</f>
        <v>21075</v>
      </c>
      <c r="H413" s="2031">
        <f>21679-604</f>
        <v>21075</v>
      </c>
      <c r="I413" s="2031">
        <f>10713-293</f>
        <v>10420</v>
      </c>
      <c r="J413" s="1960">
        <v>0</v>
      </c>
      <c r="K413" s="1960">
        <v>0</v>
      </c>
      <c r="L413" s="1960">
        <v>0</v>
      </c>
      <c r="M413" s="2033">
        <f t="shared" si="242"/>
        <v>51437</v>
      </c>
      <c r="N413" s="2033">
        <f t="shared" si="242"/>
        <v>61857</v>
      </c>
      <c r="O413" s="2970"/>
    </row>
    <row r="414" spans="1:16" ht="12.75" hidden="1" customHeight="1">
      <c r="A414" s="2976"/>
      <c r="B414" s="1055" t="s">
        <v>294</v>
      </c>
      <c r="C414" s="3046"/>
      <c r="D414" s="2031">
        <f t="shared" si="238"/>
        <v>13331</v>
      </c>
      <c r="E414" s="2049">
        <v>0</v>
      </c>
      <c r="F414" s="2031">
        <f>1959+294</f>
        <v>2253</v>
      </c>
      <c r="G414" s="2031">
        <f>3650+548</f>
        <v>4198</v>
      </c>
      <c r="H414" s="2031">
        <f>4030+604</f>
        <v>4634</v>
      </c>
      <c r="I414" s="2031">
        <f>1953+293</f>
        <v>2246</v>
      </c>
      <c r="J414" s="1960">
        <v>0</v>
      </c>
      <c r="K414" s="1960">
        <v>0</v>
      </c>
      <c r="L414" s="1960">
        <v>0</v>
      </c>
      <c r="M414" s="2033">
        <f t="shared" si="242"/>
        <v>11085</v>
      </c>
      <c r="N414" s="2033">
        <f t="shared" si="242"/>
        <v>13331</v>
      </c>
      <c r="O414" s="2970"/>
    </row>
    <row r="415" spans="1:16" ht="12.75" customHeight="1">
      <c r="A415" s="2976"/>
      <c r="B415" s="1051" t="s">
        <v>18</v>
      </c>
      <c r="C415" s="3046"/>
      <c r="D415" s="2007">
        <f>+E415+F415+G415+H415+I415+J415+K415+L415</f>
        <v>414733</v>
      </c>
      <c r="E415" s="2007">
        <f>+E416</f>
        <v>0</v>
      </c>
      <c r="F415" s="2007">
        <f>+F416</f>
        <v>63127</v>
      </c>
      <c r="G415" s="2007">
        <f t="shared" ref="G415:I415" si="243">+G416</f>
        <v>139818</v>
      </c>
      <c r="H415" s="2007">
        <f t="shared" si="243"/>
        <v>142282</v>
      </c>
      <c r="I415" s="2007">
        <f t="shared" si="243"/>
        <v>69506</v>
      </c>
      <c r="J415" s="2445">
        <v>0</v>
      </c>
      <c r="K415" s="2445">
        <v>0</v>
      </c>
      <c r="L415" s="2445">
        <v>0</v>
      </c>
      <c r="M415" s="2008">
        <f>+M416</f>
        <v>414733</v>
      </c>
      <c r="N415" s="2008">
        <f>+N416</f>
        <v>351606</v>
      </c>
      <c r="O415" s="2970"/>
    </row>
    <row r="416" spans="1:16" ht="12.75" customHeight="1">
      <c r="A416" s="2976"/>
      <c r="B416" s="2446" t="s">
        <v>238</v>
      </c>
      <c r="C416" s="3111"/>
      <c r="D416" s="1016">
        <f>E416+F416+G416+H416+I416+J416+K416+L416</f>
        <v>414733</v>
      </c>
      <c r="E416" s="1977">
        <v>0</v>
      </c>
      <c r="F416" s="2031">
        <f>+F417</f>
        <v>63127</v>
      </c>
      <c r="G416" s="2031">
        <f t="shared" ref="G416:I416" si="244">+G417</f>
        <v>139818</v>
      </c>
      <c r="H416" s="2031">
        <f t="shared" si="244"/>
        <v>142282</v>
      </c>
      <c r="I416" s="2031">
        <f t="shared" si="244"/>
        <v>69506</v>
      </c>
      <c r="J416" s="1960">
        <v>0</v>
      </c>
      <c r="K416" s="1960">
        <v>0</v>
      </c>
      <c r="L416" s="1960">
        <v>0</v>
      </c>
      <c r="M416" s="2033">
        <f>SUM(F416:K416)</f>
        <v>414733</v>
      </c>
      <c r="N416" s="2033">
        <f>SUM(G416:L416)</f>
        <v>351606</v>
      </c>
      <c r="O416" s="2970"/>
    </row>
    <row r="417" spans="1:17" ht="12.75" hidden="1" customHeight="1">
      <c r="A417" s="2976"/>
      <c r="B417" s="1055" t="s">
        <v>150</v>
      </c>
      <c r="C417" s="2974"/>
      <c r="D417" s="1016">
        <f t="shared" ref="D417:D419" si="245">E417+F417+G417+H417+I417+J417+K417+L417</f>
        <v>414733</v>
      </c>
      <c r="E417" s="2049">
        <v>0</v>
      </c>
      <c r="F417" s="2031">
        <f>+F418+F419</f>
        <v>63127</v>
      </c>
      <c r="G417" s="2031">
        <f>+G418+G419</f>
        <v>139818</v>
      </c>
      <c r="H417" s="2031">
        <f>+H418+H419</f>
        <v>142282</v>
      </c>
      <c r="I417" s="2031">
        <f>+I418+I419</f>
        <v>69506</v>
      </c>
      <c r="J417" s="1960">
        <v>0</v>
      </c>
      <c r="K417" s="1960">
        <v>0</v>
      </c>
      <c r="L417" s="1960">
        <v>0</v>
      </c>
      <c r="M417" s="2031">
        <f t="shared" ref="M417:N419" si="246">+H417+G417+F417+E417</f>
        <v>345227</v>
      </c>
      <c r="N417" s="2031">
        <f t="shared" si="246"/>
        <v>414733</v>
      </c>
      <c r="O417" s="2970"/>
    </row>
    <row r="418" spans="1:17" ht="12.75" hidden="1" customHeight="1">
      <c r="A418" s="2976"/>
      <c r="B418" s="1055" t="s">
        <v>110</v>
      </c>
      <c r="C418" s="2822"/>
      <c r="D418" s="1016">
        <f t="shared" si="245"/>
        <v>339192</v>
      </c>
      <c r="E418" s="2049">
        <v>0</v>
      </c>
      <c r="F418" s="2031">
        <f>58446-8085</f>
        <v>50361</v>
      </c>
      <c r="G418" s="2031">
        <f>119128-3103</f>
        <v>116025</v>
      </c>
      <c r="H418" s="2031">
        <f>119450-3425</f>
        <v>116025</v>
      </c>
      <c r="I418" s="2031">
        <f>58441-1660</f>
        <v>56781</v>
      </c>
      <c r="J418" s="1960">
        <v>0</v>
      </c>
      <c r="K418" s="1960">
        <v>0</v>
      </c>
      <c r="L418" s="1960">
        <v>0</v>
      </c>
      <c r="M418" s="2031">
        <f t="shared" si="246"/>
        <v>282411</v>
      </c>
      <c r="N418" s="2031">
        <f t="shared" si="246"/>
        <v>339192</v>
      </c>
      <c r="O418" s="2970"/>
    </row>
    <row r="419" spans="1:17" ht="12" hidden="1" customHeight="1">
      <c r="A419" s="2976"/>
      <c r="B419" s="1055" t="s">
        <v>294</v>
      </c>
      <c r="C419" s="2822"/>
      <c r="D419" s="1016">
        <f t="shared" si="245"/>
        <v>75541</v>
      </c>
      <c r="E419" s="2049">
        <v>0</v>
      </c>
      <c r="F419" s="2031">
        <f>11101+1665</f>
        <v>12766</v>
      </c>
      <c r="G419" s="2031">
        <f>20690+3103</f>
        <v>23793</v>
      </c>
      <c r="H419" s="2031">
        <f>22832+3425</f>
        <v>26257</v>
      </c>
      <c r="I419" s="2031">
        <f>11065+1660</f>
        <v>12725</v>
      </c>
      <c r="J419" s="1960">
        <v>0</v>
      </c>
      <c r="K419" s="1960">
        <v>0</v>
      </c>
      <c r="L419" s="1960">
        <v>0</v>
      </c>
      <c r="M419" s="2031">
        <f t="shared" si="246"/>
        <v>62816</v>
      </c>
      <c r="N419" s="2031">
        <f t="shared" si="246"/>
        <v>75541</v>
      </c>
      <c r="O419" s="2970"/>
    </row>
    <row r="420" spans="1:17" ht="15.75" customHeight="1">
      <c r="A420" s="2976"/>
      <c r="B420" s="715" t="s">
        <v>22</v>
      </c>
      <c r="C420" s="2003"/>
      <c r="D420" s="2004">
        <f>+D421</f>
        <v>414733</v>
      </c>
      <c r="E420" s="2004">
        <f>+E421</f>
        <v>0</v>
      </c>
      <c r="F420" s="2447">
        <v>0</v>
      </c>
      <c r="G420" s="2004">
        <f>+G421</f>
        <v>121384</v>
      </c>
      <c r="H420" s="2004">
        <f t="shared" ref="H420:I420" si="247">+H421</f>
        <v>140845</v>
      </c>
      <c r="I420" s="2004">
        <f t="shared" si="247"/>
        <v>152504</v>
      </c>
      <c r="J420" s="2447">
        <v>0</v>
      </c>
      <c r="K420" s="2447">
        <v>0</v>
      </c>
      <c r="L420" s="2447">
        <v>0</v>
      </c>
      <c r="M420" s="3023" t="s">
        <v>23</v>
      </c>
      <c r="N420" s="3023" t="s">
        <v>23</v>
      </c>
      <c r="O420" s="2970"/>
    </row>
    <row r="421" spans="1:17" ht="12.75" customHeight="1">
      <c r="A421" s="2976"/>
      <c r="B421" s="1051" t="s">
        <v>18</v>
      </c>
      <c r="C421" s="3040" t="s">
        <v>421</v>
      </c>
      <c r="D421" s="2037">
        <f>+D422</f>
        <v>414733</v>
      </c>
      <c r="E421" s="2045">
        <f>+E422</f>
        <v>0</v>
      </c>
      <c r="F421" s="2455">
        <v>0</v>
      </c>
      <c r="G421" s="2045">
        <f>+G422</f>
        <v>121384</v>
      </c>
      <c r="H421" s="2045">
        <f t="shared" ref="H421:I421" si="248">+H422</f>
        <v>140845</v>
      </c>
      <c r="I421" s="2045">
        <f t="shared" si="248"/>
        <v>152504</v>
      </c>
      <c r="J421" s="2448">
        <v>0</v>
      </c>
      <c r="K421" s="2448">
        <v>0</v>
      </c>
      <c r="L421" s="2448">
        <v>0</v>
      </c>
      <c r="M421" s="3024"/>
      <c r="N421" s="3024"/>
      <c r="O421" s="2970"/>
    </row>
    <row r="422" spans="1:17" ht="12.75" customHeight="1" thickBot="1">
      <c r="A422" s="2977"/>
      <c r="B422" s="891" t="s">
        <v>20</v>
      </c>
      <c r="C422" s="3074"/>
      <c r="D422" s="2417">
        <f>E422+F422+G422+H422+I422+J422+K422+L422</f>
        <v>414733</v>
      </c>
      <c r="E422" s="2417">
        <v>0</v>
      </c>
      <c r="F422" s="2458">
        <v>0</v>
      </c>
      <c r="G422" s="2831">
        <f>127804-6420</f>
        <v>121384</v>
      </c>
      <c r="H422" s="2831">
        <f>140845</f>
        <v>140845</v>
      </c>
      <c r="I422" s="2823">
        <v>152504</v>
      </c>
      <c r="J422" s="2458">
        <v>0</v>
      </c>
      <c r="K422" s="2458">
        <v>0</v>
      </c>
      <c r="L422" s="2458">
        <v>0</v>
      </c>
      <c r="M422" s="3025"/>
      <c r="N422" s="3025"/>
      <c r="O422" s="2971"/>
    </row>
    <row r="423" spans="1:17" ht="26.25" hidden="1" customHeight="1">
      <c r="A423" s="3182" t="s">
        <v>270</v>
      </c>
      <c r="B423" s="131" t="s">
        <v>103</v>
      </c>
      <c r="C423" s="957"/>
      <c r="D423" s="958"/>
      <c r="E423" s="960"/>
      <c r="F423" s="960"/>
      <c r="G423" s="960"/>
      <c r="H423" s="960"/>
      <c r="I423" s="960"/>
      <c r="J423" s="960"/>
      <c r="K423" s="960"/>
      <c r="L423" s="960"/>
      <c r="M423" s="961"/>
      <c r="N423" s="961"/>
      <c r="O423" s="3168"/>
    </row>
    <row r="424" spans="1:17" ht="12" hidden="1" customHeight="1">
      <c r="A424" s="3183"/>
      <c r="B424" s="21" t="s">
        <v>10</v>
      </c>
      <c r="C424" s="22"/>
      <c r="D424" s="132">
        <f>+D425+D429</f>
        <v>0</v>
      </c>
      <c r="E424" s="132">
        <f>+E425+E429</f>
        <v>0</v>
      </c>
      <c r="F424" s="132">
        <f t="shared" ref="F424:G424" si="249">+F425+F429</f>
        <v>0</v>
      </c>
      <c r="G424" s="132">
        <f t="shared" si="249"/>
        <v>0</v>
      </c>
      <c r="H424" s="132">
        <f t="shared" ref="H424:N424" si="250">+H425+H429</f>
        <v>0</v>
      </c>
      <c r="I424" s="132">
        <f t="shared" si="250"/>
        <v>0</v>
      </c>
      <c r="J424" s="132">
        <f t="shared" si="250"/>
        <v>0</v>
      </c>
      <c r="K424" s="132">
        <f t="shared" si="250"/>
        <v>0</v>
      </c>
      <c r="L424" s="132">
        <f t="shared" si="250"/>
        <v>0</v>
      </c>
      <c r="M424" s="32">
        <f t="shared" ref="M424" si="251">+M425+M429</f>
        <v>0</v>
      </c>
      <c r="N424" s="32">
        <f t="shared" si="250"/>
        <v>0</v>
      </c>
      <c r="O424" s="3169"/>
      <c r="P424" s="480" t="e">
        <f>+#REF!+#REF!</f>
        <v>#REF!</v>
      </c>
      <c r="Q424" s="480"/>
    </row>
    <row r="425" spans="1:17" s="909" customFormat="1" ht="12" hidden="1" customHeight="1">
      <c r="A425" s="3183"/>
      <c r="B425" s="962" t="s">
        <v>11</v>
      </c>
      <c r="C425" s="963"/>
      <c r="D425" s="123">
        <f>+D426+D427+D428</f>
        <v>0</v>
      </c>
      <c r="E425" s="123">
        <f>+E426+E427+E428</f>
        <v>0</v>
      </c>
      <c r="F425" s="123">
        <f t="shared" ref="F425:G425" si="252">+F426+F427+F428</f>
        <v>0</v>
      </c>
      <c r="G425" s="123">
        <f t="shared" si="252"/>
        <v>0</v>
      </c>
      <c r="H425" s="123">
        <f t="shared" ref="H425:N425" si="253">+H426+H427+H428</f>
        <v>0</v>
      </c>
      <c r="I425" s="123">
        <f t="shared" si="253"/>
        <v>0</v>
      </c>
      <c r="J425" s="123">
        <f t="shared" si="253"/>
        <v>0</v>
      </c>
      <c r="K425" s="123">
        <f t="shared" si="253"/>
        <v>0</v>
      </c>
      <c r="L425" s="123">
        <f t="shared" si="253"/>
        <v>0</v>
      </c>
      <c r="M425" s="34">
        <f t="shared" ref="M425" si="254">+M426+M427+M428</f>
        <v>0</v>
      </c>
      <c r="N425" s="34">
        <f t="shared" si="253"/>
        <v>0</v>
      </c>
      <c r="O425" s="3169"/>
      <c r="Q425" s="480"/>
    </row>
    <row r="426" spans="1:17" ht="12" hidden="1" customHeight="1">
      <c r="A426" s="3183"/>
      <c r="B426" s="964" t="s">
        <v>12</v>
      </c>
      <c r="C426" s="965"/>
      <c r="D426" s="35">
        <f>+D442+D460</f>
        <v>0</v>
      </c>
      <c r="E426" s="35">
        <f>+E442+E460</f>
        <v>0</v>
      </c>
      <c r="F426" s="35">
        <f t="shared" ref="F426:G426" si="255">+F442+F460</f>
        <v>0</v>
      </c>
      <c r="G426" s="35">
        <f t="shared" si="255"/>
        <v>0</v>
      </c>
      <c r="H426" s="35">
        <f>+H442+H460</f>
        <v>0</v>
      </c>
      <c r="I426" s="35">
        <f>+I442+I460</f>
        <v>0</v>
      </c>
      <c r="J426" s="35">
        <f>+J442+J460</f>
        <v>0</v>
      </c>
      <c r="K426" s="35">
        <f>+K442+K460</f>
        <v>0</v>
      </c>
      <c r="L426" s="35">
        <f>+L442+L460</f>
        <v>0</v>
      </c>
      <c r="M426" s="36">
        <f t="shared" ref="M426:N428" si="256">SUM(E426:H426)</f>
        <v>0</v>
      </c>
      <c r="N426" s="36">
        <f t="shared" si="256"/>
        <v>0</v>
      </c>
      <c r="O426" s="3169"/>
      <c r="P426" s="480"/>
      <c r="Q426" s="480"/>
    </row>
    <row r="427" spans="1:17" ht="12" hidden="1" customHeight="1">
      <c r="A427" s="3183"/>
      <c r="B427" s="922" t="s">
        <v>78</v>
      </c>
      <c r="C427" s="923"/>
      <c r="D427" s="35">
        <f>+D443</f>
        <v>0</v>
      </c>
      <c r="E427" s="35">
        <f>+E443</f>
        <v>0</v>
      </c>
      <c r="F427" s="35">
        <f t="shared" ref="F427:G428" si="257">+F443</f>
        <v>0</v>
      </c>
      <c r="G427" s="35">
        <f t="shared" si="257"/>
        <v>0</v>
      </c>
      <c r="H427" s="35">
        <f t="shared" ref="H427:L428" si="258">+H443</f>
        <v>0</v>
      </c>
      <c r="I427" s="35">
        <f t="shared" si="258"/>
        <v>0</v>
      </c>
      <c r="J427" s="35">
        <f t="shared" si="258"/>
        <v>0</v>
      </c>
      <c r="K427" s="35">
        <f t="shared" si="258"/>
        <v>0</v>
      </c>
      <c r="L427" s="35">
        <f t="shared" si="258"/>
        <v>0</v>
      </c>
      <c r="M427" s="36">
        <f t="shared" si="256"/>
        <v>0</v>
      </c>
      <c r="N427" s="36">
        <f t="shared" si="256"/>
        <v>0</v>
      </c>
      <c r="O427" s="3169"/>
      <c r="Q427" s="480"/>
    </row>
    <row r="428" spans="1:17" ht="12" hidden="1" customHeight="1">
      <c r="A428" s="3183"/>
      <c r="B428" s="966" t="s">
        <v>52</v>
      </c>
      <c r="C428" s="967"/>
      <c r="D428" s="35">
        <f>+D444</f>
        <v>0</v>
      </c>
      <c r="E428" s="35">
        <f>+E444</f>
        <v>0</v>
      </c>
      <c r="F428" s="35">
        <f t="shared" si="257"/>
        <v>0</v>
      </c>
      <c r="G428" s="35">
        <f t="shared" si="257"/>
        <v>0</v>
      </c>
      <c r="H428" s="35">
        <f t="shared" si="258"/>
        <v>0</v>
      </c>
      <c r="I428" s="35">
        <f t="shared" si="258"/>
        <v>0</v>
      </c>
      <c r="J428" s="35">
        <f t="shared" si="258"/>
        <v>0</v>
      </c>
      <c r="K428" s="35">
        <f t="shared" si="258"/>
        <v>0</v>
      </c>
      <c r="L428" s="35">
        <f t="shared" si="258"/>
        <v>0</v>
      </c>
      <c r="M428" s="36">
        <f t="shared" si="256"/>
        <v>0</v>
      </c>
      <c r="N428" s="36">
        <f t="shared" si="256"/>
        <v>0</v>
      </c>
      <c r="O428" s="3169"/>
      <c r="P428" s="480"/>
      <c r="Q428" s="480"/>
    </row>
    <row r="429" spans="1:17" s="969" customFormat="1" ht="12" hidden="1" customHeight="1">
      <c r="A429" s="3183"/>
      <c r="B429" s="925" t="s">
        <v>18</v>
      </c>
      <c r="C429" s="968"/>
      <c r="D429" s="33">
        <f>+D430+D431</f>
        <v>0</v>
      </c>
      <c r="E429" s="33">
        <f>+E430+E431</f>
        <v>0</v>
      </c>
      <c r="F429" s="33">
        <f t="shared" ref="F429:G429" si="259">+F430+F431</f>
        <v>0</v>
      </c>
      <c r="G429" s="33">
        <f t="shared" si="259"/>
        <v>0</v>
      </c>
      <c r="H429" s="33">
        <f t="shared" ref="H429:N429" si="260">+H430+H431</f>
        <v>0</v>
      </c>
      <c r="I429" s="33">
        <f t="shared" si="260"/>
        <v>0</v>
      </c>
      <c r="J429" s="33">
        <f t="shared" si="260"/>
        <v>0</v>
      </c>
      <c r="K429" s="33">
        <f t="shared" si="260"/>
        <v>0</v>
      </c>
      <c r="L429" s="33">
        <f t="shared" si="260"/>
        <v>0</v>
      </c>
      <c r="M429" s="133">
        <f t="shared" ref="M429" si="261">+M430+M431</f>
        <v>0</v>
      </c>
      <c r="N429" s="133">
        <f t="shared" si="260"/>
        <v>0</v>
      </c>
      <c r="O429" s="3169"/>
      <c r="P429" s="908"/>
      <c r="Q429" s="908"/>
    </row>
    <row r="430" spans="1:17" ht="12" hidden="1" customHeight="1">
      <c r="A430" s="3183"/>
      <c r="B430" s="926" t="s">
        <v>21</v>
      </c>
      <c r="C430" s="967"/>
      <c r="D430" s="35">
        <f>+D446+D462</f>
        <v>0</v>
      </c>
      <c r="E430" s="35">
        <f>+E446+E462</f>
        <v>0</v>
      </c>
      <c r="F430" s="35">
        <f t="shared" ref="F430:G430" si="262">+F446+F462</f>
        <v>0</v>
      </c>
      <c r="G430" s="35">
        <f t="shared" si="262"/>
        <v>0</v>
      </c>
      <c r="H430" s="35">
        <f>+H446+H462</f>
        <v>0</v>
      </c>
      <c r="I430" s="35">
        <f>+I446+I462</f>
        <v>0</v>
      </c>
      <c r="J430" s="35">
        <f>+J446+J462</f>
        <v>0</v>
      </c>
      <c r="K430" s="35">
        <f>+K446+K462</f>
        <v>0</v>
      </c>
      <c r="L430" s="35">
        <f>+L446+L462</f>
        <v>0</v>
      </c>
      <c r="M430" s="36">
        <f>SUM(E430:H430)</f>
        <v>0</v>
      </c>
      <c r="N430" s="36">
        <f>SUM(F430:I430)</f>
        <v>0</v>
      </c>
      <c r="O430" s="3169"/>
      <c r="P430" s="480"/>
      <c r="Q430" s="480"/>
    </row>
    <row r="431" spans="1:17" ht="12" hidden="1" customHeight="1">
      <c r="A431" s="3183"/>
      <c r="B431" s="926" t="s">
        <v>79</v>
      </c>
      <c r="C431" s="967"/>
      <c r="D431" s="35">
        <f>+D447</f>
        <v>0</v>
      </c>
      <c r="E431" s="35">
        <f>+E447</f>
        <v>0</v>
      </c>
      <c r="F431" s="35">
        <f t="shared" ref="F431:G431" si="263">+F447</f>
        <v>0</v>
      </c>
      <c r="G431" s="35">
        <f t="shared" si="263"/>
        <v>0</v>
      </c>
      <c r="H431" s="35">
        <f>+H447</f>
        <v>0</v>
      </c>
      <c r="I431" s="35">
        <f>+I447</f>
        <v>0</v>
      </c>
      <c r="J431" s="35">
        <f>+J447</f>
        <v>0</v>
      </c>
      <c r="K431" s="35">
        <f>+K447</f>
        <v>0</v>
      </c>
      <c r="L431" s="35">
        <f>+L447</f>
        <v>0</v>
      </c>
      <c r="M431" s="36">
        <f>SUM(E431:H431)</f>
        <v>0</v>
      </c>
      <c r="N431" s="36">
        <f>SUM(F431:I431)</f>
        <v>0</v>
      </c>
      <c r="O431" s="3169"/>
      <c r="P431" s="480"/>
      <c r="Q431" s="480"/>
    </row>
    <row r="432" spans="1:17" ht="12" hidden="1" customHeight="1">
      <c r="A432" s="3183"/>
      <c r="B432" s="21" t="s">
        <v>22</v>
      </c>
      <c r="C432" s="22"/>
      <c r="D432" s="199">
        <f>+D433+D436</f>
        <v>0</v>
      </c>
      <c r="E432" s="199">
        <f>+E433+E436</f>
        <v>0</v>
      </c>
      <c r="F432" s="199">
        <f t="shared" ref="F432:G432" si="264">+F433+F436</f>
        <v>0</v>
      </c>
      <c r="G432" s="199">
        <f t="shared" si="264"/>
        <v>0</v>
      </c>
      <c r="H432" s="199">
        <f>+H433+H436</f>
        <v>0</v>
      </c>
      <c r="I432" s="199">
        <f>+I433+I436</f>
        <v>0</v>
      </c>
      <c r="J432" s="199">
        <f>+J433+J436</f>
        <v>0</v>
      </c>
      <c r="K432" s="199">
        <f>+K433+K436</f>
        <v>0</v>
      </c>
      <c r="L432" s="199">
        <f>+L433+L436</f>
        <v>0</v>
      </c>
      <c r="M432" s="3026" t="s">
        <v>23</v>
      </c>
      <c r="N432" s="3026" t="s">
        <v>23</v>
      </c>
      <c r="O432" s="3169"/>
    </row>
    <row r="433" spans="1:16" ht="12" hidden="1" customHeight="1">
      <c r="A433" s="3183"/>
      <c r="B433" s="970" t="s">
        <v>24</v>
      </c>
      <c r="C433" s="971"/>
      <c r="D433" s="123">
        <f>+D434+D435</f>
        <v>0</v>
      </c>
      <c r="E433" s="123">
        <f>+E434+E435</f>
        <v>0</v>
      </c>
      <c r="F433" s="123">
        <f t="shared" ref="F433:G433" si="265">+F434+F435</f>
        <v>0</v>
      </c>
      <c r="G433" s="123">
        <f t="shared" si="265"/>
        <v>0</v>
      </c>
      <c r="H433" s="123">
        <f>+H434+H435</f>
        <v>0</v>
      </c>
      <c r="I433" s="123">
        <f>+I434+I435</f>
        <v>0</v>
      </c>
      <c r="J433" s="123">
        <f>+J434+J435</f>
        <v>0</v>
      </c>
      <c r="K433" s="123">
        <f>+K434+K435</f>
        <v>0</v>
      </c>
      <c r="L433" s="123">
        <f>+L434+L435</f>
        <v>0</v>
      </c>
      <c r="M433" s="3024"/>
      <c r="N433" s="3024"/>
      <c r="O433" s="3169"/>
      <c r="P433" s="480"/>
    </row>
    <row r="434" spans="1:16" ht="12" hidden="1" customHeight="1">
      <c r="A434" s="3183"/>
      <c r="B434" s="266" t="s">
        <v>78</v>
      </c>
      <c r="C434" s="967"/>
      <c r="D434" s="35">
        <f>+D450</f>
        <v>0</v>
      </c>
      <c r="E434" s="35">
        <f>+E450</f>
        <v>0</v>
      </c>
      <c r="F434" s="35">
        <f t="shared" ref="F434:L434" si="266">+F450</f>
        <v>0</v>
      </c>
      <c r="G434" s="35">
        <f t="shared" si="266"/>
        <v>0</v>
      </c>
      <c r="H434" s="35">
        <f t="shared" si="266"/>
        <v>0</v>
      </c>
      <c r="I434" s="35">
        <f t="shared" si="266"/>
        <v>0</v>
      </c>
      <c r="J434" s="35">
        <f t="shared" si="266"/>
        <v>0</v>
      </c>
      <c r="K434" s="35">
        <f t="shared" si="266"/>
        <v>0</v>
      </c>
      <c r="L434" s="35">
        <f t="shared" si="266"/>
        <v>0</v>
      </c>
      <c r="M434" s="3024"/>
      <c r="N434" s="3024"/>
      <c r="O434" s="3169"/>
    </row>
    <row r="435" spans="1:16" ht="12" hidden="1" customHeight="1">
      <c r="A435" s="3183"/>
      <c r="B435" s="972" t="s">
        <v>52</v>
      </c>
      <c r="C435" s="134"/>
      <c r="D435" s="35">
        <f>+D452</f>
        <v>0</v>
      </c>
      <c r="E435" s="35">
        <f>+E452</f>
        <v>0</v>
      </c>
      <c r="F435" s="35">
        <f t="shared" ref="F435:L435" si="267">+F452</f>
        <v>0</v>
      </c>
      <c r="G435" s="35">
        <f t="shared" si="267"/>
        <v>0</v>
      </c>
      <c r="H435" s="35">
        <f t="shared" si="267"/>
        <v>0</v>
      </c>
      <c r="I435" s="35">
        <f t="shared" si="267"/>
        <v>0</v>
      </c>
      <c r="J435" s="35">
        <f t="shared" si="267"/>
        <v>0</v>
      </c>
      <c r="K435" s="35">
        <f t="shared" si="267"/>
        <v>0</v>
      </c>
      <c r="L435" s="35">
        <f t="shared" si="267"/>
        <v>0</v>
      </c>
      <c r="M435" s="3024"/>
      <c r="N435" s="3024"/>
      <c r="O435" s="3169"/>
    </row>
    <row r="436" spans="1:16" s="969" customFormat="1" ht="12" hidden="1" customHeight="1">
      <c r="A436" s="3183"/>
      <c r="B436" s="973" t="s">
        <v>18</v>
      </c>
      <c r="C436" s="968"/>
      <c r="D436" s="135">
        <f>+D437+D438</f>
        <v>0</v>
      </c>
      <c r="E436" s="135">
        <f>+E437+E438</f>
        <v>0</v>
      </c>
      <c r="F436" s="135">
        <f t="shared" ref="F436:G436" si="268">+F437+F438</f>
        <v>0</v>
      </c>
      <c r="G436" s="135">
        <f t="shared" si="268"/>
        <v>0</v>
      </c>
      <c r="H436" s="135">
        <f>+H437+H438</f>
        <v>0</v>
      </c>
      <c r="I436" s="135">
        <f>+I437+I438</f>
        <v>0</v>
      </c>
      <c r="J436" s="135">
        <f>+J437+J438</f>
        <v>0</v>
      </c>
      <c r="K436" s="135">
        <f>+K437+K438</f>
        <v>0</v>
      </c>
      <c r="L436" s="135">
        <f>+L437+L438</f>
        <v>0</v>
      </c>
      <c r="M436" s="3024"/>
      <c r="N436" s="3024"/>
      <c r="O436" s="3169"/>
    </row>
    <row r="437" spans="1:16" ht="12" hidden="1" customHeight="1">
      <c r="A437" s="3183"/>
      <c r="B437" s="974" t="s">
        <v>21</v>
      </c>
      <c r="C437" s="967"/>
      <c r="D437" s="35">
        <f>+D455+D465</f>
        <v>0</v>
      </c>
      <c r="E437" s="35">
        <f>+E455+E465</f>
        <v>0</v>
      </c>
      <c r="F437" s="35">
        <f t="shared" ref="F437:G437" si="269">+F455+F465</f>
        <v>0</v>
      </c>
      <c r="G437" s="35">
        <f t="shared" si="269"/>
        <v>0</v>
      </c>
      <c r="H437" s="35">
        <f>+H455+H465</f>
        <v>0</v>
      </c>
      <c r="I437" s="35">
        <f>+I455+I465</f>
        <v>0</v>
      </c>
      <c r="J437" s="35">
        <f>+J455+J465</f>
        <v>0</v>
      </c>
      <c r="K437" s="35">
        <f>+K455+K465</f>
        <v>0</v>
      </c>
      <c r="L437" s="35">
        <f>+L455+L465</f>
        <v>0</v>
      </c>
      <c r="M437" s="3024"/>
      <c r="N437" s="3024"/>
      <c r="O437" s="3169"/>
    </row>
    <row r="438" spans="1:16" ht="12" hidden="1" customHeight="1" thickBot="1">
      <c r="A438" s="3184"/>
      <c r="B438" s="975" t="s">
        <v>79</v>
      </c>
      <c r="C438" s="951"/>
      <c r="D438" s="126">
        <f>+D456</f>
        <v>0</v>
      </c>
      <c r="E438" s="126">
        <f>+E456</f>
        <v>0</v>
      </c>
      <c r="F438" s="126">
        <f t="shared" ref="F438:G438" si="270">+F456</f>
        <v>0</v>
      </c>
      <c r="G438" s="126">
        <f t="shared" si="270"/>
        <v>0</v>
      </c>
      <c r="H438" s="253">
        <f>+H456</f>
        <v>0</v>
      </c>
      <c r="I438" s="254">
        <f>+I456</f>
        <v>0</v>
      </c>
      <c r="J438" s="254">
        <f>+J456</f>
        <v>0</v>
      </c>
      <c r="K438" s="254">
        <f>+K456</f>
        <v>0</v>
      </c>
      <c r="L438" s="254">
        <f>+L456</f>
        <v>0</v>
      </c>
      <c r="M438" s="3025"/>
      <c r="N438" s="3025"/>
      <c r="O438" s="976"/>
    </row>
    <row r="439" spans="1:16" hidden="1">
      <c r="A439" s="3084"/>
      <c r="B439" s="699"/>
      <c r="C439" s="58" t="s">
        <v>81</v>
      </c>
      <c r="D439" s="104"/>
      <c r="E439" s="106"/>
      <c r="F439" s="105"/>
      <c r="G439" s="700"/>
      <c r="H439" s="700"/>
      <c r="I439" s="700"/>
      <c r="J439" s="700"/>
      <c r="K439" s="700"/>
      <c r="L439" s="700"/>
      <c r="M439" s="45"/>
      <c r="N439" s="45"/>
      <c r="O439" s="3037" t="s">
        <v>105</v>
      </c>
    </row>
    <row r="440" spans="1:16" ht="15" hidden="1" customHeight="1">
      <c r="A440" s="3085"/>
      <c r="B440" s="21" t="s">
        <v>10</v>
      </c>
      <c r="C440" s="22"/>
      <c r="D440" s="107">
        <f t="shared" ref="D440:I440" si="271">+D441+D445</f>
        <v>0</v>
      </c>
      <c r="E440" s="107">
        <f t="shared" si="271"/>
        <v>0</v>
      </c>
      <c r="F440" s="107">
        <f t="shared" si="271"/>
        <v>0</v>
      </c>
      <c r="G440" s="107">
        <f t="shared" si="271"/>
        <v>0</v>
      </c>
      <c r="H440" s="107">
        <f t="shared" si="271"/>
        <v>0</v>
      </c>
      <c r="I440" s="107">
        <f t="shared" si="271"/>
        <v>0</v>
      </c>
      <c r="J440" s="107"/>
      <c r="K440" s="107"/>
      <c r="L440" s="107"/>
      <c r="M440" s="32">
        <f>+M441+M445</f>
        <v>0</v>
      </c>
      <c r="N440" s="32">
        <f>+N441+N445</f>
        <v>0</v>
      </c>
      <c r="O440" s="3038"/>
      <c r="P440" s="480" t="e">
        <f>+#REF!+#REF!</f>
        <v>#REF!</v>
      </c>
    </row>
    <row r="441" spans="1:16" hidden="1">
      <c r="A441" s="3085"/>
      <c r="B441" s="173" t="s">
        <v>24</v>
      </c>
      <c r="C441" s="3050" t="s">
        <v>98</v>
      </c>
      <c r="D441" s="108">
        <f t="shared" ref="D441:I441" si="272">+D442+D443+D444</f>
        <v>0</v>
      </c>
      <c r="E441" s="109">
        <f t="shared" si="272"/>
        <v>0</v>
      </c>
      <c r="F441" s="108">
        <f t="shared" si="272"/>
        <v>0</v>
      </c>
      <c r="G441" s="108">
        <f t="shared" si="272"/>
        <v>0</v>
      </c>
      <c r="H441" s="108">
        <f t="shared" si="272"/>
        <v>0</v>
      </c>
      <c r="I441" s="108">
        <f t="shared" si="272"/>
        <v>0</v>
      </c>
      <c r="J441" s="110"/>
      <c r="K441" s="110"/>
      <c r="L441" s="110"/>
      <c r="M441" s="79">
        <f>+M442+M443+M444</f>
        <v>0</v>
      </c>
      <c r="N441" s="79">
        <f>+N442+N443+N444</f>
        <v>0</v>
      </c>
      <c r="O441" s="3038"/>
    </row>
    <row r="442" spans="1:16" ht="11.25" hidden="1" customHeight="1">
      <c r="A442" s="3085"/>
      <c r="B442" s="459" t="s">
        <v>12</v>
      </c>
      <c r="C442" s="3100"/>
      <c r="D442" s="249">
        <f t="shared" ref="D442:D447" si="273">E442+F442+G442+H442+I442+J442+K442+L442</f>
        <v>0</v>
      </c>
      <c r="E442" s="286"/>
      <c r="F442" s="701">
        <v>0</v>
      </c>
      <c r="G442" s="701">
        <v>0</v>
      </c>
      <c r="H442" s="701">
        <v>0</v>
      </c>
      <c r="I442" s="701">
        <v>0</v>
      </c>
      <c r="J442" s="702"/>
      <c r="K442" s="702"/>
      <c r="L442" s="702"/>
      <c r="M442" s="36">
        <f t="shared" ref="M442:N444" si="274">SUM(E442:H442)</f>
        <v>0</v>
      </c>
      <c r="N442" s="36">
        <f t="shared" si="274"/>
        <v>0</v>
      </c>
      <c r="O442" s="3038"/>
      <c r="P442" s="480"/>
    </row>
    <row r="443" spans="1:16" hidden="1">
      <c r="A443" s="3085"/>
      <c r="B443" s="136" t="s">
        <v>78</v>
      </c>
      <c r="C443" s="3100"/>
      <c r="D443" s="249">
        <f t="shared" si="273"/>
        <v>0</v>
      </c>
      <c r="E443" s="286"/>
      <c r="F443" s="137">
        <v>0</v>
      </c>
      <c r="G443" s="137">
        <v>0</v>
      </c>
      <c r="H443" s="137">
        <v>0</v>
      </c>
      <c r="I443" s="137">
        <v>0</v>
      </c>
      <c r="J443" s="114"/>
      <c r="K443" s="114"/>
      <c r="L443" s="114"/>
      <c r="M443" s="36">
        <f t="shared" si="274"/>
        <v>0</v>
      </c>
      <c r="N443" s="36">
        <f t="shared" si="274"/>
        <v>0</v>
      </c>
      <c r="O443" s="3038"/>
    </row>
    <row r="444" spans="1:16" ht="12" hidden="1" customHeight="1">
      <c r="A444" s="3085"/>
      <c r="B444" s="637" t="s">
        <v>106</v>
      </c>
      <c r="C444" s="3046"/>
      <c r="D444" s="249">
        <f t="shared" si="273"/>
        <v>0</v>
      </c>
      <c r="E444" s="286"/>
      <c r="F444" s="701">
        <v>0</v>
      </c>
      <c r="G444" s="701">
        <v>0</v>
      </c>
      <c r="H444" s="701">
        <v>0</v>
      </c>
      <c r="I444" s="701">
        <v>0</v>
      </c>
      <c r="J444" s="702"/>
      <c r="K444" s="702"/>
      <c r="L444" s="702"/>
      <c r="M444" s="36">
        <f t="shared" si="274"/>
        <v>0</v>
      </c>
      <c r="N444" s="36">
        <f t="shared" si="274"/>
        <v>0</v>
      </c>
      <c r="O444" s="3038"/>
    </row>
    <row r="445" spans="1:16" s="969" customFormat="1" hidden="1">
      <c r="A445" s="3085"/>
      <c r="B445" s="488" t="s">
        <v>18</v>
      </c>
      <c r="C445" s="703"/>
      <c r="D445" s="49">
        <f>+D446+D447</f>
        <v>0</v>
      </c>
      <c r="E445" s="704">
        <f t="shared" ref="E445:N445" si="275">+E446+E447</f>
        <v>0</v>
      </c>
      <c r="F445" s="704">
        <f t="shared" si="275"/>
        <v>0</v>
      </c>
      <c r="G445" s="704">
        <f t="shared" si="275"/>
        <v>0</v>
      </c>
      <c r="H445" s="704">
        <f t="shared" si="275"/>
        <v>0</v>
      </c>
      <c r="I445" s="704">
        <f t="shared" si="275"/>
        <v>0</v>
      </c>
      <c r="J445" s="704"/>
      <c r="K445" s="704"/>
      <c r="L445" s="704"/>
      <c r="M445" s="79">
        <f t="shared" ref="M445" si="276">+M446+M447</f>
        <v>0</v>
      </c>
      <c r="N445" s="79">
        <f t="shared" si="275"/>
        <v>0</v>
      </c>
      <c r="O445" s="3038"/>
    </row>
    <row r="446" spans="1:16" hidden="1">
      <c r="A446" s="3085"/>
      <c r="B446" s="934" t="s">
        <v>21</v>
      </c>
      <c r="C446" s="2973"/>
      <c r="D446" s="249">
        <f t="shared" si="273"/>
        <v>0</v>
      </c>
      <c r="E446" s="286"/>
      <c r="F446" s="702">
        <v>0</v>
      </c>
      <c r="G446" s="702">
        <v>0</v>
      </c>
      <c r="H446" s="702">
        <v>0</v>
      </c>
      <c r="I446" s="702">
        <v>0</v>
      </c>
      <c r="J446" s="702"/>
      <c r="K446" s="702"/>
      <c r="L446" s="702"/>
      <c r="M446" s="36">
        <f>SUM(E446:H446)</f>
        <v>0</v>
      </c>
      <c r="N446" s="36">
        <f>SUM(F446:I446)</f>
        <v>0</v>
      </c>
      <c r="O446" s="3038"/>
    </row>
    <row r="447" spans="1:16" ht="12" hidden="1" customHeight="1">
      <c r="A447" s="3085"/>
      <c r="B447" s="934" t="s">
        <v>79</v>
      </c>
      <c r="C447" s="2973"/>
      <c r="D447" s="249">
        <f t="shared" si="273"/>
        <v>0</v>
      </c>
      <c r="E447" s="286"/>
      <c r="F447" s="702">
        <v>0</v>
      </c>
      <c r="G447" s="702">
        <v>0</v>
      </c>
      <c r="H447" s="702">
        <v>0</v>
      </c>
      <c r="I447" s="702">
        <v>0</v>
      </c>
      <c r="J447" s="702"/>
      <c r="K447" s="702"/>
      <c r="L447" s="702"/>
      <c r="M447" s="36">
        <f>SUM(E447:H447)</f>
        <v>0</v>
      </c>
      <c r="N447" s="36">
        <f>SUM(F447:I447)</f>
        <v>0</v>
      </c>
      <c r="O447" s="3038"/>
    </row>
    <row r="448" spans="1:16" ht="14.25" hidden="1" customHeight="1">
      <c r="A448" s="3085"/>
      <c r="B448" s="21" t="s">
        <v>22</v>
      </c>
      <c r="C448" s="22"/>
      <c r="D448" s="199">
        <f t="shared" ref="D448:I448" si="277">+D449+D453</f>
        <v>0</v>
      </c>
      <c r="E448" s="199">
        <f t="shared" si="277"/>
        <v>0</v>
      </c>
      <c r="F448" s="199">
        <f t="shared" si="277"/>
        <v>0</v>
      </c>
      <c r="G448" s="199">
        <f t="shared" si="277"/>
        <v>0</v>
      </c>
      <c r="H448" s="199">
        <f t="shared" si="277"/>
        <v>0</v>
      </c>
      <c r="I448" s="199">
        <f t="shared" si="277"/>
        <v>0</v>
      </c>
      <c r="J448" s="199"/>
      <c r="K448" s="199"/>
      <c r="L448" s="199"/>
      <c r="M448" s="3026" t="s">
        <v>23</v>
      </c>
      <c r="N448" s="3026" t="s">
        <v>23</v>
      </c>
      <c r="O448" s="3038"/>
      <c r="P448" s="480"/>
    </row>
    <row r="449" spans="1:19" s="977" customFormat="1" ht="12.75" hidden="1" customHeight="1">
      <c r="A449" s="3085"/>
      <c r="B449" s="173" t="s">
        <v>24</v>
      </c>
      <c r="C449" s="3050" t="s">
        <v>98</v>
      </c>
      <c r="D449" s="830">
        <f>+D450+D451+D452</f>
        <v>0</v>
      </c>
      <c r="E449" s="830">
        <f>SUM(E450:E452)</f>
        <v>0</v>
      </c>
      <c r="F449" s="830">
        <f>+F450+F452</f>
        <v>0</v>
      </c>
      <c r="G449" s="830">
        <f>+G450+G452</f>
        <v>0</v>
      </c>
      <c r="H449" s="830">
        <f>+H450+H452</f>
        <v>0</v>
      </c>
      <c r="I449" s="830">
        <f>+I450+I452</f>
        <v>0</v>
      </c>
      <c r="J449" s="830"/>
      <c r="K449" s="830"/>
      <c r="L449" s="830"/>
      <c r="M449" s="3024"/>
      <c r="N449" s="3024"/>
      <c r="O449" s="3038"/>
    </row>
    <row r="450" spans="1:19" s="267" customFormat="1" hidden="1">
      <c r="A450" s="3085"/>
      <c r="B450" s="136" t="s">
        <v>107</v>
      </c>
      <c r="C450" s="3100"/>
      <c r="D450" s="249">
        <f t="shared" ref="D450:D452" si="278">E450+F450+G450+H450+I450+J450+K450+L450</f>
        <v>0</v>
      </c>
      <c r="E450" s="286"/>
      <c r="F450" s="978">
        <v>0</v>
      </c>
      <c r="G450" s="978">
        <v>0</v>
      </c>
      <c r="H450" s="978">
        <v>0</v>
      </c>
      <c r="I450" s="978">
        <v>0</v>
      </c>
      <c r="J450" s="978"/>
      <c r="K450" s="978"/>
      <c r="L450" s="978"/>
      <c r="M450" s="3024"/>
      <c r="N450" s="3024"/>
      <c r="O450" s="3038"/>
      <c r="P450" s="942">
        <v>-14575000</v>
      </c>
    </row>
    <row r="451" spans="1:19" s="267" customFormat="1" ht="10.5" hidden="1" customHeight="1">
      <c r="A451" s="3085"/>
      <c r="B451" s="979" t="s">
        <v>108</v>
      </c>
      <c r="C451" s="3100"/>
      <c r="D451" s="249">
        <f t="shared" si="278"/>
        <v>0</v>
      </c>
      <c r="E451" s="286"/>
      <c r="F451" s="978"/>
      <c r="G451" s="978"/>
      <c r="H451" s="978"/>
      <c r="I451" s="978"/>
      <c r="J451" s="978"/>
      <c r="K451" s="978"/>
      <c r="L451" s="978"/>
      <c r="M451" s="3024"/>
      <c r="N451" s="3024"/>
      <c r="O451" s="3038"/>
    </row>
    <row r="452" spans="1:19" s="267" customFormat="1" hidden="1">
      <c r="A452" s="3085"/>
      <c r="B452" s="637" t="s">
        <v>106</v>
      </c>
      <c r="C452" s="3100"/>
      <c r="D452" s="249">
        <f t="shared" si="278"/>
        <v>0</v>
      </c>
      <c r="E452" s="286"/>
      <c r="F452" s="701">
        <v>0</v>
      </c>
      <c r="G452" s="701">
        <v>0</v>
      </c>
      <c r="H452" s="701">
        <v>0</v>
      </c>
      <c r="I452" s="701">
        <v>0</v>
      </c>
      <c r="J452" s="701"/>
      <c r="K452" s="701"/>
      <c r="L452" s="701"/>
      <c r="M452" s="3024"/>
      <c r="N452" s="3024"/>
      <c r="O452" s="3038"/>
      <c r="P452" s="942"/>
    </row>
    <row r="453" spans="1:19" s="977" customFormat="1" hidden="1">
      <c r="A453" s="3085"/>
      <c r="B453" s="980" t="s">
        <v>18</v>
      </c>
      <c r="C453" s="3100"/>
      <c r="D453" s="52">
        <f>+D454+D455+D456</f>
        <v>0</v>
      </c>
      <c r="E453" s="832"/>
      <c r="F453" s="832">
        <f>+F455</f>
        <v>0</v>
      </c>
      <c r="G453" s="832">
        <f>+G455</f>
        <v>0</v>
      </c>
      <c r="H453" s="832">
        <f>+H455</f>
        <v>0</v>
      </c>
      <c r="I453" s="832">
        <f>+I455</f>
        <v>0</v>
      </c>
      <c r="J453" s="832"/>
      <c r="K453" s="832"/>
      <c r="L453" s="832"/>
      <c r="M453" s="3024"/>
      <c r="N453" s="3024"/>
      <c r="O453" s="3038"/>
    </row>
    <row r="454" spans="1:19" s="977" customFormat="1" ht="10.5" hidden="1" customHeight="1">
      <c r="A454" s="3085"/>
      <c r="B454" s="979" t="s">
        <v>108</v>
      </c>
      <c r="C454" s="3100"/>
      <c r="D454" s="249">
        <f t="shared" ref="D454:D456" si="279">E454+F454+G454+H454+I454+J454+K454+L454</f>
        <v>0</v>
      </c>
      <c r="E454" s="1898"/>
      <c r="F454" s="981"/>
      <c r="G454" s="981"/>
      <c r="H454" s="981"/>
      <c r="I454" s="981"/>
      <c r="J454" s="981"/>
      <c r="K454" s="981"/>
      <c r="L454" s="981"/>
      <c r="M454" s="3024"/>
      <c r="N454" s="3024"/>
      <c r="O454" s="3038"/>
    </row>
    <row r="455" spans="1:19" s="267" customFormat="1" hidden="1">
      <c r="A455" s="3085"/>
      <c r="B455" s="459" t="s">
        <v>21</v>
      </c>
      <c r="C455" s="3100"/>
      <c r="D455" s="249">
        <f t="shared" si="279"/>
        <v>0</v>
      </c>
      <c r="E455" s="286"/>
      <c r="F455" s="705">
        <v>0</v>
      </c>
      <c r="G455" s="705">
        <v>0</v>
      </c>
      <c r="H455" s="705">
        <v>0</v>
      </c>
      <c r="I455" s="705">
        <v>0</v>
      </c>
      <c r="J455" s="705"/>
      <c r="K455" s="705"/>
      <c r="L455" s="705"/>
      <c r="M455" s="3024"/>
      <c r="N455" s="3024"/>
      <c r="O455" s="3038"/>
      <c r="P455" s="942"/>
    </row>
    <row r="456" spans="1:19" s="267" customFormat="1" ht="11.25" hidden="1" customHeight="1" thickBot="1">
      <c r="A456" s="3112"/>
      <c r="B456" s="76" t="s">
        <v>79</v>
      </c>
      <c r="C456" s="3088"/>
      <c r="D456" s="249">
        <f t="shared" si="279"/>
        <v>0</v>
      </c>
      <c r="E456" s="56"/>
      <c r="F456" s="706">
        <v>0</v>
      </c>
      <c r="G456" s="706">
        <v>0</v>
      </c>
      <c r="H456" s="707">
        <v>0</v>
      </c>
      <c r="I456" s="179">
        <v>0</v>
      </c>
      <c r="J456" s="179"/>
      <c r="K456" s="179"/>
      <c r="L456" s="179"/>
      <c r="M456" s="3025"/>
      <c r="N456" s="3025"/>
      <c r="O456" s="2971"/>
    </row>
    <row r="457" spans="1:19" hidden="1">
      <c r="A457" s="3084"/>
      <c r="B457" s="284"/>
      <c r="C457" s="58" t="s">
        <v>109</v>
      </c>
      <c r="D457" s="935"/>
      <c r="E457" s="95"/>
      <c r="F457" s="96"/>
      <c r="G457" s="96"/>
      <c r="H457" s="96"/>
      <c r="I457" s="96"/>
      <c r="J457" s="96"/>
      <c r="K457" s="96"/>
      <c r="L457" s="96"/>
      <c r="M457" s="45"/>
      <c r="N457" s="45"/>
      <c r="O457" s="3095" t="s">
        <v>102</v>
      </c>
      <c r="S457" s="933"/>
    </row>
    <row r="458" spans="1:19" ht="14.25" hidden="1" customHeight="1">
      <c r="A458" s="3085"/>
      <c r="B458" s="21" t="s">
        <v>10</v>
      </c>
      <c r="C458" s="22"/>
      <c r="D458" s="63">
        <f t="shared" ref="D458" si="280">+D459+D461</f>
        <v>0</v>
      </c>
      <c r="E458" s="63">
        <f>+E459+E461</f>
        <v>0</v>
      </c>
      <c r="F458" s="63"/>
      <c r="G458" s="63"/>
      <c r="H458" s="64"/>
      <c r="I458" s="63"/>
      <c r="J458" s="63"/>
      <c r="K458" s="63"/>
      <c r="L458" s="63"/>
      <c r="M458" s="65">
        <f>+M459+M461</f>
        <v>0</v>
      </c>
      <c r="N458" s="65">
        <f>+N459+N461</f>
        <v>0</v>
      </c>
      <c r="O458" s="3102"/>
      <c r="P458" s="480" t="e">
        <f>+#REF!+#REF!+F458+G458</f>
        <v>#REF!</v>
      </c>
      <c r="Q458" s="480"/>
      <c r="R458" s="480"/>
      <c r="S458" s="480"/>
    </row>
    <row r="459" spans="1:19" ht="14.25" hidden="1" customHeight="1">
      <c r="A459" s="3085"/>
      <c r="B459" s="173" t="s">
        <v>24</v>
      </c>
      <c r="C459" s="3050" t="s">
        <v>98</v>
      </c>
      <c r="D459" s="66">
        <f>+D460</f>
        <v>0</v>
      </c>
      <c r="E459" s="66">
        <f t="shared" ref="E459" si="281">+E460</f>
        <v>0</v>
      </c>
      <c r="F459" s="66"/>
      <c r="G459" s="66"/>
      <c r="H459" s="98"/>
      <c r="I459" s="66"/>
      <c r="J459" s="66"/>
      <c r="K459" s="66"/>
      <c r="L459" s="66"/>
      <c r="M459" s="79">
        <f>+M460</f>
        <v>0</v>
      </c>
      <c r="N459" s="79">
        <f>+N460</f>
        <v>0</v>
      </c>
      <c r="O459" s="3102"/>
      <c r="P459" s="480"/>
    </row>
    <row r="460" spans="1:19" hidden="1">
      <c r="A460" s="3085"/>
      <c r="B460" s="450" t="s">
        <v>12</v>
      </c>
      <c r="C460" s="3098"/>
      <c r="D460" s="249">
        <f t="shared" ref="D460" si="282">E460+F460+G460+H460+I460+J460+K460+L460</f>
        <v>0</v>
      </c>
      <c r="E460" s="286"/>
      <c r="F460" s="48"/>
      <c r="G460" s="48"/>
      <c r="H460" s="47"/>
      <c r="I460" s="48"/>
      <c r="J460" s="48"/>
      <c r="K460" s="48"/>
      <c r="L460" s="48"/>
      <c r="M460" s="36">
        <f>SUM(E460:H460)</f>
        <v>0</v>
      </c>
      <c r="N460" s="36">
        <f>SUM(F460:I460)</f>
        <v>0</v>
      </c>
      <c r="O460" s="3102"/>
    </row>
    <row r="461" spans="1:19" ht="14.25" hidden="1" customHeight="1">
      <c r="A461" s="3085"/>
      <c r="B461" s="488" t="s">
        <v>18</v>
      </c>
      <c r="C461" s="3098"/>
      <c r="D461" s="49">
        <f>+D462</f>
        <v>0</v>
      </c>
      <c r="E461" s="49">
        <f t="shared" ref="E461" si="283">+E462</f>
        <v>0</v>
      </c>
      <c r="F461" s="49"/>
      <c r="G461" s="49"/>
      <c r="H461" s="50"/>
      <c r="I461" s="49"/>
      <c r="J461" s="49"/>
      <c r="K461" s="49"/>
      <c r="L461" s="49"/>
      <c r="M461" s="79">
        <f>+M462</f>
        <v>0</v>
      </c>
      <c r="N461" s="79">
        <f>+N462</f>
        <v>0</v>
      </c>
      <c r="O461" s="3102"/>
    </row>
    <row r="462" spans="1:19" hidden="1">
      <c r="A462" s="3085"/>
      <c r="B462" s="937" t="s">
        <v>21</v>
      </c>
      <c r="C462" s="3098"/>
      <c r="D462" s="249">
        <f t="shared" ref="D462" si="284">E462+F462+G462+H462+I462+J462+K462+L462</f>
        <v>0</v>
      </c>
      <c r="E462" s="286"/>
      <c r="F462" s="48"/>
      <c r="G462" s="48"/>
      <c r="H462" s="47"/>
      <c r="I462" s="48"/>
      <c r="J462" s="48"/>
      <c r="K462" s="48"/>
      <c r="L462" s="48"/>
      <c r="M462" s="36">
        <f>SUM(E462:H462)</f>
        <v>0</v>
      </c>
      <c r="N462" s="36">
        <f>SUM(F462:I462)</f>
        <v>0</v>
      </c>
      <c r="O462" s="3102"/>
    </row>
    <row r="463" spans="1:19" ht="14.25" hidden="1" customHeight="1">
      <c r="A463" s="3086"/>
      <c r="B463" s="21" t="s">
        <v>22</v>
      </c>
      <c r="C463" s="22"/>
      <c r="D463" s="199">
        <f>+D464</f>
        <v>0</v>
      </c>
      <c r="E463" s="199">
        <f t="shared" ref="E463" si="285">+E464</f>
        <v>0</v>
      </c>
      <c r="F463" s="199"/>
      <c r="G463" s="199"/>
      <c r="H463" s="200"/>
      <c r="I463" s="199"/>
      <c r="J463" s="199"/>
      <c r="K463" s="199"/>
      <c r="L463" s="199"/>
      <c r="M463" s="3027" t="s">
        <v>23</v>
      </c>
      <c r="N463" s="3027" t="s">
        <v>23</v>
      </c>
      <c r="O463" s="3180"/>
      <c r="P463" s="480"/>
    </row>
    <row r="464" spans="1:19" s="267" customFormat="1" ht="14.25" hidden="1" customHeight="1">
      <c r="A464" s="3086"/>
      <c r="B464" s="488" t="s">
        <v>18</v>
      </c>
      <c r="C464" s="3050" t="s">
        <v>98</v>
      </c>
      <c r="D464" s="830">
        <f>+D465</f>
        <v>0</v>
      </c>
      <c r="E464" s="830"/>
      <c r="F464" s="830"/>
      <c r="G464" s="830"/>
      <c r="H464" s="832"/>
      <c r="I464" s="830"/>
      <c r="J464" s="830"/>
      <c r="K464" s="830"/>
      <c r="L464" s="830"/>
      <c r="M464" s="3028"/>
      <c r="N464" s="3028"/>
      <c r="O464" s="3180"/>
    </row>
    <row r="465" spans="1:19" s="267" customFormat="1" ht="14.25" hidden="1" customHeight="1" thickBot="1">
      <c r="A465" s="3087"/>
      <c r="B465" s="55" t="s">
        <v>21</v>
      </c>
      <c r="C465" s="3074"/>
      <c r="D465" s="249">
        <f t="shared" ref="D465" si="286">E465+F465+G465+H465+I465+J465+K465+L465</f>
        <v>0</v>
      </c>
      <c r="E465" s="936"/>
      <c r="F465" s="514"/>
      <c r="G465" s="514"/>
      <c r="H465" s="514"/>
      <c r="I465" s="514"/>
      <c r="J465" s="514"/>
      <c r="K465" s="514"/>
      <c r="L465" s="514"/>
      <c r="M465" s="3029"/>
      <c r="N465" s="3029"/>
      <c r="O465" s="3181"/>
    </row>
    <row r="466" spans="1:19" ht="27.75" hidden="1" customHeight="1">
      <c r="A466" s="3076" t="s">
        <v>271</v>
      </c>
      <c r="B466" s="210" t="s">
        <v>233</v>
      </c>
      <c r="C466" s="982"/>
      <c r="D466" s="959"/>
      <c r="E466" s="960"/>
      <c r="F466" s="960"/>
      <c r="G466" s="960"/>
      <c r="H466" s="960"/>
      <c r="I466" s="960"/>
      <c r="J466" s="960"/>
      <c r="K466" s="960"/>
      <c r="L466" s="960"/>
      <c r="M466" s="308"/>
      <c r="N466" s="308"/>
      <c r="O466" s="3193"/>
    </row>
    <row r="467" spans="1:19" ht="14.25" hidden="1" customHeight="1">
      <c r="A467" s="3077"/>
      <c r="B467" s="21" t="s">
        <v>10</v>
      </c>
      <c r="C467" s="139"/>
      <c r="D467" s="132">
        <f>+D468+D470</f>
        <v>0</v>
      </c>
      <c r="E467" s="132">
        <f t="shared" ref="E467:N467" si="287">+E468+E470</f>
        <v>0</v>
      </c>
      <c r="F467" s="132">
        <f t="shared" si="287"/>
        <v>0</v>
      </c>
      <c r="G467" s="132">
        <f t="shared" si="287"/>
        <v>0</v>
      </c>
      <c r="H467" s="132">
        <f t="shared" si="287"/>
        <v>0</v>
      </c>
      <c r="I467" s="132">
        <f t="shared" si="287"/>
        <v>0</v>
      </c>
      <c r="J467" s="132">
        <f t="shared" si="287"/>
        <v>0</v>
      </c>
      <c r="K467" s="132">
        <f t="shared" si="287"/>
        <v>0</v>
      </c>
      <c r="L467" s="132">
        <f t="shared" si="287"/>
        <v>0</v>
      </c>
      <c r="M467" s="65">
        <f t="shared" ref="M467" si="288">+M468+M470</f>
        <v>0</v>
      </c>
      <c r="N467" s="65">
        <f t="shared" si="287"/>
        <v>0</v>
      </c>
      <c r="O467" s="3194"/>
      <c r="P467" s="480" t="e">
        <f>+#REF!+#REF!+F467+G467</f>
        <v>#REF!</v>
      </c>
    </row>
    <row r="468" spans="1:19" ht="13.5" hidden="1" customHeight="1">
      <c r="A468" s="3077"/>
      <c r="B468" s="983" t="s">
        <v>24</v>
      </c>
      <c r="C468" s="140"/>
      <c r="D468" s="123">
        <f>+D469</f>
        <v>0</v>
      </c>
      <c r="E468" s="123">
        <f t="shared" ref="E468:N468" si="289">+E469</f>
        <v>0</v>
      </c>
      <c r="F468" s="123">
        <f t="shared" si="289"/>
        <v>0</v>
      </c>
      <c r="G468" s="123">
        <f t="shared" si="289"/>
        <v>0</v>
      </c>
      <c r="H468" s="123">
        <f t="shared" si="289"/>
        <v>0</v>
      </c>
      <c r="I468" s="123">
        <f t="shared" si="289"/>
        <v>0</v>
      </c>
      <c r="J468" s="123">
        <f t="shared" si="289"/>
        <v>0</v>
      </c>
      <c r="K468" s="123">
        <f t="shared" si="289"/>
        <v>0</v>
      </c>
      <c r="L468" s="123">
        <f t="shared" si="289"/>
        <v>0</v>
      </c>
      <c r="M468" s="67">
        <f t="shared" si="289"/>
        <v>0</v>
      </c>
      <c r="N468" s="67">
        <f t="shared" si="289"/>
        <v>0</v>
      </c>
      <c r="O468" s="3194"/>
    </row>
    <row r="469" spans="1:19" hidden="1">
      <c r="A469" s="3077"/>
      <c r="B469" s="265" t="s">
        <v>12</v>
      </c>
      <c r="C469" s="141"/>
      <c r="D469" s="35">
        <f>+D478</f>
        <v>0</v>
      </c>
      <c r="E469" s="35">
        <f>+E478</f>
        <v>0</v>
      </c>
      <c r="F469" s="35">
        <f t="shared" ref="F469:I469" si="290">+F478</f>
        <v>0</v>
      </c>
      <c r="G469" s="35">
        <f t="shared" si="290"/>
        <v>0</v>
      </c>
      <c r="H469" s="35">
        <f t="shared" si="290"/>
        <v>0</v>
      </c>
      <c r="I469" s="35">
        <f t="shared" si="290"/>
        <v>0</v>
      </c>
      <c r="J469" s="35">
        <f>+J478</f>
        <v>0</v>
      </c>
      <c r="K469" s="35">
        <f>+K478</f>
        <v>0</v>
      </c>
      <c r="L469" s="35">
        <f>+L478</f>
        <v>0</v>
      </c>
      <c r="M469" s="36">
        <f>SUM(E469:H469)</f>
        <v>0</v>
      </c>
      <c r="N469" s="36">
        <f>SUM(F469:I469)</f>
        <v>0</v>
      </c>
      <c r="O469" s="3194"/>
    </row>
    <row r="470" spans="1:19" ht="14.25" hidden="1" customHeight="1">
      <c r="A470" s="3077"/>
      <c r="B470" s="984" t="s">
        <v>18</v>
      </c>
      <c r="C470" s="142"/>
      <c r="D470" s="33">
        <f>+D471</f>
        <v>0</v>
      </c>
      <c r="E470" s="33">
        <f t="shared" ref="E470:N470" si="291">+E471</f>
        <v>0</v>
      </c>
      <c r="F470" s="33">
        <f t="shared" si="291"/>
        <v>0</v>
      </c>
      <c r="G470" s="33">
        <f t="shared" si="291"/>
        <v>0</v>
      </c>
      <c r="H470" s="33">
        <f t="shared" si="291"/>
        <v>0</v>
      </c>
      <c r="I470" s="33">
        <f t="shared" si="291"/>
        <v>0</v>
      </c>
      <c r="J470" s="33">
        <f t="shared" si="291"/>
        <v>0</v>
      </c>
      <c r="K470" s="33">
        <f t="shared" si="291"/>
        <v>0</v>
      </c>
      <c r="L470" s="33">
        <f t="shared" si="291"/>
        <v>0</v>
      </c>
      <c r="M470" s="67">
        <f t="shared" si="291"/>
        <v>0</v>
      </c>
      <c r="N470" s="67">
        <f t="shared" si="291"/>
        <v>0</v>
      </c>
      <c r="O470" s="3194"/>
    </row>
    <row r="471" spans="1:19" ht="11.25" hidden="1" customHeight="1">
      <c r="A471" s="3077"/>
      <c r="B471" s="266" t="s">
        <v>20</v>
      </c>
      <c r="C471" s="141"/>
      <c r="D471" s="35">
        <f>+D480</f>
        <v>0</v>
      </c>
      <c r="E471" s="35">
        <f t="shared" ref="E471:I471" si="292">+E480</f>
        <v>0</v>
      </c>
      <c r="F471" s="35">
        <f t="shared" si="292"/>
        <v>0</v>
      </c>
      <c r="G471" s="35">
        <f t="shared" si="292"/>
        <v>0</v>
      </c>
      <c r="H471" s="35">
        <f t="shared" si="292"/>
        <v>0</v>
      </c>
      <c r="I471" s="35">
        <f t="shared" si="292"/>
        <v>0</v>
      </c>
      <c r="J471" s="35">
        <f>+J480</f>
        <v>0</v>
      </c>
      <c r="K471" s="35">
        <f>+K480</f>
        <v>0</v>
      </c>
      <c r="L471" s="35">
        <f>+L480</f>
        <v>0</v>
      </c>
      <c r="M471" s="36">
        <f>SUM(E471:H471)</f>
        <v>0</v>
      </c>
      <c r="N471" s="36">
        <f>SUM(F471:I471)</f>
        <v>0</v>
      </c>
      <c r="O471" s="3194"/>
    </row>
    <row r="472" spans="1:19" ht="13.5" hidden="1" customHeight="1">
      <c r="A472" s="3077"/>
      <c r="B472" s="21" t="s">
        <v>22</v>
      </c>
      <c r="C472" s="139"/>
      <c r="D472" s="132">
        <f>+D473</f>
        <v>0</v>
      </c>
      <c r="E472" s="132">
        <f>+E473</f>
        <v>0</v>
      </c>
      <c r="F472" s="132">
        <f t="shared" ref="F472:L473" si="293">+F473</f>
        <v>0</v>
      </c>
      <c r="G472" s="132">
        <f t="shared" si="293"/>
        <v>0</v>
      </c>
      <c r="H472" s="132">
        <f t="shared" si="293"/>
        <v>0</v>
      </c>
      <c r="I472" s="132">
        <f t="shared" si="293"/>
        <v>0</v>
      </c>
      <c r="J472" s="132">
        <f t="shared" si="293"/>
        <v>0</v>
      </c>
      <c r="K472" s="132">
        <f t="shared" si="293"/>
        <v>0</v>
      </c>
      <c r="L472" s="132">
        <f t="shared" si="293"/>
        <v>0</v>
      </c>
      <c r="M472" s="3027" t="s">
        <v>23</v>
      </c>
      <c r="N472" s="3027" t="s">
        <v>23</v>
      </c>
      <c r="O472" s="3194"/>
    </row>
    <row r="473" spans="1:19" ht="12" hidden="1" customHeight="1">
      <c r="A473" s="3077"/>
      <c r="B473" s="985" t="s">
        <v>18</v>
      </c>
      <c r="C473" s="140"/>
      <c r="D473" s="123">
        <f>+D474</f>
        <v>0</v>
      </c>
      <c r="E473" s="123">
        <f>+E474</f>
        <v>0</v>
      </c>
      <c r="F473" s="123">
        <f t="shared" si="293"/>
        <v>0</v>
      </c>
      <c r="G473" s="123">
        <f t="shared" si="293"/>
        <v>0</v>
      </c>
      <c r="H473" s="123">
        <f t="shared" si="293"/>
        <v>0</v>
      </c>
      <c r="I473" s="123">
        <f t="shared" si="293"/>
        <v>0</v>
      </c>
      <c r="J473" s="123">
        <f t="shared" si="293"/>
        <v>0</v>
      </c>
      <c r="K473" s="123">
        <f t="shared" si="293"/>
        <v>0</v>
      </c>
      <c r="L473" s="123">
        <f t="shared" si="293"/>
        <v>0</v>
      </c>
      <c r="M473" s="3028"/>
      <c r="N473" s="3028"/>
      <c r="O473" s="3194"/>
    </row>
    <row r="474" spans="1:19" ht="13.5" hidden="1" customHeight="1" thickBot="1">
      <c r="A474" s="3078"/>
      <c r="B474" s="266" t="s">
        <v>20</v>
      </c>
      <c r="C474" s="141"/>
      <c r="D474" s="35">
        <f>+D483</f>
        <v>0</v>
      </c>
      <c r="E474" s="35">
        <f t="shared" ref="E474:I474" si="294">+E483</f>
        <v>0</v>
      </c>
      <c r="F474" s="35">
        <f t="shared" si="294"/>
        <v>0</v>
      </c>
      <c r="G474" s="35">
        <f t="shared" si="294"/>
        <v>0</v>
      </c>
      <c r="H474" s="253">
        <f t="shared" si="294"/>
        <v>0</v>
      </c>
      <c r="I474" s="254">
        <f t="shared" si="294"/>
        <v>0</v>
      </c>
      <c r="J474" s="254">
        <f>+J483</f>
        <v>0</v>
      </c>
      <c r="K474" s="254">
        <f>+K483</f>
        <v>0</v>
      </c>
      <c r="L474" s="254">
        <f>+L483</f>
        <v>0</v>
      </c>
      <c r="M474" s="3029"/>
      <c r="N474" s="3029"/>
      <c r="O474" s="3195"/>
    </row>
    <row r="475" spans="1:19" hidden="1">
      <c r="A475" s="3084" t="s">
        <v>287</v>
      </c>
      <c r="B475" s="284"/>
      <c r="C475" s="58" t="s">
        <v>109</v>
      </c>
      <c r="D475" s="935"/>
      <c r="E475" s="95"/>
      <c r="F475" s="96"/>
      <c r="G475" s="96"/>
      <c r="H475" s="96"/>
      <c r="I475" s="96"/>
      <c r="J475" s="96"/>
      <c r="K475" s="96"/>
      <c r="L475" s="96"/>
      <c r="M475" s="45"/>
      <c r="N475" s="45"/>
      <c r="O475" s="3095" t="s">
        <v>110</v>
      </c>
      <c r="S475" s="933"/>
    </row>
    <row r="476" spans="1:19" ht="14.25" hidden="1" customHeight="1">
      <c r="A476" s="3085"/>
      <c r="B476" s="715" t="s">
        <v>10</v>
      </c>
      <c r="C476" s="2003"/>
      <c r="D476" s="2029">
        <f>+D477+D479</f>
        <v>0</v>
      </c>
      <c r="E476" s="2029">
        <f t="shared" ref="E476:N476" si="295">+E477+E479</f>
        <v>0</v>
      </c>
      <c r="F476" s="2443">
        <f t="shared" si="295"/>
        <v>0</v>
      </c>
      <c r="G476" s="2443">
        <f t="shared" si="295"/>
        <v>0</v>
      </c>
      <c r="H476" s="2443">
        <f t="shared" si="295"/>
        <v>0</v>
      </c>
      <c r="I476" s="2443">
        <f t="shared" si="295"/>
        <v>0</v>
      </c>
      <c r="J476" s="2443">
        <f t="shared" si="295"/>
        <v>0</v>
      </c>
      <c r="K476" s="2443">
        <f t="shared" si="295"/>
        <v>0</v>
      </c>
      <c r="L476" s="2443">
        <f t="shared" si="295"/>
        <v>0</v>
      </c>
      <c r="M476" s="2005">
        <f t="shared" ref="M476" si="296">+M477+M479</f>
        <v>0</v>
      </c>
      <c r="N476" s="2005">
        <f t="shared" si="295"/>
        <v>0</v>
      </c>
      <c r="O476" s="3102"/>
      <c r="P476" s="480" t="e">
        <f>+#REF!+#REF!+F476+G476</f>
        <v>#REF!</v>
      </c>
      <c r="Q476" s="480"/>
      <c r="R476" s="480"/>
      <c r="S476" s="480"/>
    </row>
    <row r="477" spans="1:19" ht="14.25" hidden="1" customHeight="1">
      <c r="A477" s="3085"/>
      <c r="B477" s="681" t="s">
        <v>24</v>
      </c>
      <c r="C477" s="3040" t="s">
        <v>111</v>
      </c>
      <c r="D477" s="2030">
        <f>+D478</f>
        <v>0</v>
      </c>
      <c r="E477" s="2030">
        <f t="shared" ref="E477:N477" si="297">+E478</f>
        <v>0</v>
      </c>
      <c r="F477" s="2444">
        <f t="shared" si="297"/>
        <v>0</v>
      </c>
      <c r="G477" s="2444">
        <f t="shared" si="297"/>
        <v>0</v>
      </c>
      <c r="H477" s="2444">
        <f t="shared" si="297"/>
        <v>0</v>
      </c>
      <c r="I477" s="2444">
        <f t="shared" si="297"/>
        <v>0</v>
      </c>
      <c r="J477" s="2444">
        <f t="shared" si="297"/>
        <v>0</v>
      </c>
      <c r="K477" s="2444">
        <f t="shared" si="297"/>
        <v>0</v>
      </c>
      <c r="L477" s="2444">
        <f t="shared" si="297"/>
        <v>0</v>
      </c>
      <c r="M477" s="2008">
        <f t="shared" si="297"/>
        <v>0</v>
      </c>
      <c r="N477" s="2008">
        <f t="shared" si="297"/>
        <v>0</v>
      </c>
      <c r="O477" s="3102"/>
      <c r="P477" s="480"/>
    </row>
    <row r="478" spans="1:19" ht="14.25" hidden="1" customHeight="1">
      <c r="A478" s="3085"/>
      <c r="B478" s="1055" t="s">
        <v>12</v>
      </c>
      <c r="C478" s="3098"/>
      <c r="D478" s="1913">
        <f t="shared" ref="D478" si="298">E478+F478+G478+H478+I478+J478+K478+L478</f>
        <v>0</v>
      </c>
      <c r="E478" s="1977"/>
      <c r="F478" s="2068">
        <v>0</v>
      </c>
      <c r="G478" s="2068">
        <v>0</v>
      </c>
      <c r="H478" s="2068">
        <v>0</v>
      </c>
      <c r="I478" s="2068">
        <v>0</v>
      </c>
      <c r="J478" s="2068">
        <v>0</v>
      </c>
      <c r="K478" s="2068">
        <v>0</v>
      </c>
      <c r="L478" s="2068">
        <v>0</v>
      </c>
      <c r="M478" s="2033">
        <f>SUM(E478:H478)</f>
        <v>0</v>
      </c>
      <c r="N478" s="2033">
        <f>SUM(F478:I478)</f>
        <v>0</v>
      </c>
      <c r="O478" s="3102"/>
    </row>
    <row r="479" spans="1:19" ht="14.25" hidden="1" customHeight="1">
      <c r="A479" s="3085"/>
      <c r="B479" s="1051" t="s">
        <v>18</v>
      </c>
      <c r="C479" s="3098"/>
      <c r="D479" s="2007">
        <f t="shared" ref="D479:N479" si="299">+D480</f>
        <v>0</v>
      </c>
      <c r="E479" s="2007">
        <f t="shared" si="299"/>
        <v>0</v>
      </c>
      <c r="F479" s="2445">
        <f t="shared" si="299"/>
        <v>0</v>
      </c>
      <c r="G479" s="2445">
        <f t="shared" si="299"/>
        <v>0</v>
      </c>
      <c r="H479" s="2445">
        <f t="shared" si="299"/>
        <v>0</v>
      </c>
      <c r="I479" s="2445">
        <f t="shared" si="299"/>
        <v>0</v>
      </c>
      <c r="J479" s="2445">
        <f t="shared" si="299"/>
        <v>0</v>
      </c>
      <c r="K479" s="2445">
        <f t="shared" si="299"/>
        <v>0</v>
      </c>
      <c r="L479" s="2445">
        <f t="shared" si="299"/>
        <v>0</v>
      </c>
      <c r="M479" s="2008">
        <f t="shared" si="299"/>
        <v>0</v>
      </c>
      <c r="N479" s="2008">
        <f t="shared" si="299"/>
        <v>0</v>
      </c>
      <c r="O479" s="3102"/>
    </row>
    <row r="480" spans="1:19" ht="14.25" hidden="1" customHeight="1">
      <c r="A480" s="3085"/>
      <c r="B480" s="2446" t="s">
        <v>20</v>
      </c>
      <c r="C480" s="3098"/>
      <c r="D480" s="1913">
        <f t="shared" ref="D480" si="300">E480+F480+G480+H480+I480+J480+K480+L480</f>
        <v>0</v>
      </c>
      <c r="E480" s="1977">
        <v>0</v>
      </c>
      <c r="F480" s="2068">
        <v>0</v>
      </c>
      <c r="G480" s="2068">
        <v>0</v>
      </c>
      <c r="H480" s="2068">
        <v>0</v>
      </c>
      <c r="I480" s="2068">
        <v>0</v>
      </c>
      <c r="J480" s="2068">
        <v>0</v>
      </c>
      <c r="K480" s="2068">
        <v>0</v>
      </c>
      <c r="L480" s="2068">
        <v>0</v>
      </c>
      <c r="M480" s="2033">
        <f>SUM(E480:H480)</f>
        <v>0</v>
      </c>
      <c r="N480" s="2033">
        <f>SUM(F480:I480)</f>
        <v>0</v>
      </c>
      <c r="O480" s="3102"/>
    </row>
    <row r="481" spans="1:17" ht="14.25" hidden="1" customHeight="1">
      <c r="A481" s="3086"/>
      <c r="B481" s="715" t="s">
        <v>22</v>
      </c>
      <c r="C481" s="2003"/>
      <c r="D481" s="2004">
        <f>+D482</f>
        <v>0</v>
      </c>
      <c r="E481" s="2004">
        <f t="shared" ref="E481:L482" si="301">+E482</f>
        <v>0</v>
      </c>
      <c r="F481" s="2447">
        <f t="shared" si="301"/>
        <v>0</v>
      </c>
      <c r="G481" s="2447">
        <f t="shared" si="301"/>
        <v>0</v>
      </c>
      <c r="H481" s="2447">
        <f t="shared" si="301"/>
        <v>0</v>
      </c>
      <c r="I481" s="2447">
        <f t="shared" si="301"/>
        <v>0</v>
      </c>
      <c r="J481" s="2447">
        <f t="shared" si="301"/>
        <v>0</v>
      </c>
      <c r="K481" s="2447">
        <f t="shared" si="301"/>
        <v>0</v>
      </c>
      <c r="L481" s="2447">
        <f t="shared" si="301"/>
        <v>0</v>
      </c>
      <c r="M481" s="3054" t="s">
        <v>23</v>
      </c>
      <c r="N481" s="3054" t="s">
        <v>23</v>
      </c>
      <c r="O481" s="3180"/>
    </row>
    <row r="482" spans="1:17" s="267" customFormat="1" ht="14.25" hidden="1" customHeight="1">
      <c r="A482" s="3086"/>
      <c r="B482" s="1051" t="s">
        <v>18</v>
      </c>
      <c r="C482" s="3040" t="s">
        <v>112</v>
      </c>
      <c r="D482" s="2037">
        <f>+D483</f>
        <v>0</v>
      </c>
      <c r="E482" s="2045">
        <f t="shared" si="301"/>
        <v>0</v>
      </c>
      <c r="F482" s="2448">
        <f t="shared" si="301"/>
        <v>0</v>
      </c>
      <c r="G482" s="2448">
        <f t="shared" si="301"/>
        <v>0</v>
      </c>
      <c r="H482" s="2448">
        <f t="shared" si="301"/>
        <v>0</v>
      </c>
      <c r="I482" s="2448">
        <f t="shared" si="301"/>
        <v>0</v>
      </c>
      <c r="J482" s="2448">
        <f t="shared" si="301"/>
        <v>0</v>
      </c>
      <c r="K482" s="2448">
        <f t="shared" si="301"/>
        <v>0</v>
      </c>
      <c r="L482" s="2448">
        <f t="shared" si="301"/>
        <v>0</v>
      </c>
      <c r="M482" s="3028"/>
      <c r="N482" s="3028"/>
      <c r="O482" s="3180"/>
    </row>
    <row r="483" spans="1:17" s="267" customFormat="1" ht="14.25" hidden="1" customHeight="1" thickBot="1">
      <c r="A483" s="3087"/>
      <c r="B483" s="891" t="s">
        <v>20</v>
      </c>
      <c r="C483" s="3074"/>
      <c r="D483" s="2195">
        <f t="shared" ref="D483" si="302">E483+F483+G483+H483+I483+J483+K483+L483</f>
        <v>0</v>
      </c>
      <c r="E483" s="2417">
        <v>0</v>
      </c>
      <c r="F483" s="986">
        <v>0</v>
      </c>
      <c r="G483" s="986">
        <v>0</v>
      </c>
      <c r="H483" s="986">
        <v>0</v>
      </c>
      <c r="I483" s="986">
        <v>0</v>
      </c>
      <c r="J483" s="986">
        <v>0</v>
      </c>
      <c r="K483" s="986">
        <v>0</v>
      </c>
      <c r="L483" s="986">
        <v>0</v>
      </c>
      <c r="M483" s="3029"/>
      <c r="N483" s="3029"/>
      <c r="O483" s="3181"/>
      <c r="P483" s="942">
        <f>D483-D480</f>
        <v>0</v>
      </c>
    </row>
    <row r="484" spans="1:17" ht="27" customHeight="1" thickBot="1">
      <c r="A484" s="143" t="s">
        <v>113</v>
      </c>
      <c r="B484" s="144"/>
      <c r="C484" s="145"/>
      <c r="D484" s="146"/>
      <c r="E484" s="146"/>
      <c r="F484" s="145"/>
      <c r="G484" s="145"/>
      <c r="H484" s="145"/>
      <c r="I484" s="145"/>
      <c r="J484" s="145"/>
      <c r="K484" s="145"/>
      <c r="L484" s="145"/>
      <c r="M484" s="145"/>
      <c r="N484" s="145"/>
      <c r="O484" s="147"/>
    </row>
    <row r="485" spans="1:17" s="989" customFormat="1" ht="15.75" customHeight="1">
      <c r="A485" s="3079"/>
      <c r="B485" s="220" t="s">
        <v>76</v>
      </c>
      <c r="C485" s="212"/>
      <c r="D485" s="221">
        <f>+D486+D487</f>
        <v>1100913049</v>
      </c>
      <c r="E485" s="221">
        <f t="shared" ref="E485" si="303">+E486+E487</f>
        <v>367324214</v>
      </c>
      <c r="F485" s="221">
        <f t="shared" ref="F485" si="304">+F486+F487</f>
        <v>168504968</v>
      </c>
      <c r="G485" s="221">
        <f t="shared" ref="G485:L485" si="305">+G486+G487</f>
        <v>199334269</v>
      </c>
      <c r="H485" s="221">
        <f t="shared" si="305"/>
        <v>184348100</v>
      </c>
      <c r="I485" s="221">
        <f t="shared" si="305"/>
        <v>177456498</v>
      </c>
      <c r="J485" s="221">
        <f t="shared" si="305"/>
        <v>3945000</v>
      </c>
      <c r="K485" s="221">
        <f t="shared" si="305"/>
        <v>0</v>
      </c>
      <c r="L485" s="221">
        <f t="shared" si="305"/>
        <v>0</v>
      </c>
      <c r="M485" s="16">
        <f>+M486+M487</f>
        <v>733588835</v>
      </c>
      <c r="N485" s="16">
        <f>+N486+N487</f>
        <v>565083867</v>
      </c>
      <c r="O485" s="987"/>
      <c r="P485" s="988"/>
    </row>
    <row r="486" spans="1:17" s="989" customFormat="1" ht="11.25" customHeight="1">
      <c r="A486" s="3080"/>
      <c r="B486" s="214" t="s">
        <v>77</v>
      </c>
      <c r="C486" s="462"/>
      <c r="D486" s="216">
        <f t="shared" ref="D486:N486" si="306">D501+D559+D563+D576+D584+D596+D600+D608</f>
        <v>889786894</v>
      </c>
      <c r="E486" s="216">
        <f t="shared" ref="E486" si="307">E501+E559+E563+E576+E584+E596+E600+E608</f>
        <v>328478944</v>
      </c>
      <c r="F486" s="216">
        <f t="shared" si="306"/>
        <v>126031050</v>
      </c>
      <c r="G486" s="216">
        <f t="shared" si="306"/>
        <v>149647802</v>
      </c>
      <c r="H486" s="216">
        <f t="shared" si="306"/>
        <v>139077600</v>
      </c>
      <c r="I486" s="216">
        <f t="shared" si="306"/>
        <v>142606498</v>
      </c>
      <c r="J486" s="216">
        <f t="shared" si="306"/>
        <v>3945000</v>
      </c>
      <c r="K486" s="216">
        <f t="shared" si="306"/>
        <v>0</v>
      </c>
      <c r="L486" s="216">
        <f t="shared" si="306"/>
        <v>0</v>
      </c>
      <c r="M486" s="18">
        <f t="shared" ref="M486" si="308">M501+M559+M563+M576+M584+M596+M600+M608</f>
        <v>561307950</v>
      </c>
      <c r="N486" s="18">
        <f t="shared" si="306"/>
        <v>435276900</v>
      </c>
      <c r="O486" s="987"/>
    </row>
    <row r="487" spans="1:17" s="989" customFormat="1" ht="13.5" customHeight="1">
      <c r="A487" s="3080"/>
      <c r="B487" s="892" t="s">
        <v>9</v>
      </c>
      <c r="C487" s="990"/>
      <c r="D487" s="991">
        <f t="shared" ref="D487:N487" si="309">D513+D521+D525+D537+D552+D592+D604+D616+D624+D628</f>
        <v>211126155</v>
      </c>
      <c r="E487" s="991">
        <f t="shared" ref="E487" si="310">E513+E521+E525+E537+E552+E592+E604+E616+E624+E628</f>
        <v>38845270</v>
      </c>
      <c r="F487" s="991">
        <f t="shared" si="309"/>
        <v>42473918</v>
      </c>
      <c r="G487" s="991">
        <f t="shared" si="309"/>
        <v>49686467</v>
      </c>
      <c r="H487" s="991">
        <f t="shared" si="309"/>
        <v>45270500</v>
      </c>
      <c r="I487" s="991">
        <f t="shared" si="309"/>
        <v>34850000</v>
      </c>
      <c r="J487" s="991">
        <f t="shared" si="309"/>
        <v>0</v>
      </c>
      <c r="K487" s="991">
        <f t="shared" si="309"/>
        <v>0</v>
      </c>
      <c r="L487" s="991">
        <f t="shared" si="309"/>
        <v>0</v>
      </c>
      <c r="M487" s="18">
        <f t="shared" ref="M487" si="311">M513+M521+M525+M537+M552+M592+M604+M616+M624+M628</f>
        <v>172280885</v>
      </c>
      <c r="N487" s="18">
        <f t="shared" si="309"/>
        <v>129806967</v>
      </c>
      <c r="O487" s="987"/>
      <c r="P487" s="988"/>
    </row>
    <row r="488" spans="1:17" s="989" customFormat="1" ht="14.25" customHeight="1">
      <c r="A488" s="3080"/>
      <c r="B488" s="30" t="s">
        <v>10</v>
      </c>
      <c r="C488" s="22"/>
      <c r="D488" s="31">
        <f>+D489</f>
        <v>1100913049</v>
      </c>
      <c r="E488" s="31">
        <f t="shared" ref="E488:L489" si="312">+E489</f>
        <v>367324214</v>
      </c>
      <c r="F488" s="31">
        <f t="shared" si="312"/>
        <v>168504968</v>
      </c>
      <c r="G488" s="31">
        <f t="shared" si="312"/>
        <v>199334269</v>
      </c>
      <c r="H488" s="31">
        <f t="shared" si="312"/>
        <v>184348100</v>
      </c>
      <c r="I488" s="31">
        <f t="shared" si="312"/>
        <v>177456498</v>
      </c>
      <c r="J488" s="31">
        <f t="shared" si="312"/>
        <v>3945000</v>
      </c>
      <c r="K488" s="31">
        <f t="shared" si="312"/>
        <v>0</v>
      </c>
      <c r="L488" s="31">
        <f t="shared" si="312"/>
        <v>0</v>
      </c>
      <c r="M488" s="32">
        <f>+M489</f>
        <v>733588835</v>
      </c>
      <c r="N488" s="32">
        <f>+N489</f>
        <v>565083867</v>
      </c>
      <c r="O488" s="992"/>
      <c r="P488" s="988">
        <f>N488-N485</f>
        <v>0</v>
      </c>
    </row>
    <row r="489" spans="1:17" s="996" customFormat="1" ht="12">
      <c r="A489" s="3080"/>
      <c r="B489" s="993" t="s">
        <v>24</v>
      </c>
      <c r="C489" s="994"/>
      <c r="D489" s="463">
        <f>SUM(D490:D493)</f>
        <v>1100913049</v>
      </c>
      <c r="E489" s="463">
        <f t="shared" ref="E489" si="313">SUM(E490:E493)</f>
        <v>367324214</v>
      </c>
      <c r="F489" s="463">
        <f t="shared" ref="F489:I489" si="314">SUM(F490:F493)</f>
        <v>168504968</v>
      </c>
      <c r="G489" s="463">
        <f t="shared" si="314"/>
        <v>199334269</v>
      </c>
      <c r="H489" s="463">
        <f t="shared" si="314"/>
        <v>184348100</v>
      </c>
      <c r="I489" s="463">
        <f t="shared" si="314"/>
        <v>177456498</v>
      </c>
      <c r="J489" s="463">
        <f t="shared" si="312"/>
        <v>3945000</v>
      </c>
      <c r="K489" s="463">
        <f t="shared" si="312"/>
        <v>0</v>
      </c>
      <c r="L489" s="463">
        <f t="shared" si="312"/>
        <v>0</v>
      </c>
      <c r="M489" s="79">
        <f>SUM(M490:M493)</f>
        <v>733588835</v>
      </c>
      <c r="N489" s="79">
        <f>SUM(N490:N493)</f>
        <v>565083867</v>
      </c>
      <c r="O489" s="2979"/>
      <c r="P489" s="995"/>
    </row>
    <row r="490" spans="1:17" s="989" customFormat="1" ht="12">
      <c r="A490" s="3080"/>
      <c r="B490" s="911" t="s">
        <v>12</v>
      </c>
      <c r="C490" s="912"/>
      <c r="D490" s="464">
        <f>+D503+D511+D515+D523+D527+D630+D531+D539+D546+D561+D565+D574+D578+D586+D594+D602+D554+D598+D606+D610+D618+D626</f>
        <v>1004740483</v>
      </c>
      <c r="E490" s="464">
        <f t="shared" ref="E490" si="315">+E503+E511+E515+E523+E527+E630+E531+E539+E546+E561+E565+E574+E578+E586+E594+E602+E554+E598+E606+E610+E618+E626</f>
        <v>362630450</v>
      </c>
      <c r="F490" s="464">
        <f t="shared" ref="F490:L490" si="316">+F503+F511+F515+F523+F527+F630+F531+F539+F546+F561+F565+F574+F578+F586+F594+F602+F554+F598+F606+F610+F618+F626</f>
        <v>130832391</v>
      </c>
      <c r="G490" s="464">
        <f t="shared" si="316"/>
        <v>173830904</v>
      </c>
      <c r="H490" s="464">
        <f t="shared" si="316"/>
        <v>170228100</v>
      </c>
      <c r="I490" s="464">
        <f t="shared" si="316"/>
        <v>163273638</v>
      </c>
      <c r="J490" s="464">
        <f t="shared" si="316"/>
        <v>3945000</v>
      </c>
      <c r="K490" s="464">
        <f t="shared" si="316"/>
        <v>0</v>
      </c>
      <c r="L490" s="464">
        <f t="shared" si="316"/>
        <v>0</v>
      </c>
      <c r="M490" s="1047">
        <f t="shared" ref="M490:N493" si="317">SUM(F490:K490)</f>
        <v>642110033</v>
      </c>
      <c r="N490" s="1047">
        <f t="shared" si="317"/>
        <v>511277642</v>
      </c>
      <c r="O490" s="3166"/>
      <c r="P490" s="988"/>
    </row>
    <row r="491" spans="1:17" s="989" customFormat="1" ht="12">
      <c r="A491" s="3080"/>
      <c r="B491" s="911" t="s">
        <v>78</v>
      </c>
      <c r="C491" s="912"/>
      <c r="D491" s="464">
        <f>D579+D587+D611</f>
        <v>23425991</v>
      </c>
      <c r="E491" s="464">
        <f t="shared" ref="E491" si="318">E579+E587+E611</f>
        <v>0</v>
      </c>
      <c r="F491" s="464">
        <f t="shared" ref="F491:L491" si="319">F579+F587+F611</f>
        <v>23425991</v>
      </c>
      <c r="G491" s="464">
        <f t="shared" si="319"/>
        <v>0</v>
      </c>
      <c r="H491" s="464">
        <f t="shared" si="319"/>
        <v>0</v>
      </c>
      <c r="I491" s="464">
        <f t="shared" si="319"/>
        <v>0</v>
      </c>
      <c r="J491" s="464">
        <f t="shared" si="319"/>
        <v>0</v>
      </c>
      <c r="K491" s="464">
        <f t="shared" si="319"/>
        <v>0</v>
      </c>
      <c r="L491" s="464">
        <f t="shared" si="319"/>
        <v>0</v>
      </c>
      <c r="M491" s="1047">
        <f t="shared" si="317"/>
        <v>23425991</v>
      </c>
      <c r="N491" s="1047">
        <f t="shared" si="317"/>
        <v>0</v>
      </c>
      <c r="O491" s="3166"/>
      <c r="P491" s="988"/>
    </row>
    <row r="492" spans="1:17" s="989" customFormat="1" ht="12">
      <c r="A492" s="3080"/>
      <c r="B492" s="911" t="s">
        <v>15</v>
      </c>
      <c r="C492" s="912"/>
      <c r="D492" s="464">
        <f t="shared" ref="D492:L492" si="320">+D516+D532+D547+D566+D619</f>
        <v>10297374</v>
      </c>
      <c r="E492" s="464">
        <f t="shared" ref="E492" si="321">+E516+E532+E547+E566+E619</f>
        <v>4693764</v>
      </c>
      <c r="F492" s="464">
        <f t="shared" si="320"/>
        <v>4243008</v>
      </c>
      <c r="G492" s="464">
        <f t="shared" si="320"/>
        <v>1360602</v>
      </c>
      <c r="H492" s="464">
        <f t="shared" si="320"/>
        <v>0</v>
      </c>
      <c r="I492" s="464">
        <f t="shared" si="320"/>
        <v>0</v>
      </c>
      <c r="J492" s="464">
        <f t="shared" si="320"/>
        <v>0</v>
      </c>
      <c r="K492" s="464">
        <f t="shared" si="320"/>
        <v>0</v>
      </c>
      <c r="L492" s="464">
        <f t="shared" si="320"/>
        <v>0</v>
      </c>
      <c r="M492" s="1047">
        <f t="shared" si="317"/>
        <v>5603610</v>
      </c>
      <c r="N492" s="1047">
        <f t="shared" si="317"/>
        <v>1360602</v>
      </c>
      <c r="O492" s="3166"/>
      <c r="P492" s="988"/>
    </row>
    <row r="493" spans="1:17" s="989" customFormat="1" ht="13.5" customHeight="1">
      <c r="A493" s="3080"/>
      <c r="B493" s="911" t="s">
        <v>106</v>
      </c>
      <c r="C493" s="912"/>
      <c r="D493" s="464">
        <f>D504</f>
        <v>62449201</v>
      </c>
      <c r="E493" s="464">
        <f t="shared" ref="E493" si="322">E504</f>
        <v>0</v>
      </c>
      <c r="F493" s="464">
        <f t="shared" ref="F493:L493" si="323">F504</f>
        <v>10003578</v>
      </c>
      <c r="G493" s="464">
        <f t="shared" si="323"/>
        <v>24142763</v>
      </c>
      <c r="H493" s="464">
        <f t="shared" si="323"/>
        <v>14120000</v>
      </c>
      <c r="I493" s="464">
        <f t="shared" si="323"/>
        <v>14182860</v>
      </c>
      <c r="J493" s="464">
        <f t="shared" si="323"/>
        <v>0</v>
      </c>
      <c r="K493" s="464">
        <f t="shared" si="323"/>
        <v>0</v>
      </c>
      <c r="L493" s="464">
        <f t="shared" si="323"/>
        <v>0</v>
      </c>
      <c r="M493" s="1047">
        <f t="shared" si="317"/>
        <v>62449201</v>
      </c>
      <c r="N493" s="1047">
        <f t="shared" si="317"/>
        <v>52445623</v>
      </c>
      <c r="O493" s="3166"/>
      <c r="P493" s="988"/>
    </row>
    <row r="494" spans="1:17" s="989" customFormat="1" ht="13.5" customHeight="1">
      <c r="A494" s="3080"/>
      <c r="B494" s="82" t="s">
        <v>22</v>
      </c>
      <c r="C494" s="22"/>
      <c r="D494" s="31">
        <f>+D495</f>
        <v>195692217</v>
      </c>
      <c r="E494" s="31">
        <f t="shared" ref="E494:L494" si="324">+E495</f>
        <v>56644776</v>
      </c>
      <c r="F494" s="31">
        <f t="shared" si="324"/>
        <v>49698084</v>
      </c>
      <c r="G494" s="31">
        <f t="shared" si="324"/>
        <v>29238187</v>
      </c>
      <c r="H494" s="31">
        <f t="shared" si="324"/>
        <v>30055585</v>
      </c>
      <c r="I494" s="31">
        <f t="shared" si="324"/>
        <v>30055585</v>
      </c>
      <c r="J494" s="31">
        <f t="shared" si="324"/>
        <v>0</v>
      </c>
      <c r="K494" s="31">
        <f t="shared" si="324"/>
        <v>0</v>
      </c>
      <c r="L494" s="31">
        <f t="shared" si="324"/>
        <v>0</v>
      </c>
      <c r="M494" s="3027" t="s">
        <v>23</v>
      </c>
      <c r="N494" s="3027" t="s">
        <v>23</v>
      </c>
      <c r="O494" s="3166"/>
    </row>
    <row r="495" spans="1:17" s="989" customFormat="1" ht="12" customHeight="1">
      <c r="A495" s="3080"/>
      <c r="B495" s="993" t="s">
        <v>24</v>
      </c>
      <c r="C495" s="917"/>
      <c r="D495" s="234">
        <f>+D496+D498+D497+D499</f>
        <v>195692217</v>
      </c>
      <c r="E495" s="234">
        <f t="shared" ref="E495" si="325">+E496+E498+E497+E499</f>
        <v>56644776</v>
      </c>
      <c r="F495" s="234">
        <f t="shared" ref="F495:L495" si="326">+F496+F498+F497+F499</f>
        <v>49698084</v>
      </c>
      <c r="G495" s="234">
        <f t="shared" si="326"/>
        <v>29238187</v>
      </c>
      <c r="H495" s="234">
        <f t="shared" si="326"/>
        <v>30055585</v>
      </c>
      <c r="I495" s="234">
        <f t="shared" si="326"/>
        <v>30055585</v>
      </c>
      <c r="J495" s="234">
        <f t="shared" si="326"/>
        <v>0</v>
      </c>
      <c r="K495" s="234">
        <f t="shared" si="326"/>
        <v>0</v>
      </c>
      <c r="L495" s="234">
        <f t="shared" si="326"/>
        <v>0</v>
      </c>
      <c r="M495" s="3028"/>
      <c r="N495" s="3028"/>
      <c r="O495" s="3166"/>
    </row>
    <row r="496" spans="1:17" s="989" customFormat="1" ht="12" customHeight="1">
      <c r="A496" s="3080"/>
      <c r="B496" s="911" t="s">
        <v>214</v>
      </c>
      <c r="C496" s="465"/>
      <c r="D496" s="148">
        <f>+D569+D557+D542</f>
        <v>99519651</v>
      </c>
      <c r="E496" s="148">
        <f t="shared" ref="E496" si="327">+E569+E557+E542</f>
        <v>23178951</v>
      </c>
      <c r="F496" s="148">
        <f t="shared" ref="F496:I496" si="328">+F569+F557+F542</f>
        <v>13609800</v>
      </c>
      <c r="G496" s="148">
        <f t="shared" si="328"/>
        <v>19458300</v>
      </c>
      <c r="H496" s="148">
        <f t="shared" si="328"/>
        <v>21636300</v>
      </c>
      <c r="I496" s="148">
        <f t="shared" si="328"/>
        <v>21636300</v>
      </c>
      <c r="J496" s="148">
        <f t="shared" ref="J496:L496" si="329">+J569+J557</f>
        <v>0</v>
      </c>
      <c r="K496" s="148">
        <f t="shared" si="329"/>
        <v>0</v>
      </c>
      <c r="L496" s="148">
        <f t="shared" si="329"/>
        <v>0</v>
      </c>
      <c r="M496" s="3028"/>
      <c r="N496" s="3028"/>
      <c r="O496" s="3166"/>
      <c r="Q496" s="988">
        <v>28500000</v>
      </c>
    </row>
    <row r="497" spans="1:17" s="989" customFormat="1" ht="12" customHeight="1">
      <c r="A497" s="2978"/>
      <c r="B497" s="911" t="s">
        <v>78</v>
      </c>
      <c r="C497" s="465"/>
      <c r="D497" s="464">
        <f>D582+D590+D614</f>
        <v>23425991</v>
      </c>
      <c r="E497" s="464">
        <f t="shared" ref="E497" si="330">E582+E590+E614</f>
        <v>0</v>
      </c>
      <c r="F497" s="464">
        <f t="shared" ref="F497:L497" si="331">F582+F590+F614</f>
        <v>23425991</v>
      </c>
      <c r="G497" s="464">
        <f t="shared" si="331"/>
        <v>0</v>
      </c>
      <c r="H497" s="464">
        <f t="shared" si="331"/>
        <v>0</v>
      </c>
      <c r="I497" s="464">
        <f t="shared" si="331"/>
        <v>0</v>
      </c>
      <c r="J497" s="464">
        <f t="shared" si="331"/>
        <v>0</v>
      </c>
      <c r="K497" s="464">
        <f t="shared" si="331"/>
        <v>0</v>
      </c>
      <c r="L497" s="464">
        <f t="shared" si="331"/>
        <v>0</v>
      </c>
      <c r="M497" s="3028"/>
      <c r="N497" s="3028"/>
      <c r="O497" s="3166"/>
      <c r="P497" s="988">
        <f>D497-D491</f>
        <v>0</v>
      </c>
      <c r="Q497" s="988">
        <v>4072498</v>
      </c>
    </row>
    <row r="498" spans="1:17" s="989" customFormat="1" ht="12" customHeight="1">
      <c r="A498" s="2978"/>
      <c r="B498" s="911" t="s">
        <v>15</v>
      </c>
      <c r="C498" s="465"/>
      <c r="D498" s="148">
        <f t="shared" ref="D498:L498" si="332">+D519+D535+D550+D570+D622</f>
        <v>10297374</v>
      </c>
      <c r="E498" s="148">
        <f t="shared" ref="E498" si="333">+E519+E535+E550+E570+E622</f>
        <v>4693764</v>
      </c>
      <c r="F498" s="148">
        <f t="shared" si="332"/>
        <v>4243008</v>
      </c>
      <c r="G498" s="148">
        <f t="shared" si="332"/>
        <v>1360602</v>
      </c>
      <c r="H498" s="148">
        <f t="shared" si="332"/>
        <v>0</v>
      </c>
      <c r="I498" s="148">
        <f t="shared" si="332"/>
        <v>0</v>
      </c>
      <c r="J498" s="148">
        <f t="shared" si="332"/>
        <v>0</v>
      </c>
      <c r="K498" s="148">
        <f t="shared" si="332"/>
        <v>0</v>
      </c>
      <c r="L498" s="148">
        <f t="shared" si="332"/>
        <v>0</v>
      </c>
      <c r="M498" s="3028"/>
      <c r="N498" s="3028"/>
      <c r="O498" s="3166"/>
      <c r="Q498" s="988">
        <v>1570791</v>
      </c>
    </row>
    <row r="499" spans="1:17" s="989" customFormat="1" ht="12" customHeight="1" thickBot="1">
      <c r="A499" s="2978"/>
      <c r="B499" s="911" t="s">
        <v>106</v>
      </c>
      <c r="C499" s="465"/>
      <c r="D499" s="148">
        <f>D507</f>
        <v>62449201</v>
      </c>
      <c r="E499" s="148">
        <f t="shared" ref="E499" si="334">E507</f>
        <v>28772061</v>
      </c>
      <c r="F499" s="148">
        <f t="shared" ref="F499:L499" si="335">F507</f>
        <v>8419285</v>
      </c>
      <c r="G499" s="148">
        <f t="shared" si="335"/>
        <v>8419285</v>
      </c>
      <c r="H499" s="148">
        <f t="shared" si="335"/>
        <v>8419285</v>
      </c>
      <c r="I499" s="148">
        <f t="shared" si="335"/>
        <v>8419285</v>
      </c>
      <c r="J499" s="148">
        <f t="shared" si="335"/>
        <v>0</v>
      </c>
      <c r="K499" s="148">
        <f t="shared" si="335"/>
        <v>0</v>
      </c>
      <c r="L499" s="148">
        <f t="shared" si="335"/>
        <v>0</v>
      </c>
      <c r="M499" s="3029"/>
      <c r="N499" s="3029"/>
      <c r="O499" s="3167"/>
    </row>
    <row r="500" spans="1:17" s="989" customFormat="1" ht="18" customHeight="1">
      <c r="A500" s="3079" t="s">
        <v>63</v>
      </c>
      <c r="B500" s="74" t="s">
        <v>392</v>
      </c>
      <c r="C500" s="58" t="s">
        <v>109</v>
      </c>
      <c r="D500" s="104"/>
      <c r="E500" s="106"/>
      <c r="F500" s="105"/>
      <c r="G500" s="105"/>
      <c r="H500" s="244"/>
      <c r="I500" s="244"/>
      <c r="J500" s="244"/>
      <c r="K500" s="244"/>
      <c r="L500" s="244"/>
      <c r="M500" s="1572"/>
      <c r="N500" s="1572"/>
      <c r="O500" s="3177" t="s">
        <v>102</v>
      </c>
    </row>
    <row r="501" spans="1:17" s="989" customFormat="1" ht="14.25" customHeight="1">
      <c r="A501" s="3080"/>
      <c r="B501" s="525" t="s">
        <v>10</v>
      </c>
      <c r="C501" s="2003"/>
      <c r="D501" s="2459">
        <f>+D502</f>
        <v>83298218</v>
      </c>
      <c r="E501" s="2459">
        <f t="shared" ref="E501:I501" si="336">+E502</f>
        <v>2184218</v>
      </c>
      <c r="F501" s="2459">
        <f t="shared" si="336"/>
        <v>12304401</v>
      </c>
      <c r="G501" s="2459">
        <f t="shared" si="336"/>
        <v>29695599</v>
      </c>
      <c r="H501" s="2459">
        <f t="shared" si="336"/>
        <v>17367600</v>
      </c>
      <c r="I501" s="2459">
        <f t="shared" si="336"/>
        <v>21746400</v>
      </c>
      <c r="J501" s="2046">
        <v>0</v>
      </c>
      <c r="K501" s="2046">
        <v>0</v>
      </c>
      <c r="L501" s="2046">
        <v>0</v>
      </c>
      <c r="M501" s="2103">
        <f>+M502</f>
        <v>81114000</v>
      </c>
      <c r="N501" s="2103">
        <f>+N502</f>
        <v>68809599</v>
      </c>
      <c r="O501" s="3178"/>
      <c r="P501" s="988"/>
    </row>
    <row r="502" spans="1:17" s="989" customFormat="1" ht="14.25" customHeight="1">
      <c r="A502" s="3080"/>
      <c r="B502" s="721" t="s">
        <v>24</v>
      </c>
      <c r="C502" s="3040" t="s">
        <v>98</v>
      </c>
      <c r="D502" s="2460">
        <f>D503+D504</f>
        <v>83298218</v>
      </c>
      <c r="E502" s="2460">
        <f t="shared" ref="E502:G502" si="337">E503+E504</f>
        <v>2184218</v>
      </c>
      <c r="F502" s="2460">
        <f>F503+F504</f>
        <v>12304401</v>
      </c>
      <c r="G502" s="2460">
        <f t="shared" si="337"/>
        <v>29695599</v>
      </c>
      <c r="H502" s="2460">
        <f t="shared" ref="H502" si="338">H503+H504</f>
        <v>17367600</v>
      </c>
      <c r="I502" s="2460">
        <f t="shared" ref="I502" si="339">I503+I504</f>
        <v>21746400</v>
      </c>
      <c r="J502" s="2044">
        <v>0</v>
      </c>
      <c r="K502" s="2044">
        <v>0</v>
      </c>
      <c r="L502" s="2044">
        <v>0</v>
      </c>
      <c r="M502" s="2067">
        <f>+M503+M504</f>
        <v>81114000</v>
      </c>
      <c r="N502" s="2067">
        <f>+N503+N504</f>
        <v>68809599</v>
      </c>
      <c r="O502" s="3178"/>
    </row>
    <row r="503" spans="1:17" s="989" customFormat="1" ht="14.25" customHeight="1">
      <c r="A503" s="3080"/>
      <c r="B503" s="795" t="s">
        <v>12</v>
      </c>
      <c r="C503" s="3075"/>
      <c r="D503" s="1913">
        <f>E503+F503+G503+H503+I503+J503+K503+L503</f>
        <v>20849017</v>
      </c>
      <c r="E503" s="1977">
        <v>2184218</v>
      </c>
      <c r="F503" s="2461">
        <f>23370000-5870000+3500000-18079000-620177</f>
        <v>2300823</v>
      </c>
      <c r="G503" s="2461">
        <f>29212500-15212500+7000000-16067341+620177</f>
        <v>5552836</v>
      </c>
      <c r="H503" s="2461">
        <f>3427000-179400</f>
        <v>3247600</v>
      </c>
      <c r="I503" s="2461">
        <f>7384140+179400</f>
        <v>7563540</v>
      </c>
      <c r="J503" s="1960">
        <v>0</v>
      </c>
      <c r="K503" s="1960">
        <v>0</v>
      </c>
      <c r="L503" s="1960">
        <v>0</v>
      </c>
      <c r="M503" s="2033">
        <f>SUM(F503:K503)</f>
        <v>18664799</v>
      </c>
      <c r="N503" s="2033">
        <f>SUM(G503:L503)</f>
        <v>16363976</v>
      </c>
      <c r="O503" s="3178"/>
      <c r="P503" s="988"/>
    </row>
    <row r="504" spans="1:17" s="989" customFormat="1" ht="14.25" customHeight="1">
      <c r="A504" s="3080"/>
      <c r="B504" s="1573" t="s">
        <v>106</v>
      </c>
      <c r="C504" s="2975"/>
      <c r="D504" s="1984">
        <f>E504+F504+G504+H504+I504+J504+K504+L504</f>
        <v>62449201</v>
      </c>
      <c r="E504" s="1977">
        <v>0</v>
      </c>
      <c r="F504" s="113">
        <f>12700000-2696422</f>
        <v>10003578</v>
      </c>
      <c r="G504" s="113">
        <f>21446341+2696422</f>
        <v>24142763</v>
      </c>
      <c r="H504" s="113">
        <f>14900000-780000</f>
        <v>14120000</v>
      </c>
      <c r="I504" s="113">
        <f>13402860+780000</f>
        <v>14182860</v>
      </c>
      <c r="J504" s="1528">
        <v>0</v>
      </c>
      <c r="K504" s="1528">
        <v>0</v>
      </c>
      <c r="L504" s="1528">
        <v>0</v>
      </c>
      <c r="M504" s="2033">
        <f>SUM(F504:K504)</f>
        <v>62449201</v>
      </c>
      <c r="N504" s="2033">
        <f>SUM(G504:L504)</f>
        <v>52445623</v>
      </c>
      <c r="O504" s="3178"/>
      <c r="P504" s="988"/>
    </row>
    <row r="505" spans="1:17" s="989" customFormat="1" ht="14.25" customHeight="1">
      <c r="A505" s="3080"/>
      <c r="B505" s="189" t="s">
        <v>22</v>
      </c>
      <c r="C505" s="91"/>
      <c r="D505" s="1574">
        <f>D506</f>
        <v>62449201</v>
      </c>
      <c r="E505" s="1574">
        <f t="shared" ref="E505:L506" si="340">E506</f>
        <v>28772061</v>
      </c>
      <c r="F505" s="1574">
        <f t="shared" si="340"/>
        <v>8419285</v>
      </c>
      <c r="G505" s="1574">
        <f t="shared" si="340"/>
        <v>8419285</v>
      </c>
      <c r="H505" s="1574">
        <f t="shared" si="340"/>
        <v>8419285</v>
      </c>
      <c r="I505" s="1574">
        <f t="shared" si="340"/>
        <v>8419285</v>
      </c>
      <c r="J505" s="1575">
        <f t="shared" si="340"/>
        <v>0</v>
      </c>
      <c r="K505" s="1575">
        <f t="shared" si="340"/>
        <v>0</v>
      </c>
      <c r="L505" s="1575">
        <f t="shared" si="340"/>
        <v>0</v>
      </c>
      <c r="M505" s="3082" t="s">
        <v>23</v>
      </c>
      <c r="N505" s="3082" t="s">
        <v>23</v>
      </c>
      <c r="O505" s="3178"/>
      <c r="P505" s="988"/>
    </row>
    <row r="506" spans="1:17" s="989" customFormat="1" ht="14.25" customHeight="1">
      <c r="A506" s="3080"/>
      <c r="B506" s="2121" t="s">
        <v>24</v>
      </c>
      <c r="C506" s="3040" t="s">
        <v>98</v>
      </c>
      <c r="D506" s="1984">
        <f>D507</f>
        <v>62449201</v>
      </c>
      <c r="E506" s="1984">
        <f t="shared" si="340"/>
        <v>28772061</v>
      </c>
      <c r="F506" s="1984">
        <f t="shared" si="340"/>
        <v>8419285</v>
      </c>
      <c r="G506" s="1984">
        <f t="shared" si="340"/>
        <v>8419285</v>
      </c>
      <c r="H506" s="1984">
        <f t="shared" si="340"/>
        <v>8419285</v>
      </c>
      <c r="I506" s="1984">
        <f t="shared" si="340"/>
        <v>8419285</v>
      </c>
      <c r="J506" s="2462">
        <f t="shared" si="340"/>
        <v>0</v>
      </c>
      <c r="K506" s="2462">
        <f t="shared" si="340"/>
        <v>0</v>
      </c>
      <c r="L506" s="2462">
        <f t="shared" si="340"/>
        <v>0</v>
      </c>
      <c r="M506" s="3082"/>
      <c r="N506" s="3082"/>
      <c r="O506" s="3178"/>
      <c r="P506" s="988"/>
    </row>
    <row r="507" spans="1:17" s="989" customFormat="1" ht="14.25" customHeight="1" thickBot="1">
      <c r="A507" s="3081"/>
      <c r="B507" s="1677" t="s">
        <v>106</v>
      </c>
      <c r="C507" s="3088"/>
      <c r="D507" s="2417">
        <f>E507+F507+G507+H507+I507+J507+K507+L507</f>
        <v>62449201</v>
      </c>
      <c r="E507" s="2417">
        <v>28772061</v>
      </c>
      <c r="F507" s="2417">
        <v>8419285</v>
      </c>
      <c r="G507" s="2417">
        <v>8419285</v>
      </c>
      <c r="H507" s="2417">
        <v>8419285</v>
      </c>
      <c r="I507" s="2417">
        <v>8419285</v>
      </c>
      <c r="J507" s="2463">
        <v>0</v>
      </c>
      <c r="K507" s="2463">
        <v>0</v>
      </c>
      <c r="L507" s="2463">
        <v>0</v>
      </c>
      <c r="M507" s="3083"/>
      <c r="N507" s="3083"/>
      <c r="O507" s="3179"/>
      <c r="P507" s="988"/>
    </row>
    <row r="508" spans="1:17" s="989" customFormat="1" ht="14.25" hidden="1" customHeight="1">
      <c r="A508" s="3080"/>
      <c r="B508" s="466"/>
      <c r="C508" s="997"/>
      <c r="D508" s="84"/>
      <c r="E508" s="257"/>
      <c r="F508" s="257"/>
      <c r="G508" s="257"/>
      <c r="H508" s="257"/>
      <c r="I508" s="257"/>
      <c r="J508" s="257"/>
      <c r="K508" s="257"/>
      <c r="L508" s="257"/>
      <c r="M508" s="258"/>
      <c r="N508" s="258"/>
      <c r="O508" s="3103"/>
    </row>
    <row r="509" spans="1:17" s="989" customFormat="1" ht="13.5" hidden="1" customHeight="1">
      <c r="A509" s="3080"/>
      <c r="B509" s="30"/>
      <c r="C509" s="91"/>
      <c r="D509" s="209"/>
      <c r="E509" s="209"/>
      <c r="F509" s="209"/>
      <c r="G509" s="209"/>
      <c r="H509" s="247"/>
      <c r="I509" s="247"/>
      <c r="J509" s="247"/>
      <c r="K509" s="247"/>
      <c r="L509" s="247"/>
      <c r="M509" s="241"/>
      <c r="N509" s="241"/>
      <c r="O509" s="3191"/>
    </row>
    <row r="510" spans="1:17" s="989" customFormat="1" ht="13.5" hidden="1" customHeight="1">
      <c r="A510" s="3080"/>
      <c r="B510" s="688"/>
      <c r="C510" s="3050"/>
      <c r="D510" s="78"/>
      <c r="E510" s="78"/>
      <c r="F510" s="78"/>
      <c r="G510" s="78"/>
      <c r="H510" s="245"/>
      <c r="I510" s="245"/>
      <c r="J510" s="245"/>
      <c r="K510" s="245"/>
      <c r="L510" s="245"/>
      <c r="M510" s="242"/>
      <c r="N510" s="242"/>
      <c r="O510" s="3191"/>
    </row>
    <row r="511" spans="1:17" s="989" customFormat="1" ht="13.5" hidden="1" customHeight="1" thickBot="1">
      <c r="A511" s="3081"/>
      <c r="B511" s="71"/>
      <c r="C511" s="3074"/>
      <c r="D511" s="88"/>
      <c r="E511" s="73"/>
      <c r="F511" s="51"/>
      <c r="G511" s="51"/>
      <c r="H511" s="248"/>
      <c r="I511" s="248"/>
      <c r="J511" s="248"/>
      <c r="K511" s="248"/>
      <c r="L511" s="248"/>
      <c r="M511" s="243"/>
      <c r="N511" s="243"/>
      <c r="O511" s="3192"/>
      <c r="P511" s="988"/>
    </row>
    <row r="512" spans="1:17" s="989" customFormat="1" ht="12" hidden="1">
      <c r="A512" s="3091"/>
      <c r="B512" s="74"/>
      <c r="C512" s="58" t="s">
        <v>81</v>
      </c>
      <c r="D512" s="935"/>
      <c r="E512" s="96"/>
      <c r="F512" s="96"/>
      <c r="G512" s="96"/>
      <c r="H512" s="96"/>
      <c r="I512" s="96"/>
      <c r="J512" s="96"/>
      <c r="K512" s="96"/>
      <c r="L512" s="96"/>
      <c r="M512" s="45"/>
      <c r="N512" s="45"/>
      <c r="O512" s="3095" t="s">
        <v>102</v>
      </c>
    </row>
    <row r="513" spans="1:131" s="989" customFormat="1" ht="15" hidden="1" customHeight="1">
      <c r="A513" s="3092"/>
      <c r="B513" s="525" t="s">
        <v>10</v>
      </c>
      <c r="C513" s="2039"/>
      <c r="D513" s="1934">
        <f>+D514</f>
        <v>0</v>
      </c>
      <c r="E513" s="2029">
        <f t="shared" ref="E513:N513" si="341">+E514</f>
        <v>0</v>
      </c>
      <c r="F513" s="2029">
        <f t="shared" si="341"/>
        <v>0</v>
      </c>
      <c r="G513" s="2046">
        <v>0</v>
      </c>
      <c r="H513" s="2046">
        <v>0</v>
      </c>
      <c r="I513" s="2046">
        <v>0</v>
      </c>
      <c r="J513" s="2046">
        <v>0</v>
      </c>
      <c r="K513" s="2046">
        <v>0</v>
      </c>
      <c r="L513" s="2046">
        <v>0</v>
      </c>
      <c r="M513" s="1935">
        <f t="shared" si="341"/>
        <v>0</v>
      </c>
      <c r="N513" s="1935">
        <f t="shared" si="341"/>
        <v>0</v>
      </c>
      <c r="O513" s="3096"/>
      <c r="P513" s="988"/>
    </row>
    <row r="514" spans="1:131" s="989" customFormat="1" ht="13.5" hidden="1" customHeight="1">
      <c r="A514" s="3092"/>
      <c r="B514" s="721" t="s">
        <v>24</v>
      </c>
      <c r="C514" s="3040"/>
      <c r="D514" s="1937">
        <f>+D515+D516</f>
        <v>0</v>
      </c>
      <c r="E514" s="2030">
        <f t="shared" ref="E514" si="342">+E515+E516</f>
        <v>0</v>
      </c>
      <c r="F514" s="2030">
        <f>+F515+F516</f>
        <v>0</v>
      </c>
      <c r="G514" s="2044">
        <v>0</v>
      </c>
      <c r="H514" s="2044">
        <v>0</v>
      </c>
      <c r="I514" s="2044">
        <v>0</v>
      </c>
      <c r="J514" s="2044">
        <v>0</v>
      </c>
      <c r="K514" s="2044">
        <v>0</v>
      </c>
      <c r="L514" s="2044">
        <v>0</v>
      </c>
      <c r="M514" s="2008">
        <f>+M515+M516</f>
        <v>0</v>
      </c>
      <c r="N514" s="2008">
        <f>+N515+N516</f>
        <v>0</v>
      </c>
      <c r="O514" s="3096"/>
    </row>
    <row r="515" spans="1:131" s="989" customFormat="1" ht="13.5" hidden="1" customHeight="1">
      <c r="A515" s="3092"/>
      <c r="B515" s="2047" t="s">
        <v>12</v>
      </c>
      <c r="C515" s="3098"/>
      <c r="D515" s="1913">
        <f>E515+F515+G515+H515+I515+J515+K515+L515</f>
        <v>0</v>
      </c>
      <c r="E515" s="1977"/>
      <c r="F515" s="1941"/>
      <c r="G515" s="2042">
        <v>0</v>
      </c>
      <c r="H515" s="2042">
        <v>0</v>
      </c>
      <c r="I515" s="2042">
        <v>0</v>
      </c>
      <c r="J515" s="2042">
        <v>0</v>
      </c>
      <c r="K515" s="2042">
        <v>0</v>
      </c>
      <c r="L515" s="2042">
        <v>0</v>
      </c>
      <c r="M515" s="1047">
        <f>SUM(F515:K515)</f>
        <v>0</v>
      </c>
      <c r="N515" s="1047">
        <f>SUM(G515:L515)</f>
        <v>0</v>
      </c>
      <c r="O515" s="3096"/>
    </row>
    <row r="516" spans="1:131" s="989" customFormat="1" ht="13.5" hidden="1" customHeight="1">
      <c r="A516" s="3092"/>
      <c r="B516" s="795" t="s">
        <v>114</v>
      </c>
      <c r="C516" s="3099"/>
      <c r="D516" s="1913">
        <f>E516+F516+G516+H516+I516+J516+K516+L516</f>
        <v>0</v>
      </c>
      <c r="E516" s="1977"/>
      <c r="F516" s="2042">
        <v>0</v>
      </c>
      <c r="G516" s="2042">
        <v>0</v>
      </c>
      <c r="H516" s="2042">
        <v>0</v>
      </c>
      <c r="I516" s="2042">
        <v>0</v>
      </c>
      <c r="J516" s="2042">
        <v>0</v>
      </c>
      <c r="K516" s="2042">
        <v>0</v>
      </c>
      <c r="L516" s="2042">
        <v>0</v>
      </c>
      <c r="M516" s="1047">
        <f>SUM(F516:K516)</f>
        <v>0</v>
      </c>
      <c r="N516" s="1047">
        <f>SUM(G516:L516)</f>
        <v>0</v>
      </c>
      <c r="O516" s="3096"/>
    </row>
    <row r="517" spans="1:131" s="989" customFormat="1" ht="12.75" hidden="1" customHeight="1">
      <c r="A517" s="3093"/>
      <c r="B517" s="715" t="s">
        <v>22</v>
      </c>
      <c r="C517" s="2039"/>
      <c r="D517" s="1934">
        <f>+D518</f>
        <v>0</v>
      </c>
      <c r="E517" s="1934">
        <f t="shared" ref="E517:E518" si="343">+E518</f>
        <v>0</v>
      </c>
      <c r="F517" s="2046">
        <v>0</v>
      </c>
      <c r="G517" s="2046">
        <v>0</v>
      </c>
      <c r="H517" s="2046">
        <v>0</v>
      </c>
      <c r="I517" s="2046">
        <v>0</v>
      </c>
      <c r="J517" s="2046">
        <v>0</v>
      </c>
      <c r="K517" s="2046">
        <v>0</v>
      </c>
      <c r="L517" s="2046">
        <v>0</v>
      </c>
      <c r="M517" s="3030" t="s">
        <v>23</v>
      </c>
      <c r="N517" s="3030" t="s">
        <v>23</v>
      </c>
      <c r="O517" s="3096"/>
    </row>
    <row r="518" spans="1:131" s="989" customFormat="1" ht="13.5" hidden="1" customHeight="1">
      <c r="A518" s="3093"/>
      <c r="B518" s="681" t="s">
        <v>24</v>
      </c>
      <c r="C518" s="3040"/>
      <c r="D518" s="2030">
        <f>+D519</f>
        <v>0</v>
      </c>
      <c r="E518" s="2030">
        <f t="shared" si="343"/>
        <v>0</v>
      </c>
      <c r="F518" s="2044">
        <v>0</v>
      </c>
      <c r="G518" s="2044">
        <v>0</v>
      </c>
      <c r="H518" s="2044">
        <v>0</v>
      </c>
      <c r="I518" s="2044">
        <v>0</v>
      </c>
      <c r="J518" s="2044">
        <v>0</v>
      </c>
      <c r="K518" s="2044">
        <v>0</v>
      </c>
      <c r="L518" s="2044">
        <v>0</v>
      </c>
      <c r="M518" s="3021"/>
      <c r="N518" s="3021"/>
      <c r="O518" s="3096"/>
    </row>
    <row r="519" spans="1:131" s="989" customFormat="1" ht="13.5" hidden="1" customHeight="1" thickBot="1">
      <c r="A519" s="3094"/>
      <c r="B519" s="365" t="s">
        <v>114</v>
      </c>
      <c r="C519" s="3074"/>
      <c r="D519" s="1913">
        <f>E519+F519+G519+H519+I519+J519+K519+L519</f>
        <v>0</v>
      </c>
      <c r="E519" s="1977"/>
      <c r="F519" s="1063">
        <v>0</v>
      </c>
      <c r="G519" s="1063">
        <v>0</v>
      </c>
      <c r="H519" s="1063">
        <v>0</v>
      </c>
      <c r="I519" s="1063">
        <v>0</v>
      </c>
      <c r="J519" s="1063">
        <v>0</v>
      </c>
      <c r="K519" s="1063">
        <v>0</v>
      </c>
      <c r="L519" s="1063">
        <v>0</v>
      </c>
      <c r="M519" s="3022"/>
      <c r="N519" s="3022"/>
      <c r="O519" s="3097"/>
    </row>
    <row r="520" spans="1:131" s="999" customFormat="1" ht="14.25" customHeight="1">
      <c r="A520" s="3034" t="s">
        <v>64</v>
      </c>
      <c r="B520" s="74" t="s">
        <v>339</v>
      </c>
      <c r="C520" s="58" t="s">
        <v>81</v>
      </c>
      <c r="D520" s="445"/>
      <c r="E520" s="446"/>
      <c r="F520" s="446"/>
      <c r="G520" s="446"/>
      <c r="H520" s="446"/>
      <c r="I520" s="446"/>
      <c r="J520" s="446"/>
      <c r="K520" s="446"/>
      <c r="L520" s="446"/>
      <c r="M520" s="45"/>
      <c r="N520" s="45"/>
      <c r="O520" s="3037" t="s">
        <v>86</v>
      </c>
      <c r="P520" s="998"/>
      <c r="Q520" s="998"/>
      <c r="R520" s="998"/>
      <c r="S520" s="998"/>
      <c r="T520" s="998"/>
      <c r="U520" s="998"/>
      <c r="V520" s="998"/>
      <c r="W520" s="998"/>
      <c r="X520" s="998"/>
      <c r="Y520" s="998"/>
      <c r="Z520" s="998"/>
      <c r="AA520" s="998"/>
      <c r="AB520" s="998"/>
      <c r="AC520" s="998"/>
      <c r="AD520" s="998"/>
      <c r="AE520" s="998"/>
      <c r="AF520" s="998"/>
      <c r="AG520" s="998"/>
      <c r="AH520" s="998"/>
      <c r="AI520" s="998"/>
      <c r="AJ520" s="998"/>
      <c r="AK520" s="998"/>
      <c r="AL520" s="998"/>
      <c r="AM520" s="998"/>
      <c r="AN520" s="998"/>
      <c r="AO520" s="998"/>
      <c r="AP520" s="998"/>
      <c r="AQ520" s="998"/>
      <c r="AR520" s="998"/>
      <c r="AS520" s="998"/>
      <c r="AT520" s="998"/>
      <c r="AU520" s="998"/>
      <c r="AV520" s="998"/>
      <c r="AW520" s="998"/>
      <c r="AX520" s="998"/>
      <c r="AY520" s="998"/>
      <c r="AZ520" s="998"/>
      <c r="BA520" s="998"/>
      <c r="BB520" s="998"/>
      <c r="BC520" s="998"/>
      <c r="BD520" s="998"/>
      <c r="BE520" s="998"/>
      <c r="BF520" s="998"/>
      <c r="BG520" s="998"/>
      <c r="BH520" s="998"/>
      <c r="BI520" s="998"/>
      <c r="BJ520" s="998"/>
      <c r="BK520" s="998"/>
      <c r="BL520" s="998"/>
      <c r="BM520" s="998"/>
      <c r="BN520" s="998"/>
      <c r="BO520" s="998"/>
      <c r="BP520" s="998"/>
      <c r="BQ520" s="998"/>
      <c r="BR520" s="998"/>
      <c r="BS520" s="998"/>
      <c r="BT520" s="998"/>
      <c r="BU520" s="998"/>
      <c r="BV520" s="998"/>
      <c r="BW520" s="998"/>
      <c r="BX520" s="998"/>
      <c r="BY520" s="998"/>
      <c r="BZ520" s="998"/>
      <c r="CA520" s="998"/>
      <c r="CB520" s="998"/>
      <c r="CC520" s="998"/>
      <c r="CD520" s="998"/>
      <c r="CE520" s="998"/>
      <c r="CF520" s="998"/>
      <c r="CG520" s="998"/>
      <c r="CH520" s="998"/>
      <c r="CI520" s="998"/>
      <c r="CJ520" s="998"/>
      <c r="CK520" s="998"/>
      <c r="CL520" s="998"/>
      <c r="CM520" s="998"/>
      <c r="CN520" s="998"/>
      <c r="CO520" s="998"/>
      <c r="CP520" s="998"/>
      <c r="CQ520" s="998"/>
      <c r="CR520" s="998"/>
      <c r="CS520" s="998"/>
      <c r="CT520" s="998"/>
      <c r="CU520" s="998"/>
      <c r="CV520" s="998"/>
      <c r="CW520" s="998"/>
      <c r="CX520" s="998"/>
      <c r="CY520" s="998"/>
      <c r="CZ520" s="998"/>
      <c r="DA520" s="998"/>
      <c r="DB520" s="998"/>
      <c r="DC520" s="998"/>
      <c r="DD520" s="998"/>
      <c r="DE520" s="998"/>
      <c r="DF520" s="998"/>
      <c r="DG520" s="998"/>
      <c r="DH520" s="998"/>
      <c r="DI520" s="998"/>
      <c r="DJ520" s="998"/>
      <c r="DK520" s="998"/>
      <c r="DL520" s="998"/>
      <c r="DM520" s="998"/>
      <c r="DN520" s="998"/>
      <c r="DO520" s="998"/>
      <c r="DP520" s="998"/>
      <c r="DQ520" s="998"/>
      <c r="DR520" s="998"/>
      <c r="DS520" s="998"/>
      <c r="DT520" s="998"/>
      <c r="DU520" s="998"/>
      <c r="DV520" s="998"/>
      <c r="DW520" s="998"/>
      <c r="DX520" s="998"/>
      <c r="DY520" s="998"/>
      <c r="DZ520" s="998"/>
      <c r="EA520" s="998"/>
    </row>
    <row r="521" spans="1:131" s="998" customFormat="1" ht="12.75" customHeight="1">
      <c r="A521" s="3035"/>
      <c r="B521" s="525" t="s">
        <v>10</v>
      </c>
      <c r="C521" s="2039"/>
      <c r="D521" s="2048">
        <f>+D522</f>
        <v>8828560</v>
      </c>
      <c r="E521" s="2040">
        <f t="shared" ref="E521:I522" si="344">+E522</f>
        <v>3130167</v>
      </c>
      <c r="F521" s="2040">
        <f t="shared" si="344"/>
        <v>919160</v>
      </c>
      <c r="G521" s="2040">
        <f t="shared" si="344"/>
        <v>688733</v>
      </c>
      <c r="H521" s="2040">
        <f t="shared" si="344"/>
        <v>2020500</v>
      </c>
      <c r="I521" s="2040">
        <f t="shared" si="344"/>
        <v>2070000</v>
      </c>
      <c r="J521" s="2046">
        <v>0</v>
      </c>
      <c r="K521" s="2046">
        <v>0</v>
      </c>
      <c r="L521" s="2046">
        <v>0</v>
      </c>
      <c r="M521" s="1935">
        <f>+M522</f>
        <v>5698393</v>
      </c>
      <c r="N521" s="1935">
        <f>+N522</f>
        <v>4779233</v>
      </c>
      <c r="O521" s="3038"/>
      <c r="P521" s="988"/>
    </row>
    <row r="522" spans="1:131" s="998" customFormat="1" ht="14.25" customHeight="1">
      <c r="A522" s="3035"/>
      <c r="B522" s="721" t="s">
        <v>24</v>
      </c>
      <c r="C522" s="3040" t="s">
        <v>84</v>
      </c>
      <c r="D522" s="112">
        <f>+D523</f>
        <v>8828560</v>
      </c>
      <c r="E522" s="2041">
        <f t="shared" si="344"/>
        <v>3130167</v>
      </c>
      <c r="F522" s="2041">
        <f t="shared" si="344"/>
        <v>919160</v>
      </c>
      <c r="G522" s="2041">
        <f t="shared" si="344"/>
        <v>688733</v>
      </c>
      <c r="H522" s="2041">
        <f t="shared" si="344"/>
        <v>2020500</v>
      </c>
      <c r="I522" s="2041">
        <f t="shared" si="344"/>
        <v>2070000</v>
      </c>
      <c r="J522" s="2044">
        <v>0</v>
      </c>
      <c r="K522" s="2044">
        <v>0</v>
      </c>
      <c r="L522" s="2044">
        <v>0</v>
      </c>
      <c r="M522" s="2008">
        <f>+M523</f>
        <v>5698393</v>
      </c>
      <c r="N522" s="2008">
        <f>+N523</f>
        <v>4779233</v>
      </c>
      <c r="O522" s="3038"/>
    </row>
    <row r="523" spans="1:131" s="998" customFormat="1" ht="13.5" customHeight="1" thickBot="1">
      <c r="A523" s="3036"/>
      <c r="B523" s="1054" t="s">
        <v>12</v>
      </c>
      <c r="C523" s="3074"/>
      <c r="D523" s="1009">
        <f>E523+F523+G523+H523+I523+J523+K523+L523</f>
        <v>8828560</v>
      </c>
      <c r="E523" s="1009">
        <v>3130167</v>
      </c>
      <c r="F523" s="520">
        <f>1925000+100000-1300000+50351+160000+51342-67533</f>
        <v>919160</v>
      </c>
      <c r="G523" s="520">
        <f>1971200-850000-500000+67533</f>
        <v>688733</v>
      </c>
      <c r="H523" s="520">
        <v>2020500</v>
      </c>
      <c r="I523" s="520">
        <v>2070000</v>
      </c>
      <c r="J523" s="1063">
        <v>0</v>
      </c>
      <c r="K523" s="1063">
        <v>0</v>
      </c>
      <c r="L523" s="1063">
        <v>0</v>
      </c>
      <c r="M523" s="1047">
        <f>SUM(F523:K523)</f>
        <v>5698393</v>
      </c>
      <c r="N523" s="1047">
        <f>SUM(G523:L523)</f>
        <v>4779233</v>
      </c>
      <c r="O523" s="3039"/>
      <c r="P523" s="1000"/>
    </row>
    <row r="524" spans="1:131" s="989" customFormat="1" ht="23.25" customHeight="1">
      <c r="A524" s="3185" t="s">
        <v>65</v>
      </c>
      <c r="B524" s="1455" t="s">
        <v>212</v>
      </c>
      <c r="C524" s="58" t="s">
        <v>81</v>
      </c>
      <c r="D524" s="104"/>
      <c r="E524" s="244"/>
      <c r="F524" s="244"/>
      <c r="G524" s="244"/>
      <c r="H524" s="244"/>
      <c r="I524" s="244"/>
      <c r="J524" s="244"/>
      <c r="K524" s="244"/>
      <c r="L524" s="244"/>
      <c r="M524" s="45"/>
      <c r="N524" s="45"/>
      <c r="O524" s="3188" t="s">
        <v>224</v>
      </c>
    </row>
    <row r="525" spans="1:131" s="989" customFormat="1" ht="12">
      <c r="A525" s="3186"/>
      <c r="B525" s="80" t="s">
        <v>10</v>
      </c>
      <c r="C525" s="22"/>
      <c r="D525" s="132">
        <f>+D526</f>
        <v>45601289</v>
      </c>
      <c r="E525" s="107">
        <f t="shared" ref="E525:N526" si="345">+E526</f>
        <v>31401289</v>
      </c>
      <c r="F525" s="107">
        <f t="shared" si="345"/>
        <v>5000000</v>
      </c>
      <c r="G525" s="107">
        <f t="shared" si="345"/>
        <v>5000000</v>
      </c>
      <c r="H525" s="107">
        <f t="shared" si="345"/>
        <v>2700000</v>
      </c>
      <c r="I525" s="107">
        <f t="shared" si="345"/>
        <v>1500000</v>
      </c>
      <c r="J525" s="107"/>
      <c r="K525" s="107"/>
      <c r="L525" s="107"/>
      <c r="M525" s="32">
        <f t="shared" si="345"/>
        <v>14200000</v>
      </c>
      <c r="N525" s="32">
        <f t="shared" si="345"/>
        <v>9200000</v>
      </c>
      <c r="O525" s="3189"/>
      <c r="P525" s="988"/>
    </row>
    <row r="526" spans="1:131" s="989" customFormat="1" ht="12">
      <c r="A526" s="3186"/>
      <c r="B526" s="229" t="s">
        <v>24</v>
      </c>
      <c r="C526" s="3050" t="s">
        <v>111</v>
      </c>
      <c r="D526" s="112">
        <f>+D527</f>
        <v>45601289</v>
      </c>
      <c r="E526" s="109">
        <f t="shared" si="345"/>
        <v>31401289</v>
      </c>
      <c r="F526" s="109">
        <f t="shared" si="345"/>
        <v>5000000</v>
      </c>
      <c r="G526" s="109">
        <f t="shared" si="345"/>
        <v>5000000</v>
      </c>
      <c r="H526" s="109">
        <f t="shared" si="345"/>
        <v>2700000</v>
      </c>
      <c r="I526" s="109">
        <f t="shared" si="345"/>
        <v>1500000</v>
      </c>
      <c r="J526" s="1456"/>
      <c r="K526" s="1456"/>
      <c r="L526" s="1456"/>
      <c r="M526" s="111">
        <f>+M527</f>
        <v>14200000</v>
      </c>
      <c r="N526" s="111">
        <f>+N527</f>
        <v>9200000</v>
      </c>
      <c r="O526" s="3189"/>
    </row>
    <row r="527" spans="1:131" s="989" customFormat="1" thickBot="1">
      <c r="A527" s="3187"/>
      <c r="B527" s="302" t="s">
        <v>12</v>
      </c>
      <c r="C527" s="3041"/>
      <c r="D527" s="249">
        <f>E527+F527+G527+H527+I527+J527+K527+L527</f>
        <v>45601289</v>
      </c>
      <c r="E527" s="286">
        <v>31401289</v>
      </c>
      <c r="F527" s="1457">
        <v>5000000</v>
      </c>
      <c r="G527" s="1457">
        <v>5000000</v>
      </c>
      <c r="H527" s="1457">
        <v>2700000</v>
      </c>
      <c r="I527" s="1457">
        <v>1500000</v>
      </c>
      <c r="J527" s="1458"/>
      <c r="K527" s="1458"/>
      <c r="L527" s="1458"/>
      <c r="M527" s="1047">
        <f>SUM(F527:K527)</f>
        <v>14200000</v>
      </c>
      <c r="N527" s="1047">
        <f>SUM(G527:L527)</f>
        <v>9200000</v>
      </c>
      <c r="O527" s="3190"/>
      <c r="P527" s="988"/>
    </row>
    <row r="528" spans="1:131" s="989" customFormat="1" ht="14.25" hidden="1" customHeight="1">
      <c r="A528" s="3034"/>
      <c r="B528" s="284"/>
      <c r="C528" s="58" t="s">
        <v>81</v>
      </c>
      <c r="D528" s="130"/>
      <c r="E528" s="44"/>
      <c r="F528" s="444"/>
      <c r="G528" s="444"/>
      <c r="H528" s="444"/>
      <c r="I528" s="444"/>
      <c r="J528" s="44"/>
      <c r="K528" s="44"/>
      <c r="L528" s="44"/>
      <c r="M528" s="45"/>
      <c r="N528" s="45"/>
      <c r="O528" s="3037" t="s">
        <v>86</v>
      </c>
    </row>
    <row r="529" spans="1:16" s="989" customFormat="1" ht="13.5" hidden="1" customHeight="1">
      <c r="A529" s="3035"/>
      <c r="B529" s="21" t="s">
        <v>10</v>
      </c>
      <c r="C529" s="22"/>
      <c r="D529" s="128">
        <f>+D530</f>
        <v>0</v>
      </c>
      <c r="E529" s="128">
        <v>0</v>
      </c>
      <c r="F529" s="295">
        <v>0</v>
      </c>
      <c r="G529" s="295">
        <v>0</v>
      </c>
      <c r="H529" s="295">
        <v>0</v>
      </c>
      <c r="I529" s="295">
        <v>0</v>
      </c>
      <c r="J529" s="295">
        <v>0</v>
      </c>
      <c r="K529" s="295">
        <v>0</v>
      </c>
      <c r="L529" s="295">
        <v>0</v>
      </c>
      <c r="M529" s="65">
        <f>+M530</f>
        <v>0</v>
      </c>
      <c r="N529" s="65">
        <f>+N530</f>
        <v>0</v>
      </c>
      <c r="O529" s="3038"/>
      <c r="P529" s="988" t="e">
        <f>+#REF!+#REF!+F529+G529</f>
        <v>#REF!</v>
      </c>
    </row>
    <row r="530" spans="1:16" s="989" customFormat="1" ht="12.75" hidden="1" customHeight="1">
      <c r="A530" s="3035"/>
      <c r="B530" s="173" t="s">
        <v>24</v>
      </c>
      <c r="C530" s="3050" t="s">
        <v>84</v>
      </c>
      <c r="D530" s="129">
        <f>+D531+D532</f>
        <v>0</v>
      </c>
      <c r="E530" s="129">
        <v>0</v>
      </c>
      <c r="F530" s="296">
        <v>0</v>
      </c>
      <c r="G530" s="296">
        <v>0</v>
      </c>
      <c r="H530" s="296">
        <v>0</v>
      </c>
      <c r="I530" s="296">
        <v>0</v>
      </c>
      <c r="J530" s="296">
        <v>0</v>
      </c>
      <c r="K530" s="296">
        <v>0</v>
      </c>
      <c r="L530" s="296">
        <v>0</v>
      </c>
      <c r="M530" s="79">
        <f>+M531+M532</f>
        <v>0</v>
      </c>
      <c r="N530" s="79">
        <f>+N531+N532</f>
        <v>0</v>
      </c>
      <c r="O530" s="3038"/>
      <c r="P530" s="989" t="s">
        <v>243</v>
      </c>
    </row>
    <row r="531" spans="1:16" s="989" customFormat="1" ht="12" hidden="1">
      <c r="A531" s="3035"/>
      <c r="B531" s="468" t="s">
        <v>12</v>
      </c>
      <c r="C531" s="3100"/>
      <c r="D531" s="249">
        <f>E531+F531+G531+H531+I531+J531+K531+L531</f>
        <v>0</v>
      </c>
      <c r="E531" s="87">
        <v>0</v>
      </c>
      <c r="F531" s="297">
        <v>0</v>
      </c>
      <c r="G531" s="297">
        <v>0</v>
      </c>
      <c r="H531" s="297">
        <v>0</v>
      </c>
      <c r="I531" s="297">
        <v>0</v>
      </c>
      <c r="J531" s="297">
        <v>0</v>
      </c>
      <c r="K531" s="297">
        <v>0</v>
      </c>
      <c r="L531" s="297">
        <v>0</v>
      </c>
      <c r="M531" s="36">
        <f>SUM(E531:H531)</f>
        <v>0</v>
      </c>
      <c r="N531" s="36">
        <f>SUM(F531:I531)</f>
        <v>0</v>
      </c>
      <c r="O531" s="3038"/>
    </row>
    <row r="532" spans="1:16" s="989" customFormat="1" ht="12" hidden="1">
      <c r="A532" s="3035"/>
      <c r="B532" s="469" t="s">
        <v>15</v>
      </c>
      <c r="C532" s="3075"/>
      <c r="D532" s="249">
        <f>E532+F532+G532+H532+I532+J532+K532+L532</f>
        <v>0</v>
      </c>
      <c r="E532" s="87">
        <v>0</v>
      </c>
      <c r="F532" s="297">
        <v>0</v>
      </c>
      <c r="G532" s="297">
        <v>0</v>
      </c>
      <c r="H532" s="297">
        <v>0</v>
      </c>
      <c r="I532" s="297">
        <v>0</v>
      </c>
      <c r="J532" s="297">
        <v>0</v>
      </c>
      <c r="K532" s="297">
        <v>0</v>
      </c>
      <c r="L532" s="297">
        <v>0</v>
      </c>
      <c r="M532" s="36">
        <f>SUM(E532:H532)</f>
        <v>0</v>
      </c>
      <c r="N532" s="36">
        <f>SUM(F532:I532)</f>
        <v>0</v>
      </c>
      <c r="O532" s="2972"/>
    </row>
    <row r="533" spans="1:16" s="989" customFormat="1" ht="10.5" hidden="1" customHeight="1">
      <c r="A533" s="3035"/>
      <c r="B533" s="21" t="s">
        <v>22</v>
      </c>
      <c r="C533" s="22"/>
      <c r="D533" s="128">
        <f>+D534</f>
        <v>0</v>
      </c>
      <c r="E533" s="128">
        <v>0</v>
      </c>
      <c r="F533" s="295">
        <v>0</v>
      </c>
      <c r="G533" s="295">
        <v>0</v>
      </c>
      <c r="H533" s="295">
        <v>0</v>
      </c>
      <c r="I533" s="295">
        <v>0</v>
      </c>
      <c r="J533" s="295">
        <v>0</v>
      </c>
      <c r="K533" s="295">
        <v>0</v>
      </c>
      <c r="L533" s="295">
        <v>0</v>
      </c>
      <c r="M533" s="3073" t="s">
        <v>23</v>
      </c>
      <c r="N533" s="3073" t="s">
        <v>23</v>
      </c>
      <c r="O533" s="3101" t="s">
        <v>102</v>
      </c>
    </row>
    <row r="534" spans="1:16" s="989" customFormat="1" ht="12.75" hidden="1" customHeight="1">
      <c r="A534" s="3035"/>
      <c r="B534" s="173" t="s">
        <v>24</v>
      </c>
      <c r="C534" s="3042" t="s">
        <v>84</v>
      </c>
      <c r="D534" s="129">
        <f>+D535</f>
        <v>0</v>
      </c>
      <c r="E534" s="129">
        <v>0</v>
      </c>
      <c r="F534" s="296">
        <v>0</v>
      </c>
      <c r="G534" s="296">
        <v>0</v>
      </c>
      <c r="H534" s="296">
        <v>0</v>
      </c>
      <c r="I534" s="296">
        <v>0</v>
      </c>
      <c r="J534" s="296">
        <v>0</v>
      </c>
      <c r="K534" s="296">
        <v>0</v>
      </c>
      <c r="L534" s="296">
        <v>0</v>
      </c>
      <c r="M534" s="3068"/>
      <c r="N534" s="3068"/>
      <c r="O534" s="3038"/>
    </row>
    <row r="535" spans="1:16" s="989" customFormat="1" ht="13.5" hidden="1" customHeight="1" thickBot="1">
      <c r="A535" s="3036"/>
      <c r="B535" s="467" t="s">
        <v>15</v>
      </c>
      <c r="C535" s="3048"/>
      <c r="D535" s="249">
        <f>E535+F535+G535+H535+I535+J535+K535+L535</f>
        <v>0</v>
      </c>
      <c r="E535" s="77">
        <v>0</v>
      </c>
      <c r="F535" s="297">
        <v>0</v>
      </c>
      <c r="G535" s="297">
        <v>0</v>
      </c>
      <c r="H535" s="297">
        <v>0</v>
      </c>
      <c r="I535" s="297">
        <v>0</v>
      </c>
      <c r="J535" s="297">
        <v>0</v>
      </c>
      <c r="K535" s="297">
        <v>0</v>
      </c>
      <c r="L535" s="297">
        <v>0</v>
      </c>
      <c r="M535" s="3069"/>
      <c r="N535" s="3069"/>
      <c r="O535" s="3039"/>
    </row>
    <row r="536" spans="1:16" s="989" customFormat="1" ht="25.5" customHeight="1">
      <c r="A536" s="3034" t="s">
        <v>66</v>
      </c>
      <c r="B536" s="284" t="s">
        <v>512</v>
      </c>
      <c r="C536" s="58" t="s">
        <v>81</v>
      </c>
      <c r="D536" s="42"/>
      <c r="E536" s="42"/>
      <c r="F536" s="44"/>
      <c r="G536" s="44"/>
      <c r="H536" s="44"/>
      <c r="I536" s="44"/>
      <c r="J536" s="44"/>
      <c r="K536" s="44"/>
      <c r="L536" s="44"/>
      <c r="M536" s="45"/>
      <c r="N536" s="45"/>
      <c r="O536" s="3037" t="s">
        <v>86</v>
      </c>
    </row>
    <row r="537" spans="1:16" s="989" customFormat="1" ht="12.75" customHeight="1">
      <c r="A537" s="3035"/>
      <c r="B537" s="715" t="s">
        <v>10</v>
      </c>
      <c r="C537" s="2003"/>
      <c r="D537" s="2040">
        <f>+D538</f>
        <v>1778306</v>
      </c>
      <c r="E537" s="2040">
        <f t="shared" ref="E537:G538" si="346">+E538</f>
        <v>503620</v>
      </c>
      <c r="F537" s="2046">
        <f t="shared" si="346"/>
        <v>0</v>
      </c>
      <c r="G537" s="2040">
        <f t="shared" si="346"/>
        <v>1274686</v>
      </c>
      <c r="H537" s="2046">
        <v>0</v>
      </c>
      <c r="I537" s="2046">
        <v>0</v>
      </c>
      <c r="J537" s="2046">
        <v>0</v>
      </c>
      <c r="K537" s="2046">
        <v>0</v>
      </c>
      <c r="L537" s="2046">
        <v>0</v>
      </c>
      <c r="M537" s="2005">
        <f>+M538</f>
        <v>1274686</v>
      </c>
      <c r="N537" s="2005">
        <f>+N538</f>
        <v>1274686</v>
      </c>
      <c r="O537" s="3038"/>
      <c r="P537" s="988"/>
    </row>
    <row r="538" spans="1:16" s="989" customFormat="1" ht="12.75" customHeight="1">
      <c r="A538" s="3035"/>
      <c r="B538" s="681" t="s">
        <v>24</v>
      </c>
      <c r="C538" s="3040" t="s">
        <v>84</v>
      </c>
      <c r="D538" s="2041">
        <f>+D539</f>
        <v>1778306</v>
      </c>
      <c r="E538" s="2041">
        <f t="shared" si="346"/>
        <v>503620</v>
      </c>
      <c r="F538" s="2044">
        <f t="shared" si="346"/>
        <v>0</v>
      </c>
      <c r="G538" s="2041">
        <f t="shared" si="346"/>
        <v>1274686</v>
      </c>
      <c r="H538" s="2044">
        <v>0</v>
      </c>
      <c r="I538" s="2044">
        <v>0</v>
      </c>
      <c r="J538" s="2044">
        <v>0</v>
      </c>
      <c r="K538" s="2044">
        <v>0</v>
      </c>
      <c r="L538" s="2044">
        <v>0</v>
      </c>
      <c r="M538" s="2008">
        <f>+M539</f>
        <v>1274686</v>
      </c>
      <c r="N538" s="2008">
        <f>+N539</f>
        <v>1274686</v>
      </c>
      <c r="O538" s="3038"/>
    </row>
    <row r="539" spans="1:16" s="989" customFormat="1" ht="13.5" customHeight="1">
      <c r="A539" s="3035"/>
      <c r="B539" s="1702" t="s">
        <v>12</v>
      </c>
      <c r="C539" s="3046"/>
      <c r="D539" s="1016">
        <f>E539+F539+G539+H539+I539+J539+K539+L539</f>
        <v>1778306</v>
      </c>
      <c r="E539" s="1977">
        <f>503620</f>
        <v>503620</v>
      </c>
      <c r="F539" s="1960">
        <f>1239686+35000-1274686</f>
        <v>0</v>
      </c>
      <c r="G539" s="2461">
        <v>1274686</v>
      </c>
      <c r="H539" s="2107">
        <v>0</v>
      </c>
      <c r="I539" s="2107">
        <v>0</v>
      </c>
      <c r="J539" s="2107">
        <v>0</v>
      </c>
      <c r="K539" s="2107">
        <v>0</v>
      </c>
      <c r="L539" s="2107">
        <v>0</v>
      </c>
      <c r="M539" s="2033">
        <f>SUM(F539:K539)</f>
        <v>1274686</v>
      </c>
      <c r="N539" s="2033">
        <f>SUM(G539:L539)</f>
        <v>1274686</v>
      </c>
      <c r="O539" s="3052"/>
    </row>
    <row r="540" spans="1:16" s="989" customFormat="1" ht="12.75" customHeight="1">
      <c r="A540" s="3035"/>
      <c r="B540" s="82" t="s">
        <v>22</v>
      </c>
      <c r="C540" s="2003"/>
      <c r="D540" s="2040">
        <f>+D541</f>
        <v>35000</v>
      </c>
      <c r="E540" s="2046">
        <v>0</v>
      </c>
      <c r="F540" s="2040">
        <f t="shared" ref="F540:L541" si="347">+F541</f>
        <v>35000</v>
      </c>
      <c r="G540" s="1673">
        <f t="shared" si="347"/>
        <v>0</v>
      </c>
      <c r="H540" s="2046">
        <f t="shared" si="347"/>
        <v>0</v>
      </c>
      <c r="I540" s="2046">
        <f t="shared" si="347"/>
        <v>0</v>
      </c>
      <c r="J540" s="2046">
        <f t="shared" si="347"/>
        <v>0</v>
      </c>
      <c r="K540" s="2046">
        <f t="shared" si="347"/>
        <v>0</v>
      </c>
      <c r="L540" s="2046">
        <f t="shared" si="347"/>
        <v>0</v>
      </c>
      <c r="M540" s="3031" t="s">
        <v>23</v>
      </c>
      <c r="N540" s="3031" t="s">
        <v>23</v>
      </c>
      <c r="O540" s="2970"/>
    </row>
    <row r="541" spans="1:16" s="989" customFormat="1" ht="12.75" customHeight="1">
      <c r="A541" s="3035"/>
      <c r="B541" s="681" t="s">
        <v>24</v>
      </c>
      <c r="C541" s="3040" t="s">
        <v>84</v>
      </c>
      <c r="D541" s="2041">
        <f>+D542</f>
        <v>35000</v>
      </c>
      <c r="E541" s="2044">
        <v>0</v>
      </c>
      <c r="F541" s="2041">
        <f t="shared" si="347"/>
        <v>35000</v>
      </c>
      <c r="G541" s="2044">
        <f t="shared" si="347"/>
        <v>0</v>
      </c>
      <c r="H541" s="2044">
        <f t="shared" si="347"/>
        <v>0</v>
      </c>
      <c r="I541" s="2044">
        <f t="shared" si="347"/>
        <v>0</v>
      </c>
      <c r="J541" s="2044">
        <f t="shared" si="347"/>
        <v>0</v>
      </c>
      <c r="K541" s="2044">
        <f t="shared" si="347"/>
        <v>0</v>
      </c>
      <c r="L541" s="2044">
        <f t="shared" si="347"/>
        <v>0</v>
      </c>
      <c r="M541" s="3032"/>
      <c r="N541" s="3032"/>
      <c r="O541" s="2970" t="s">
        <v>102</v>
      </c>
    </row>
    <row r="542" spans="1:16" s="989" customFormat="1" ht="13.5" customHeight="1" thickBot="1">
      <c r="A542" s="3036"/>
      <c r="B542" s="470" t="s">
        <v>12</v>
      </c>
      <c r="C542" s="3046"/>
      <c r="D542" s="1016">
        <f>E542+F542+G542+H542+I542+J542+K542+L542</f>
        <v>35000</v>
      </c>
      <c r="E542" s="2049">
        <v>0</v>
      </c>
      <c r="F542" s="2832">
        <f>35000</f>
        <v>35000</v>
      </c>
      <c r="G542" s="2465">
        <v>0</v>
      </c>
      <c r="H542" s="2465">
        <v>0</v>
      </c>
      <c r="I542" s="2465">
        <v>0</v>
      </c>
      <c r="J542" s="2465">
        <v>0</v>
      </c>
      <c r="K542" s="2465">
        <v>0</v>
      </c>
      <c r="L542" s="2465">
        <v>0</v>
      </c>
      <c r="M542" s="3033"/>
      <c r="N542" s="3033"/>
      <c r="O542" s="2970"/>
    </row>
    <row r="543" spans="1:16" s="989" customFormat="1" ht="22.5" hidden="1" customHeight="1">
      <c r="A543" s="3034"/>
      <c r="B543" s="284"/>
      <c r="C543" s="58" t="s">
        <v>81</v>
      </c>
      <c r="D543" s="130"/>
      <c r="E543" s="44"/>
      <c r="F543" s="44"/>
      <c r="G543" s="44"/>
      <c r="H543" s="239"/>
      <c r="I543" s="99"/>
      <c r="J543" s="239"/>
      <c r="K543" s="239"/>
      <c r="L543" s="239"/>
      <c r="M543" s="45"/>
      <c r="N543" s="45"/>
      <c r="O543" s="3037" t="s">
        <v>86</v>
      </c>
    </row>
    <row r="544" spans="1:16" s="989" customFormat="1" ht="12.75" hidden="1" customHeight="1">
      <c r="A544" s="3035"/>
      <c r="B544" s="715" t="s">
        <v>10</v>
      </c>
      <c r="C544" s="2003"/>
      <c r="D544" s="2040">
        <f>+D545</f>
        <v>0</v>
      </c>
      <c r="E544" s="2040">
        <v>0</v>
      </c>
      <c r="F544" s="2046">
        <v>0</v>
      </c>
      <c r="G544" s="2046">
        <v>0</v>
      </c>
      <c r="H544" s="2046">
        <v>0</v>
      </c>
      <c r="I544" s="2046">
        <v>0</v>
      </c>
      <c r="J544" s="2046">
        <v>0</v>
      </c>
      <c r="K544" s="2046">
        <v>0</v>
      </c>
      <c r="L544" s="2046">
        <v>0</v>
      </c>
      <c r="M544" s="2111">
        <f>+M545</f>
        <v>0</v>
      </c>
      <c r="N544" s="2111">
        <f>+N545</f>
        <v>0</v>
      </c>
      <c r="O544" s="3038"/>
      <c r="P544" s="988" t="e">
        <f>+#REF!+#REF!+F544+G544</f>
        <v>#REF!</v>
      </c>
    </row>
    <row r="545" spans="1:16" s="989" customFormat="1" ht="12.75" hidden="1" customHeight="1">
      <c r="A545" s="3035"/>
      <c r="B545" s="681" t="s">
        <v>24</v>
      </c>
      <c r="C545" s="3040" t="s">
        <v>84</v>
      </c>
      <c r="D545" s="2041">
        <f>+D546+D547</f>
        <v>0</v>
      </c>
      <c r="E545" s="2041">
        <v>0</v>
      </c>
      <c r="F545" s="2044">
        <v>0</v>
      </c>
      <c r="G545" s="2044">
        <v>0</v>
      </c>
      <c r="H545" s="2044">
        <v>0</v>
      </c>
      <c r="I545" s="2044">
        <v>0</v>
      </c>
      <c r="J545" s="2044">
        <v>0</v>
      </c>
      <c r="K545" s="2044">
        <v>0</v>
      </c>
      <c r="L545" s="2044">
        <v>0</v>
      </c>
      <c r="M545" s="2008">
        <f>+M546</f>
        <v>0</v>
      </c>
      <c r="N545" s="2008">
        <f>+N546</f>
        <v>0</v>
      </c>
      <c r="O545" s="3038"/>
    </row>
    <row r="546" spans="1:16" s="989" customFormat="1" ht="12.75" hidden="1" customHeight="1">
      <c r="A546" s="3035"/>
      <c r="B546" s="2833" t="s">
        <v>12</v>
      </c>
      <c r="C546" s="3100"/>
      <c r="D546" s="1016">
        <f>E546+F546+G546+H546+I546+J546+K546+L546</f>
        <v>0</v>
      </c>
      <c r="E546" s="1977">
        <v>0</v>
      </c>
      <c r="F546" s="2107">
        <v>0</v>
      </c>
      <c r="G546" s="2107">
        <v>0</v>
      </c>
      <c r="H546" s="2107">
        <v>0</v>
      </c>
      <c r="I546" s="2107">
        <v>0</v>
      </c>
      <c r="J546" s="2107">
        <v>0</v>
      </c>
      <c r="K546" s="2107">
        <v>0</v>
      </c>
      <c r="L546" s="2107">
        <v>0</v>
      </c>
      <c r="M546" s="2033">
        <f>SUM(E546:H546)</f>
        <v>0</v>
      </c>
      <c r="N546" s="2033">
        <f>SUM(F546:I546)</f>
        <v>0</v>
      </c>
      <c r="O546" s="3038"/>
    </row>
    <row r="547" spans="1:16" s="989" customFormat="1" ht="12.75" hidden="1" customHeight="1">
      <c r="A547" s="3035"/>
      <c r="B547" s="469" t="s">
        <v>15</v>
      </c>
      <c r="C547" s="3075"/>
      <c r="D547" s="1016">
        <f>E547+F547+G547+H547+I547+J547+K547+L547</f>
        <v>0</v>
      </c>
      <c r="E547" s="1977">
        <v>0</v>
      </c>
      <c r="F547" s="2107">
        <v>0</v>
      </c>
      <c r="G547" s="2107">
        <v>0</v>
      </c>
      <c r="H547" s="2107">
        <v>0</v>
      </c>
      <c r="I547" s="2107">
        <v>0</v>
      </c>
      <c r="J547" s="2107">
        <v>0</v>
      </c>
      <c r="K547" s="2107">
        <v>0</v>
      </c>
      <c r="L547" s="2107">
        <v>0</v>
      </c>
      <c r="M547" s="2033">
        <f>SUM(E547:H547)</f>
        <v>0</v>
      </c>
      <c r="N547" s="2033">
        <f>SUM(F547:I547)</f>
        <v>0</v>
      </c>
      <c r="O547" s="2972"/>
    </row>
    <row r="548" spans="1:16" s="989" customFormat="1" ht="12.75" hidden="1" customHeight="1">
      <c r="A548" s="3035"/>
      <c r="B548" s="715" t="s">
        <v>22</v>
      </c>
      <c r="C548" s="2003"/>
      <c r="D548" s="2040">
        <f>+D549</f>
        <v>0</v>
      </c>
      <c r="E548" s="2040">
        <v>0</v>
      </c>
      <c r="F548" s="2046">
        <v>0</v>
      </c>
      <c r="G548" s="2046">
        <v>0</v>
      </c>
      <c r="H548" s="2046">
        <v>0</v>
      </c>
      <c r="I548" s="2046">
        <v>0</v>
      </c>
      <c r="J548" s="2046">
        <v>0</v>
      </c>
      <c r="K548" s="2046">
        <v>0</v>
      </c>
      <c r="L548" s="2046">
        <v>0</v>
      </c>
      <c r="M548" s="3031" t="s">
        <v>23</v>
      </c>
      <c r="N548" s="3031" t="s">
        <v>23</v>
      </c>
      <c r="O548" s="3090" t="s">
        <v>102</v>
      </c>
    </row>
    <row r="549" spans="1:16" s="989" customFormat="1" ht="12.75" hidden="1" customHeight="1">
      <c r="A549" s="3035"/>
      <c r="B549" s="681" t="s">
        <v>24</v>
      </c>
      <c r="C549" s="3047" t="s">
        <v>84</v>
      </c>
      <c r="D549" s="2041">
        <f>+D550</f>
        <v>0</v>
      </c>
      <c r="E549" s="2041">
        <v>0</v>
      </c>
      <c r="F549" s="2044">
        <v>0</v>
      </c>
      <c r="G549" s="2044">
        <v>0</v>
      </c>
      <c r="H549" s="2044">
        <v>0</v>
      </c>
      <c r="I549" s="2044">
        <v>0</v>
      </c>
      <c r="J549" s="2044">
        <v>0</v>
      </c>
      <c r="K549" s="2044">
        <v>0</v>
      </c>
      <c r="L549" s="2044">
        <v>0</v>
      </c>
      <c r="M549" s="3032"/>
      <c r="N549" s="3032"/>
      <c r="O549" s="3038"/>
    </row>
    <row r="550" spans="1:16" s="989" customFormat="1" ht="13.5" hidden="1" customHeight="1" thickBot="1">
      <c r="A550" s="3036"/>
      <c r="B550" s="467" t="s">
        <v>15</v>
      </c>
      <c r="C550" s="3048"/>
      <c r="D550" s="1016">
        <f>E550+F550+G550+H550+I550+J550+K550+L550</f>
        <v>0</v>
      </c>
      <c r="E550" s="1977"/>
      <c r="F550" s="2107">
        <v>0</v>
      </c>
      <c r="G550" s="2107">
        <v>0</v>
      </c>
      <c r="H550" s="2107">
        <v>0</v>
      </c>
      <c r="I550" s="2107">
        <v>0</v>
      </c>
      <c r="J550" s="2107">
        <v>0</v>
      </c>
      <c r="K550" s="2107">
        <v>0</v>
      </c>
      <c r="L550" s="2107">
        <v>0</v>
      </c>
      <c r="M550" s="3033"/>
      <c r="N550" s="3033"/>
      <c r="O550" s="3039"/>
    </row>
    <row r="551" spans="1:16" s="989" customFormat="1" ht="26.25" hidden="1" customHeight="1">
      <c r="A551" s="3034"/>
      <c r="B551" s="284"/>
      <c r="C551" s="58"/>
      <c r="D551" s="130"/>
      <c r="E551" s="44"/>
      <c r="F551" s="44"/>
      <c r="G551" s="44"/>
      <c r="H551" s="44"/>
      <c r="I551" s="100"/>
      <c r="J551" s="239"/>
      <c r="K551" s="239"/>
      <c r="L551" s="239"/>
      <c r="M551" s="239"/>
      <c r="N551" s="239"/>
      <c r="O551" s="3037" t="s">
        <v>86</v>
      </c>
    </row>
    <row r="552" spans="1:16" s="989" customFormat="1" hidden="1" thickBot="1">
      <c r="A552" s="3035"/>
      <c r="B552" s="715" t="s">
        <v>10</v>
      </c>
      <c r="C552" s="2003"/>
      <c r="D552" s="2040"/>
      <c r="E552" s="2046"/>
      <c r="F552" s="2046"/>
      <c r="G552" s="2046"/>
      <c r="H552" s="2046"/>
      <c r="I552" s="2046"/>
      <c r="J552" s="2046"/>
      <c r="K552" s="2046"/>
      <c r="L552" s="2046"/>
      <c r="M552" s="2834">
        <f>+M553</f>
        <v>0</v>
      </c>
      <c r="N552" s="2834">
        <f>+N553</f>
        <v>0</v>
      </c>
      <c r="O552" s="3038"/>
    </row>
    <row r="553" spans="1:16" s="989" customFormat="1" hidden="1" thickBot="1">
      <c r="A553" s="3035"/>
      <c r="B553" s="681" t="s">
        <v>24</v>
      </c>
      <c r="C553" s="3047" t="s">
        <v>84</v>
      </c>
      <c r="D553" s="2041"/>
      <c r="E553" s="2044"/>
      <c r="F553" s="2044"/>
      <c r="G553" s="2044"/>
      <c r="H553" s="2044"/>
      <c r="I553" s="2044"/>
      <c r="J553" s="2044"/>
      <c r="K553" s="2044"/>
      <c r="L553" s="2044"/>
      <c r="M553" s="2067">
        <f>+M554</f>
        <v>0</v>
      </c>
      <c r="N553" s="2067">
        <f>+N554</f>
        <v>0</v>
      </c>
      <c r="O553" s="3038"/>
    </row>
    <row r="554" spans="1:16" s="989" customFormat="1" hidden="1" thickBot="1">
      <c r="A554" s="3035"/>
      <c r="B554" s="2835" t="s">
        <v>12</v>
      </c>
      <c r="C554" s="3043"/>
      <c r="D554" s="1984"/>
      <c r="E554" s="1984"/>
      <c r="F554" s="2107"/>
      <c r="G554" s="2107"/>
      <c r="H554" s="2107"/>
      <c r="I554" s="2107"/>
      <c r="J554" s="2107"/>
      <c r="K554" s="2107"/>
      <c r="L554" s="2107"/>
      <c r="M554" s="2033">
        <f>SUM(E554:K554)</f>
        <v>0</v>
      </c>
      <c r="N554" s="2033">
        <f>SUM(F554:L554)</f>
        <v>0</v>
      </c>
      <c r="O554" s="3038"/>
    </row>
    <row r="555" spans="1:16" s="989" customFormat="1" hidden="1" thickBot="1">
      <c r="A555" s="3035"/>
      <c r="B555" s="715" t="s">
        <v>22</v>
      </c>
      <c r="C555" s="2003"/>
      <c r="D555" s="2040"/>
      <c r="E555" s="2046"/>
      <c r="F555" s="2046"/>
      <c r="G555" s="2046"/>
      <c r="H555" s="2046"/>
      <c r="I555" s="2046"/>
      <c r="J555" s="2046"/>
      <c r="K555" s="2046"/>
      <c r="L555" s="2046"/>
      <c r="M555" s="3031" t="s">
        <v>23</v>
      </c>
      <c r="N555" s="3031" t="s">
        <v>23</v>
      </c>
      <c r="O555" s="3090" t="s">
        <v>102</v>
      </c>
    </row>
    <row r="556" spans="1:16" s="989" customFormat="1" hidden="1" thickBot="1">
      <c r="A556" s="3035"/>
      <c r="B556" s="681" t="s">
        <v>24</v>
      </c>
      <c r="C556" s="3047">
        <v>75802</v>
      </c>
      <c r="D556" s="2041"/>
      <c r="E556" s="2044"/>
      <c r="F556" s="2044"/>
      <c r="G556" s="2044"/>
      <c r="H556" s="2044"/>
      <c r="I556" s="2044"/>
      <c r="J556" s="2044"/>
      <c r="K556" s="2044"/>
      <c r="L556" s="2044"/>
      <c r="M556" s="3032"/>
      <c r="N556" s="3032"/>
      <c r="O556" s="3038"/>
    </row>
    <row r="557" spans="1:16" s="989" customFormat="1" hidden="1" thickBot="1">
      <c r="A557" s="3036"/>
      <c r="B557" s="467" t="s">
        <v>300</v>
      </c>
      <c r="C557" s="3048"/>
      <c r="D557" s="1984"/>
      <c r="E557" s="1984"/>
      <c r="F557" s="2465"/>
      <c r="G557" s="2465"/>
      <c r="H557" s="2465"/>
      <c r="I557" s="2465"/>
      <c r="J557" s="2465"/>
      <c r="K557" s="2465"/>
      <c r="L557" s="2465"/>
      <c r="M557" s="3033"/>
      <c r="N557" s="3033"/>
      <c r="O557" s="3039"/>
    </row>
    <row r="558" spans="1:16" s="989" customFormat="1" ht="15" customHeight="1">
      <c r="A558" s="3034" t="s">
        <v>67</v>
      </c>
      <c r="B558" s="284" t="s">
        <v>459</v>
      </c>
      <c r="C558" s="58" t="s">
        <v>109</v>
      </c>
      <c r="D558" s="130"/>
      <c r="E558" s="44"/>
      <c r="F558" s="44"/>
      <c r="G558" s="44"/>
      <c r="H558" s="44"/>
      <c r="I558" s="100"/>
      <c r="J558" s="44"/>
      <c r="K558" s="44"/>
      <c r="L558" s="44"/>
      <c r="M558" s="45"/>
      <c r="N558" s="45"/>
      <c r="O558" s="3037" t="s">
        <v>102</v>
      </c>
    </row>
    <row r="559" spans="1:16" s="989" customFormat="1" ht="12">
      <c r="A559" s="3035"/>
      <c r="B559" s="715" t="s">
        <v>10</v>
      </c>
      <c r="C559" s="2003"/>
      <c r="D559" s="2040">
        <f>+D560</f>
        <v>23944839</v>
      </c>
      <c r="E559" s="2040">
        <f t="shared" ref="E559:J560" si="348">+E560</f>
        <v>6358217</v>
      </c>
      <c r="F559" s="2040">
        <f t="shared" si="348"/>
        <v>2586622</v>
      </c>
      <c r="G559" s="2040">
        <f t="shared" si="348"/>
        <v>3600000</v>
      </c>
      <c r="H559" s="2040">
        <f t="shared" si="348"/>
        <v>3800000</v>
      </c>
      <c r="I559" s="2040">
        <f t="shared" si="348"/>
        <v>3800000</v>
      </c>
      <c r="J559" s="2040">
        <f t="shared" si="348"/>
        <v>3800000</v>
      </c>
      <c r="K559" s="2046">
        <v>0</v>
      </c>
      <c r="L559" s="2046">
        <v>0</v>
      </c>
      <c r="M559" s="2834">
        <f>+M560</f>
        <v>17586622</v>
      </c>
      <c r="N559" s="2834">
        <f>+N560</f>
        <v>15000000</v>
      </c>
      <c r="O559" s="3038"/>
      <c r="P559" s="988"/>
    </row>
    <row r="560" spans="1:16" s="989" customFormat="1" ht="12">
      <c r="A560" s="3035"/>
      <c r="B560" s="681" t="s">
        <v>24</v>
      </c>
      <c r="C560" s="3047" t="s">
        <v>98</v>
      </c>
      <c r="D560" s="2041">
        <f>+D561</f>
        <v>23944839</v>
      </c>
      <c r="E560" s="2041">
        <f t="shared" si="348"/>
        <v>6358217</v>
      </c>
      <c r="F560" s="2041">
        <f t="shared" si="348"/>
        <v>2586622</v>
      </c>
      <c r="G560" s="2041">
        <f t="shared" si="348"/>
        <v>3600000</v>
      </c>
      <c r="H560" s="2041">
        <f t="shared" si="348"/>
        <v>3800000</v>
      </c>
      <c r="I560" s="2041">
        <f t="shared" si="348"/>
        <v>3800000</v>
      </c>
      <c r="J560" s="2041">
        <f t="shared" si="348"/>
        <v>3800000</v>
      </c>
      <c r="K560" s="2044">
        <v>0</v>
      </c>
      <c r="L560" s="2044">
        <v>0</v>
      </c>
      <c r="M560" s="2067">
        <f>+M561</f>
        <v>17586622</v>
      </c>
      <c r="N560" s="2067">
        <f>+N561</f>
        <v>15000000</v>
      </c>
      <c r="O560" s="3038"/>
    </row>
    <row r="561" spans="1:16" s="989" customFormat="1" thickBot="1">
      <c r="A561" s="3036"/>
      <c r="B561" s="470" t="s">
        <v>12</v>
      </c>
      <c r="C561" s="3048"/>
      <c r="D561" s="2195">
        <f>E561+F561+G561+H561+I561+J561+K561+L561</f>
        <v>23944839</v>
      </c>
      <c r="E561" s="2195">
        <v>6358217</v>
      </c>
      <c r="F561" s="2464">
        <f>3000000+500000-913378</f>
        <v>2586622</v>
      </c>
      <c r="G561" s="2464">
        <f>3000000+500000+100000</f>
        <v>3600000</v>
      </c>
      <c r="H561" s="2464">
        <f>3000000+500000+300000</f>
        <v>3800000</v>
      </c>
      <c r="I561" s="2464">
        <f>3000000+500000+300000</f>
        <v>3800000</v>
      </c>
      <c r="J561" s="2464">
        <f>3000000+500000+300000</f>
        <v>3800000</v>
      </c>
      <c r="K561" s="2465">
        <v>0</v>
      </c>
      <c r="L561" s="2465">
        <v>0</v>
      </c>
      <c r="M561" s="2466">
        <f>SUM(F561:K561)</f>
        <v>17586622</v>
      </c>
      <c r="N561" s="2466">
        <f>SUM(G561:L561)</f>
        <v>15000000</v>
      </c>
      <c r="O561" s="3039"/>
    </row>
    <row r="562" spans="1:16" s="989" customFormat="1" ht="17.25" customHeight="1">
      <c r="A562" s="3034" t="s">
        <v>115</v>
      </c>
      <c r="B562" s="284" t="s">
        <v>211</v>
      </c>
      <c r="C562" s="58" t="s">
        <v>109</v>
      </c>
      <c r="D562" s="130"/>
      <c r="E562" s="44"/>
      <c r="F562" s="44"/>
      <c r="G562" s="44"/>
      <c r="H562" s="44"/>
      <c r="I562" s="100"/>
      <c r="J562" s="515"/>
      <c r="K562" s="515"/>
      <c r="L562" s="515"/>
      <c r="M562" s="45"/>
      <c r="N562" s="45"/>
      <c r="O562" s="3037" t="s">
        <v>102</v>
      </c>
    </row>
    <row r="563" spans="1:16" s="989" customFormat="1" ht="12">
      <c r="A563" s="3035"/>
      <c r="B563" s="715" t="s">
        <v>10</v>
      </c>
      <c r="C563" s="2039"/>
      <c r="D563" s="2040">
        <f>+D564</f>
        <v>674501064</v>
      </c>
      <c r="E563" s="2040">
        <f t="shared" ref="E563:I563" si="349">+E564</f>
        <v>319820454</v>
      </c>
      <c r="F563" s="2040">
        <f t="shared" si="349"/>
        <v>83820008</v>
      </c>
      <c r="G563" s="2040">
        <f t="shared" si="349"/>
        <v>89360602</v>
      </c>
      <c r="H563" s="2040">
        <f t="shared" si="349"/>
        <v>91500000</v>
      </c>
      <c r="I563" s="2040">
        <f t="shared" si="349"/>
        <v>90000000</v>
      </c>
      <c r="J563" s="2046">
        <v>0</v>
      </c>
      <c r="K563" s="2046">
        <v>0</v>
      </c>
      <c r="L563" s="2046">
        <v>0</v>
      </c>
      <c r="M563" s="2111">
        <f>+M564</f>
        <v>354680610</v>
      </c>
      <c r="N563" s="2111">
        <f>+N564</f>
        <v>270860602</v>
      </c>
      <c r="O563" s="3038"/>
      <c r="P563" s="988"/>
    </row>
    <row r="564" spans="1:16" s="989" customFormat="1" ht="12">
      <c r="A564" s="3035"/>
      <c r="B564" s="681" t="s">
        <v>24</v>
      </c>
      <c r="C564" s="3045" t="s">
        <v>98</v>
      </c>
      <c r="D564" s="2041">
        <f>+D565+D566</f>
        <v>674501064</v>
      </c>
      <c r="E564" s="2041">
        <f t="shared" ref="E564" si="350">+E565+E566</f>
        <v>319820454</v>
      </c>
      <c r="F564" s="2041">
        <f t="shared" ref="F564:G564" si="351">+F565+F566</f>
        <v>83820008</v>
      </c>
      <c r="G564" s="2041">
        <f t="shared" si="351"/>
        <v>89360602</v>
      </c>
      <c r="H564" s="2041">
        <f>+H565+H566</f>
        <v>91500000</v>
      </c>
      <c r="I564" s="2041">
        <f>+I565+I566</f>
        <v>90000000</v>
      </c>
      <c r="J564" s="2044">
        <v>0</v>
      </c>
      <c r="K564" s="2044">
        <v>0</v>
      </c>
      <c r="L564" s="2044">
        <v>0</v>
      </c>
      <c r="M564" s="2008">
        <f>+M565+M566</f>
        <v>354680610</v>
      </c>
      <c r="N564" s="2008">
        <f>+N565+N566</f>
        <v>270860602</v>
      </c>
      <c r="O564" s="3038"/>
    </row>
    <row r="565" spans="1:16" s="989" customFormat="1" ht="12">
      <c r="A565" s="3035"/>
      <c r="B565" s="1702" t="s">
        <v>12</v>
      </c>
      <c r="C565" s="3044"/>
      <c r="D565" s="1016">
        <f>E565+F565+G565+H565+I565+J565+K565+L565</f>
        <v>666626690</v>
      </c>
      <c r="E565" s="1977">
        <v>315126690</v>
      </c>
      <c r="F565" s="2031">
        <f>79000000+2000000+1000000</f>
        <v>82000000</v>
      </c>
      <c r="G565" s="2031">
        <f>79000000+2000000+7000000</f>
        <v>88000000</v>
      </c>
      <c r="H565" s="2031">
        <f>79000000+2000000+10500000</f>
        <v>91500000</v>
      </c>
      <c r="I565" s="2031">
        <f>79000000+2000000+9000000</f>
        <v>90000000</v>
      </c>
      <c r="J565" s="1960">
        <v>0</v>
      </c>
      <c r="K565" s="1960">
        <v>0</v>
      </c>
      <c r="L565" s="1960">
        <v>0</v>
      </c>
      <c r="M565" s="2033">
        <f>SUM(F565:K565)</f>
        <v>351500000</v>
      </c>
      <c r="N565" s="2033">
        <f>SUM(G565:L565)</f>
        <v>269500000</v>
      </c>
      <c r="O565" s="3038"/>
    </row>
    <row r="566" spans="1:16" s="989" customFormat="1" ht="12">
      <c r="A566" s="3035"/>
      <c r="B566" s="1699" t="s">
        <v>15</v>
      </c>
      <c r="C566" s="2969"/>
      <c r="D566" s="1016">
        <f>E566+F566+G566+H566+I566+J566+K566+L566</f>
        <v>7874374</v>
      </c>
      <c r="E566" s="1977">
        <v>4693764</v>
      </c>
      <c r="F566" s="1703">
        <f>1397794+422214</f>
        <v>1820008</v>
      </c>
      <c r="G566" s="1703">
        <v>1360602</v>
      </c>
      <c r="H566" s="1704">
        <v>0</v>
      </c>
      <c r="I566" s="1704">
        <v>0</v>
      </c>
      <c r="J566" s="516">
        <v>0</v>
      </c>
      <c r="K566" s="516">
        <v>0</v>
      </c>
      <c r="L566" s="516">
        <v>0</v>
      </c>
      <c r="M566" s="2033">
        <f>SUM(F566:K566)</f>
        <v>3180610</v>
      </c>
      <c r="N566" s="2033">
        <f>SUM(G566:L566)</f>
        <v>1360602</v>
      </c>
      <c r="O566" s="3038"/>
    </row>
    <row r="567" spans="1:16" s="989" customFormat="1" ht="12">
      <c r="A567" s="3035"/>
      <c r="B567" s="715" t="s">
        <v>22</v>
      </c>
      <c r="C567" s="2039"/>
      <c r="D567" s="2040">
        <f>+D568</f>
        <v>107359025</v>
      </c>
      <c r="E567" s="2040">
        <f t="shared" ref="E567:I567" si="352">+E568</f>
        <v>27872715</v>
      </c>
      <c r="F567" s="2112">
        <f t="shared" si="352"/>
        <v>15394808</v>
      </c>
      <c r="G567" s="2112">
        <f t="shared" si="352"/>
        <v>20818902</v>
      </c>
      <c r="H567" s="2112">
        <f t="shared" si="352"/>
        <v>21636300</v>
      </c>
      <c r="I567" s="2112">
        <f t="shared" si="352"/>
        <v>21636300</v>
      </c>
      <c r="J567" s="2113">
        <v>0</v>
      </c>
      <c r="K567" s="2113">
        <v>0</v>
      </c>
      <c r="L567" s="2113">
        <v>0</v>
      </c>
      <c r="M567" s="3067" t="s">
        <v>23</v>
      </c>
      <c r="N567" s="3067" t="s">
        <v>23</v>
      </c>
      <c r="O567" s="3038"/>
    </row>
    <row r="568" spans="1:16" s="989" customFormat="1" ht="12">
      <c r="A568" s="3035"/>
      <c r="B568" s="681" t="s">
        <v>24</v>
      </c>
      <c r="C568" s="3045" t="s">
        <v>98</v>
      </c>
      <c r="D568" s="2041">
        <f>+D569+D570</f>
        <v>107359025</v>
      </c>
      <c r="E568" s="2041">
        <f t="shared" ref="E568" si="353">+E569+E570</f>
        <v>27872715</v>
      </c>
      <c r="F568" s="2041">
        <f t="shared" ref="F568:G568" si="354">+F569+F570</f>
        <v>15394808</v>
      </c>
      <c r="G568" s="2041">
        <f t="shared" si="354"/>
        <v>20818902</v>
      </c>
      <c r="H568" s="2041">
        <f>+H569+H570</f>
        <v>21636300</v>
      </c>
      <c r="I568" s="2041">
        <f>+I569+I570</f>
        <v>21636300</v>
      </c>
      <c r="J568" s="2044">
        <v>0</v>
      </c>
      <c r="K568" s="2044">
        <v>0</v>
      </c>
      <c r="L568" s="2044">
        <v>0</v>
      </c>
      <c r="M568" s="3068"/>
      <c r="N568" s="3068"/>
      <c r="O568" s="3038"/>
    </row>
    <row r="569" spans="1:16" s="989" customFormat="1" ht="12">
      <c r="A569" s="3035"/>
      <c r="B569" s="2114" t="s">
        <v>215</v>
      </c>
      <c r="C569" s="3043"/>
      <c r="D569" s="1016">
        <f>E569+F569+G569+H569+I569+J569+K569+L569</f>
        <v>99484651</v>
      </c>
      <c r="E569" s="1977">
        <v>23178951</v>
      </c>
      <c r="F569" s="2115">
        <f>10500000+1500000+1574800</f>
        <v>13574800</v>
      </c>
      <c r="G569" s="2115">
        <f>10500000+1500000+7458300</f>
        <v>19458300</v>
      </c>
      <c r="H569" s="2115">
        <f>10500000+1500000+9636300</f>
        <v>21636300</v>
      </c>
      <c r="I569" s="2115">
        <f>10500000+1500000+9636300</f>
        <v>21636300</v>
      </c>
      <c r="J569" s="2116">
        <v>0</v>
      </c>
      <c r="K569" s="2116">
        <v>0</v>
      </c>
      <c r="L569" s="2116">
        <v>0</v>
      </c>
      <c r="M569" s="3068"/>
      <c r="N569" s="3068"/>
      <c r="O569" s="3038"/>
    </row>
    <row r="570" spans="1:16" s="989" customFormat="1" ht="12" customHeight="1" thickBot="1">
      <c r="A570" s="3036"/>
      <c r="B570" s="467" t="s">
        <v>15</v>
      </c>
      <c r="C570" s="3048"/>
      <c r="D570" s="1009">
        <f>E570+F570+G570+H570+I570+J570+K570+L570</f>
        <v>7874374</v>
      </c>
      <c r="E570" s="1009">
        <v>4693764</v>
      </c>
      <c r="F570" s="521">
        <f>1397794+422214</f>
        <v>1820008</v>
      </c>
      <c r="G570" s="521">
        <v>1360602</v>
      </c>
      <c r="H570" s="2117">
        <v>0</v>
      </c>
      <c r="I570" s="2117">
        <v>0</v>
      </c>
      <c r="J570" s="2117">
        <v>0</v>
      </c>
      <c r="K570" s="2117">
        <v>0</v>
      </c>
      <c r="L570" s="2117">
        <v>0</v>
      </c>
      <c r="M570" s="3069"/>
      <c r="N570" s="3069"/>
      <c r="O570" s="3039"/>
    </row>
    <row r="571" spans="1:16" s="989" customFormat="1" ht="12" hidden="1">
      <c r="A571" s="3034"/>
      <c r="B571" s="284"/>
      <c r="C571" s="58" t="s">
        <v>109</v>
      </c>
      <c r="D571" s="130"/>
      <c r="E571" s="44"/>
      <c r="F571" s="44"/>
      <c r="G571" s="44"/>
      <c r="H571" s="44"/>
      <c r="I571" s="44"/>
      <c r="J571" s="44"/>
      <c r="K571" s="44"/>
      <c r="L571" s="44"/>
      <c r="M571" s="45"/>
      <c r="N571" s="45"/>
      <c r="O571" s="3037" t="s">
        <v>102</v>
      </c>
    </row>
    <row r="572" spans="1:16" s="989" customFormat="1" ht="12" hidden="1">
      <c r="A572" s="3035"/>
      <c r="B572" s="21" t="s">
        <v>10</v>
      </c>
      <c r="C572" s="22"/>
      <c r="D572" s="128">
        <f>+D573</f>
        <v>0</v>
      </c>
      <c r="E572" s="128">
        <v>0</v>
      </c>
      <c r="F572" s="128"/>
      <c r="G572" s="128"/>
      <c r="H572" s="128"/>
      <c r="I572" s="128"/>
      <c r="J572" s="305"/>
      <c r="K572" s="305"/>
      <c r="L572" s="305"/>
      <c r="M572" s="92"/>
      <c r="N572" s="92"/>
      <c r="O572" s="3038"/>
      <c r="P572" s="988"/>
    </row>
    <row r="573" spans="1:16" s="989" customFormat="1" ht="12" hidden="1">
      <c r="A573" s="3035"/>
      <c r="B573" s="173" t="s">
        <v>24</v>
      </c>
      <c r="C573" s="472" t="s">
        <v>98</v>
      </c>
      <c r="D573" s="129">
        <f>+D574</f>
        <v>0</v>
      </c>
      <c r="E573" s="129">
        <v>0</v>
      </c>
      <c r="F573" s="129"/>
      <c r="G573" s="129"/>
      <c r="H573" s="129"/>
      <c r="I573" s="129"/>
      <c r="J573" s="304"/>
      <c r="K573" s="304"/>
      <c r="L573" s="304"/>
      <c r="M573" s="68"/>
      <c r="N573" s="68"/>
      <c r="O573" s="3038"/>
    </row>
    <row r="574" spans="1:16" s="989" customFormat="1" hidden="1" thickBot="1">
      <c r="A574" s="3035"/>
      <c r="B574" s="468" t="s">
        <v>12</v>
      </c>
      <c r="C574" s="473"/>
      <c r="D574" s="53">
        <f>SUM(E574:I574)</f>
        <v>0</v>
      </c>
      <c r="E574" s="204">
        <v>0</v>
      </c>
      <c r="F574" s="87"/>
      <c r="G574" s="87"/>
      <c r="H574" s="87"/>
      <c r="I574" s="87"/>
      <c r="J574" s="246"/>
      <c r="K574" s="246"/>
      <c r="L574" s="246"/>
      <c r="M574" s="69"/>
      <c r="N574" s="69"/>
      <c r="O574" s="3038"/>
    </row>
    <row r="575" spans="1:16" s="989" customFormat="1" ht="14.25" hidden="1" customHeight="1">
      <c r="A575" s="3034" t="s">
        <v>88</v>
      </c>
      <c r="B575" s="284"/>
      <c r="C575" s="58" t="s">
        <v>109</v>
      </c>
      <c r="D575" s="42"/>
      <c r="E575" s="44"/>
      <c r="F575" s="44"/>
      <c r="G575" s="44"/>
      <c r="H575" s="44"/>
      <c r="I575" s="44"/>
      <c r="J575" s="44"/>
      <c r="K575" s="44"/>
      <c r="L575" s="44"/>
      <c r="M575" s="45"/>
      <c r="N575" s="45"/>
      <c r="O575" s="3037" t="s">
        <v>86</v>
      </c>
    </row>
    <row r="576" spans="1:16" s="989" customFormat="1" ht="12" hidden="1">
      <c r="A576" s="3035"/>
      <c r="B576" s="21" t="s">
        <v>10</v>
      </c>
      <c r="C576" s="22"/>
      <c r="D576" s="128"/>
      <c r="E576" s="128"/>
      <c r="F576" s="128"/>
      <c r="G576" s="128"/>
      <c r="H576" s="128"/>
      <c r="I576" s="295"/>
      <c r="J576" s="295"/>
      <c r="K576" s="295"/>
      <c r="L576" s="295"/>
      <c r="M576" s="65">
        <f>+M577</f>
        <v>0</v>
      </c>
      <c r="N576" s="65">
        <f>+N577</f>
        <v>0</v>
      </c>
      <c r="O576" s="3038"/>
      <c r="P576" s="988"/>
    </row>
    <row r="577" spans="1:16" s="989" customFormat="1" ht="12" hidden="1">
      <c r="A577" s="3035"/>
      <c r="B577" s="173" t="s">
        <v>24</v>
      </c>
      <c r="C577" s="3042" t="s">
        <v>84</v>
      </c>
      <c r="D577" s="129"/>
      <c r="E577" s="129"/>
      <c r="F577" s="129"/>
      <c r="G577" s="129"/>
      <c r="H577" s="129"/>
      <c r="I577" s="296"/>
      <c r="J577" s="296"/>
      <c r="K577" s="296"/>
      <c r="L577" s="296"/>
      <c r="M577" s="79">
        <f>+M578+M579</f>
        <v>0</v>
      </c>
      <c r="N577" s="79">
        <f>+N578+N579</f>
        <v>0</v>
      </c>
      <c r="O577" s="3038"/>
    </row>
    <row r="578" spans="1:16" s="989" customFormat="1" ht="12" hidden="1">
      <c r="A578" s="3035"/>
      <c r="B578" s="471" t="s">
        <v>12</v>
      </c>
      <c r="C578" s="3043"/>
      <c r="D578" s="1006"/>
      <c r="E578" s="1006"/>
      <c r="F578" s="70"/>
      <c r="G578" s="70"/>
      <c r="H578" s="70"/>
      <c r="I578" s="297"/>
      <c r="J578" s="297"/>
      <c r="K578" s="297"/>
      <c r="L578" s="297"/>
      <c r="M578" s="36">
        <f>SUM(E578:K578)</f>
        <v>0</v>
      </c>
      <c r="N578" s="36">
        <f>SUM(F578:L578)</f>
        <v>0</v>
      </c>
      <c r="O578" s="3038"/>
    </row>
    <row r="579" spans="1:16" s="989" customFormat="1" ht="12" hidden="1">
      <c r="A579" s="3035"/>
      <c r="B579" s="136" t="s">
        <v>107</v>
      </c>
      <c r="C579" s="3044"/>
      <c r="D579" s="1006"/>
      <c r="E579" s="1006"/>
      <c r="F579" s="298"/>
      <c r="G579" s="298"/>
      <c r="H579" s="298"/>
      <c r="I579" s="298"/>
      <c r="J579" s="285"/>
      <c r="K579" s="285"/>
      <c r="L579" s="285"/>
      <c r="M579" s="36">
        <f>SUM(E579:K579)</f>
        <v>0</v>
      </c>
      <c r="N579" s="36">
        <f>SUM(F579:L579)</f>
        <v>0</v>
      </c>
      <c r="O579" s="3038"/>
    </row>
    <row r="580" spans="1:16" s="989" customFormat="1" ht="12" hidden="1">
      <c r="A580" s="3035"/>
      <c r="B580" s="80" t="s">
        <v>22</v>
      </c>
      <c r="C580" s="22"/>
      <c r="D580" s="128"/>
      <c r="E580" s="128"/>
      <c r="F580" s="295"/>
      <c r="G580" s="295"/>
      <c r="H580" s="295"/>
      <c r="I580" s="295"/>
      <c r="J580" s="295"/>
      <c r="K580" s="295"/>
      <c r="L580" s="295"/>
      <c r="M580" s="3049" t="s">
        <v>23</v>
      </c>
      <c r="N580" s="3049" t="s">
        <v>23</v>
      </c>
      <c r="O580" s="3038"/>
    </row>
    <row r="581" spans="1:16" s="989" customFormat="1" ht="12" hidden="1">
      <c r="A581" s="3035"/>
      <c r="B581" s="173" t="s">
        <v>24</v>
      </c>
      <c r="C581" s="3042" t="s">
        <v>84</v>
      </c>
      <c r="D581" s="50"/>
      <c r="E581" s="50"/>
      <c r="F581" s="289"/>
      <c r="G581" s="289"/>
      <c r="H581" s="299"/>
      <c r="I581" s="289"/>
      <c r="J581" s="289"/>
      <c r="K581" s="289"/>
      <c r="L581" s="289"/>
      <c r="M581" s="3021"/>
      <c r="N581" s="3021"/>
      <c r="O581" s="3038"/>
    </row>
    <row r="582" spans="1:16" s="989" customFormat="1" hidden="1" thickBot="1">
      <c r="A582" s="3036"/>
      <c r="B582" s="302" t="s">
        <v>13</v>
      </c>
      <c r="C582" s="3048"/>
      <c r="D582" s="1006"/>
      <c r="E582" s="1006"/>
      <c r="F582" s="300"/>
      <c r="G582" s="300"/>
      <c r="H582" s="301"/>
      <c r="I582" s="300"/>
      <c r="J582" s="300"/>
      <c r="K582" s="300"/>
      <c r="L582" s="300"/>
      <c r="M582" s="3022"/>
      <c r="N582" s="3022"/>
      <c r="O582" s="3039"/>
    </row>
    <row r="583" spans="1:16" s="989" customFormat="1" ht="24.75" hidden="1" customHeight="1">
      <c r="A583" s="3034" t="s">
        <v>91</v>
      </c>
      <c r="B583" s="284"/>
      <c r="C583" s="58"/>
      <c r="D583" s="42"/>
      <c r="E583" s="42"/>
      <c r="F583" s="42"/>
      <c r="G583" s="42"/>
      <c r="H583" s="44"/>
      <c r="I583" s="44"/>
      <c r="J583" s="44"/>
      <c r="K583" s="44"/>
      <c r="L583" s="44"/>
      <c r="M583" s="45"/>
      <c r="N583" s="45"/>
      <c r="O583" s="3037" t="s">
        <v>86</v>
      </c>
    </row>
    <row r="584" spans="1:16" s="989" customFormat="1" ht="12" hidden="1">
      <c r="A584" s="3035"/>
      <c r="B584" s="21" t="s">
        <v>10</v>
      </c>
      <c r="C584" s="22"/>
      <c r="D584" s="128"/>
      <c r="E584" s="128"/>
      <c r="F584" s="128"/>
      <c r="G584" s="128"/>
      <c r="H584" s="128"/>
      <c r="I584" s="295"/>
      <c r="J584" s="295"/>
      <c r="K584" s="295"/>
      <c r="L584" s="295"/>
      <c r="M584" s="65">
        <f>+M585</f>
        <v>0</v>
      </c>
      <c r="N584" s="65">
        <f>+N585</f>
        <v>0</v>
      </c>
      <c r="O584" s="3038"/>
      <c r="P584" s="988"/>
    </row>
    <row r="585" spans="1:16" s="989" customFormat="1" ht="12" hidden="1">
      <c r="A585" s="3035"/>
      <c r="B585" s="173" t="s">
        <v>24</v>
      </c>
      <c r="C585" s="3042" t="s">
        <v>84</v>
      </c>
      <c r="D585" s="129"/>
      <c r="E585" s="129"/>
      <c r="F585" s="129"/>
      <c r="G585" s="129"/>
      <c r="H585" s="129"/>
      <c r="I585" s="298"/>
      <c r="J585" s="285"/>
      <c r="K585" s="285"/>
      <c r="L585" s="285"/>
      <c r="M585" s="79">
        <f>+M586+M587</f>
        <v>0</v>
      </c>
      <c r="N585" s="79">
        <f>+N586+N587</f>
        <v>0</v>
      </c>
      <c r="O585" s="3038"/>
    </row>
    <row r="586" spans="1:16" s="989" customFormat="1" ht="12" hidden="1">
      <c r="A586" s="3035"/>
      <c r="B586" s="471" t="s">
        <v>12</v>
      </c>
      <c r="C586" s="3043"/>
      <c r="D586" s="1006"/>
      <c r="E586" s="1006"/>
      <c r="F586" s="75"/>
      <c r="G586" s="75"/>
      <c r="H586" s="75"/>
      <c r="I586" s="298"/>
      <c r="J586" s="285"/>
      <c r="K586" s="285"/>
      <c r="L586" s="285"/>
      <c r="M586" s="36">
        <f>SUM(E586:K586)</f>
        <v>0</v>
      </c>
      <c r="N586" s="36">
        <f>SUM(F586:L586)</f>
        <v>0</v>
      </c>
      <c r="O586" s="3038"/>
    </row>
    <row r="587" spans="1:16" s="989" customFormat="1" ht="12" hidden="1">
      <c r="A587" s="3035"/>
      <c r="B587" s="136" t="s">
        <v>78</v>
      </c>
      <c r="C587" s="3044"/>
      <c r="D587" s="1006"/>
      <c r="E587" s="1006"/>
      <c r="F587" s="75"/>
      <c r="G587" s="75"/>
      <c r="H587" s="298"/>
      <c r="I587" s="298"/>
      <c r="J587" s="285"/>
      <c r="K587" s="285"/>
      <c r="L587" s="285"/>
      <c r="M587" s="36">
        <f>SUM(E587:K587)</f>
        <v>0</v>
      </c>
      <c r="N587" s="36">
        <f>SUM(F587:L587)</f>
        <v>0</v>
      </c>
      <c r="O587" s="3038"/>
    </row>
    <row r="588" spans="1:16" s="989" customFormat="1" ht="12" hidden="1">
      <c r="A588" s="3035"/>
      <c r="B588" s="80" t="s">
        <v>22</v>
      </c>
      <c r="C588" s="22"/>
      <c r="D588" s="128"/>
      <c r="E588" s="128"/>
      <c r="F588" s="295"/>
      <c r="G588" s="295"/>
      <c r="H588" s="295"/>
      <c r="I588" s="295"/>
      <c r="J588" s="295"/>
      <c r="K588" s="295"/>
      <c r="L588" s="295"/>
      <c r="M588" s="3049" t="s">
        <v>23</v>
      </c>
      <c r="N588" s="3049" t="s">
        <v>23</v>
      </c>
      <c r="O588" s="3038"/>
    </row>
    <row r="589" spans="1:16" s="989" customFormat="1" ht="12" hidden="1">
      <c r="A589" s="3035"/>
      <c r="B589" s="173" t="s">
        <v>24</v>
      </c>
      <c r="C589" s="3042" t="s">
        <v>84</v>
      </c>
      <c r="D589" s="447"/>
      <c r="E589" s="447"/>
      <c r="F589" s="299"/>
      <c r="G589" s="299"/>
      <c r="H589" s="299"/>
      <c r="I589" s="289"/>
      <c r="J589" s="289"/>
      <c r="K589" s="289"/>
      <c r="L589" s="289"/>
      <c r="M589" s="3021"/>
      <c r="N589" s="3021"/>
      <c r="O589" s="3038"/>
    </row>
    <row r="590" spans="1:16" s="989" customFormat="1" hidden="1" thickBot="1">
      <c r="A590" s="3036"/>
      <c r="B590" s="136" t="s">
        <v>13</v>
      </c>
      <c r="C590" s="3048"/>
      <c r="D590" s="1006"/>
      <c r="E590" s="1006"/>
      <c r="F590" s="301"/>
      <c r="G590" s="301"/>
      <c r="H590" s="301"/>
      <c r="I590" s="300"/>
      <c r="J590" s="300"/>
      <c r="K590" s="300"/>
      <c r="L590" s="300"/>
      <c r="M590" s="3022"/>
      <c r="N590" s="3022"/>
      <c r="O590" s="3039"/>
    </row>
    <row r="591" spans="1:16" s="989" customFormat="1" ht="14.25" hidden="1" customHeight="1">
      <c r="A591" s="3034" t="s">
        <v>92</v>
      </c>
      <c r="B591" s="284"/>
      <c r="C591" s="58"/>
      <c r="D591" s="130"/>
      <c r="E591" s="44"/>
      <c r="F591" s="44"/>
      <c r="G591" s="44"/>
      <c r="H591" s="44"/>
      <c r="I591" s="44"/>
      <c r="J591" s="44"/>
      <c r="K591" s="44"/>
      <c r="L591" s="44"/>
      <c r="M591" s="45"/>
      <c r="N591" s="45"/>
      <c r="O591" s="3037" t="s">
        <v>86</v>
      </c>
    </row>
    <row r="592" spans="1:16" s="989" customFormat="1" ht="12" hidden="1">
      <c r="A592" s="3035"/>
      <c r="B592" s="21" t="s">
        <v>10</v>
      </c>
      <c r="C592" s="22"/>
      <c r="D592" s="128"/>
      <c r="E592" s="128"/>
      <c r="F592" s="128"/>
      <c r="G592" s="128"/>
      <c r="H592" s="295"/>
      <c r="I592" s="295"/>
      <c r="J592" s="295"/>
      <c r="K592" s="295"/>
      <c r="L592" s="295"/>
      <c r="M592" s="65">
        <f>+M593</f>
        <v>0</v>
      </c>
      <c r="N592" s="65">
        <f>+N593</f>
        <v>0</v>
      </c>
      <c r="O592" s="3038"/>
      <c r="P592" s="988"/>
    </row>
    <row r="593" spans="1:16" s="989" customFormat="1" ht="12" hidden="1">
      <c r="A593" s="3035"/>
      <c r="B593" s="173" t="s">
        <v>24</v>
      </c>
      <c r="C593" s="3042" t="s">
        <v>84</v>
      </c>
      <c r="D593" s="129"/>
      <c r="E593" s="129"/>
      <c r="F593" s="129"/>
      <c r="G593" s="129"/>
      <c r="H593" s="296"/>
      <c r="I593" s="296"/>
      <c r="J593" s="296"/>
      <c r="K593" s="296"/>
      <c r="L593" s="296"/>
      <c r="M593" s="79">
        <f>+M594</f>
        <v>0</v>
      </c>
      <c r="N593" s="79">
        <f>+N594</f>
        <v>0</v>
      </c>
      <c r="O593" s="3038"/>
    </row>
    <row r="594" spans="1:16" s="989" customFormat="1" hidden="1" thickBot="1">
      <c r="A594" s="3036"/>
      <c r="B594" s="470" t="s">
        <v>12</v>
      </c>
      <c r="C594" s="3048"/>
      <c r="D594" s="1006"/>
      <c r="E594" s="1006"/>
      <c r="F594" s="240"/>
      <c r="G594" s="240"/>
      <c r="H594" s="309"/>
      <c r="I594" s="309"/>
      <c r="J594" s="297"/>
      <c r="K594" s="297"/>
      <c r="L594" s="297"/>
      <c r="M594" s="36">
        <f>SUM(E594:K594)</f>
        <v>0</v>
      </c>
      <c r="N594" s="36">
        <f>SUM(F594:L594)</f>
        <v>0</v>
      </c>
      <c r="O594" s="3039"/>
    </row>
    <row r="595" spans="1:16" s="989" customFormat="1" ht="14.25" hidden="1" customHeight="1">
      <c r="A595" s="3034" t="s">
        <v>93</v>
      </c>
      <c r="B595" s="284"/>
      <c r="C595" s="58"/>
      <c r="D595" s="130"/>
      <c r="E595" s="44"/>
      <c r="F595" s="44"/>
      <c r="G595" s="44"/>
      <c r="H595" s="44"/>
      <c r="I595" s="44"/>
      <c r="J595" s="44"/>
      <c r="K595" s="44"/>
      <c r="L595" s="44"/>
      <c r="M595" s="45"/>
      <c r="N595" s="45"/>
      <c r="O595" s="3037" t="s">
        <v>86</v>
      </c>
    </row>
    <row r="596" spans="1:16" s="989" customFormat="1" ht="12" hidden="1">
      <c r="A596" s="3035"/>
      <c r="B596" s="21" t="s">
        <v>10</v>
      </c>
      <c r="C596" s="22"/>
      <c r="D596" s="128"/>
      <c r="E596" s="295"/>
      <c r="F596" s="128"/>
      <c r="G596" s="128"/>
      <c r="H596" s="128"/>
      <c r="I596" s="295"/>
      <c r="J596" s="295"/>
      <c r="K596" s="295"/>
      <c r="L596" s="295"/>
      <c r="M596" s="65">
        <f>+M597</f>
        <v>0</v>
      </c>
      <c r="N596" s="65">
        <f>+N597</f>
        <v>0</v>
      </c>
      <c r="O596" s="3038"/>
      <c r="P596" s="988"/>
    </row>
    <row r="597" spans="1:16" s="989" customFormat="1" ht="12" hidden="1">
      <c r="A597" s="3035"/>
      <c r="B597" s="173" t="s">
        <v>24</v>
      </c>
      <c r="C597" s="3042" t="s">
        <v>84</v>
      </c>
      <c r="D597" s="129"/>
      <c r="E597" s="296"/>
      <c r="F597" s="129"/>
      <c r="G597" s="129"/>
      <c r="H597" s="129"/>
      <c r="I597" s="296"/>
      <c r="J597" s="296"/>
      <c r="K597" s="296"/>
      <c r="L597" s="296"/>
      <c r="M597" s="79">
        <f>+M598</f>
        <v>0</v>
      </c>
      <c r="N597" s="79">
        <f>+N598</f>
        <v>0</v>
      </c>
      <c r="O597" s="3038"/>
    </row>
    <row r="598" spans="1:16" s="989" customFormat="1" hidden="1" thickBot="1">
      <c r="A598" s="3036"/>
      <c r="B598" s="470" t="s">
        <v>12</v>
      </c>
      <c r="C598" s="3048"/>
      <c r="D598" s="1006"/>
      <c r="E598" s="727"/>
      <c r="F598" s="240"/>
      <c r="G598" s="240"/>
      <c r="H598" s="240"/>
      <c r="I598" s="309"/>
      <c r="J598" s="297"/>
      <c r="K598" s="297"/>
      <c r="L598" s="297"/>
      <c r="M598" s="36">
        <f>SUM(E598:K598)</f>
        <v>0</v>
      </c>
      <c r="N598" s="36">
        <f>SUM(F598:L598)</f>
        <v>0</v>
      </c>
      <c r="O598" s="3039"/>
    </row>
    <row r="599" spans="1:16" s="989" customFormat="1" ht="24.75" customHeight="1">
      <c r="A599" s="3034" t="s">
        <v>87</v>
      </c>
      <c r="B599" s="284" t="s">
        <v>460</v>
      </c>
      <c r="C599" s="2097" t="s">
        <v>109</v>
      </c>
      <c r="D599" s="2098"/>
      <c r="E599" s="444"/>
      <c r="F599" s="444"/>
      <c r="G599" s="444"/>
      <c r="H599" s="444"/>
      <c r="I599" s="42"/>
      <c r="J599" s="44"/>
      <c r="K599" s="44"/>
      <c r="L599" s="44"/>
      <c r="M599" s="45"/>
      <c r="N599" s="45"/>
      <c r="O599" s="3037" t="s">
        <v>102</v>
      </c>
    </row>
    <row r="600" spans="1:16" s="989" customFormat="1" ht="12">
      <c r="A600" s="3035"/>
      <c r="B600" s="21" t="s">
        <v>10</v>
      </c>
      <c r="C600" s="22"/>
      <c r="D600" s="128">
        <f>+D601</f>
        <v>777055</v>
      </c>
      <c r="E600" s="128">
        <f t="shared" ref="E600:J601" si="355">+E601</f>
        <v>116055</v>
      </c>
      <c r="F600" s="128">
        <f t="shared" si="355"/>
        <v>91000</v>
      </c>
      <c r="G600" s="128">
        <f t="shared" si="355"/>
        <v>135000</v>
      </c>
      <c r="H600" s="128">
        <f t="shared" si="355"/>
        <v>145000</v>
      </c>
      <c r="I600" s="128">
        <f t="shared" si="355"/>
        <v>145000</v>
      </c>
      <c r="J600" s="128">
        <f t="shared" si="355"/>
        <v>145000</v>
      </c>
      <c r="K600" s="295">
        <v>0</v>
      </c>
      <c r="L600" s="295">
        <v>0</v>
      </c>
      <c r="M600" s="65">
        <f>+M601</f>
        <v>661000</v>
      </c>
      <c r="N600" s="65">
        <f>+N601</f>
        <v>570000</v>
      </c>
      <c r="O600" s="3038"/>
      <c r="P600" s="988"/>
    </row>
    <row r="601" spans="1:16" s="989" customFormat="1" ht="12">
      <c r="A601" s="3035"/>
      <c r="B601" s="173" t="s">
        <v>24</v>
      </c>
      <c r="C601" s="3042" t="s">
        <v>98</v>
      </c>
      <c r="D601" s="129">
        <f>+D602</f>
        <v>777055</v>
      </c>
      <c r="E601" s="129">
        <f t="shared" si="355"/>
        <v>116055</v>
      </c>
      <c r="F601" s="129">
        <f t="shared" si="355"/>
        <v>91000</v>
      </c>
      <c r="G601" s="129">
        <f t="shared" si="355"/>
        <v>135000</v>
      </c>
      <c r="H601" s="129">
        <f t="shared" si="355"/>
        <v>145000</v>
      </c>
      <c r="I601" s="129">
        <f t="shared" si="355"/>
        <v>145000</v>
      </c>
      <c r="J601" s="129">
        <f>145000</f>
        <v>145000</v>
      </c>
      <c r="K601" s="296">
        <v>0</v>
      </c>
      <c r="L601" s="296">
        <v>0</v>
      </c>
      <c r="M601" s="79">
        <f>+M602</f>
        <v>661000</v>
      </c>
      <c r="N601" s="79">
        <f>+N602</f>
        <v>570000</v>
      </c>
      <c r="O601" s="3038"/>
    </row>
    <row r="602" spans="1:16" s="989" customFormat="1" thickBot="1">
      <c r="A602" s="3036"/>
      <c r="B602" s="467" t="s">
        <v>12</v>
      </c>
      <c r="C602" s="3048"/>
      <c r="D602" s="249">
        <f>E602+F602+G602+H602+I602+J602+K602+L602</f>
        <v>777055</v>
      </c>
      <c r="E602" s="286">
        <v>116055</v>
      </c>
      <c r="F602" s="240">
        <f>135000-44000</f>
        <v>91000</v>
      </c>
      <c r="G602" s="240">
        <f>135000</f>
        <v>135000</v>
      </c>
      <c r="H602" s="240">
        <f>135000+10000</f>
        <v>145000</v>
      </c>
      <c r="I602" s="240">
        <f>135000+10000</f>
        <v>145000</v>
      </c>
      <c r="J602" s="240">
        <f>145000</f>
        <v>145000</v>
      </c>
      <c r="K602" s="309">
        <v>0</v>
      </c>
      <c r="L602" s="309">
        <v>0</v>
      </c>
      <c r="M602" s="1047">
        <f>SUM(F602:K602)</f>
        <v>661000</v>
      </c>
      <c r="N602" s="1047">
        <f>SUM(G602:L602)</f>
        <v>570000</v>
      </c>
      <c r="O602" s="3039"/>
    </row>
    <row r="603" spans="1:16" s="989" customFormat="1" ht="27" customHeight="1">
      <c r="A603" s="3034" t="s">
        <v>88</v>
      </c>
      <c r="B603" s="284" t="s">
        <v>461</v>
      </c>
      <c r="C603" s="58" t="s">
        <v>81</v>
      </c>
      <c r="D603" s="130"/>
      <c r="E603" s="44"/>
      <c r="F603" s="44"/>
      <c r="G603" s="44"/>
      <c r="H603" s="44"/>
      <c r="I603" s="44"/>
      <c r="J603" s="44"/>
      <c r="K603" s="44"/>
      <c r="L603" s="44"/>
      <c r="M603" s="45"/>
      <c r="N603" s="45"/>
      <c r="O603" s="3037" t="s">
        <v>86</v>
      </c>
    </row>
    <row r="604" spans="1:16" s="989" customFormat="1" ht="12">
      <c r="A604" s="3035"/>
      <c r="B604" s="715" t="s">
        <v>10</v>
      </c>
      <c r="C604" s="2003"/>
      <c r="D604" s="2040">
        <f>+D605</f>
        <v>6355000</v>
      </c>
      <c r="E604" s="2040">
        <v>3810194</v>
      </c>
      <c r="F604" s="2040">
        <f t="shared" ref="F604:G605" si="356">+F605</f>
        <v>2021758</v>
      </c>
      <c r="G604" s="2040">
        <f t="shared" si="356"/>
        <v>523048</v>
      </c>
      <c r="H604" s="2046">
        <v>0</v>
      </c>
      <c r="I604" s="2046">
        <v>0</v>
      </c>
      <c r="J604" s="2046">
        <v>0</v>
      </c>
      <c r="K604" s="2046">
        <v>0</v>
      </c>
      <c r="L604" s="2046">
        <v>0</v>
      </c>
      <c r="M604" s="2005">
        <f>+M605</f>
        <v>2544806</v>
      </c>
      <c r="N604" s="2005">
        <f>+N605</f>
        <v>523048</v>
      </c>
      <c r="O604" s="3038"/>
      <c r="P604" s="988"/>
    </row>
    <row r="605" spans="1:16" s="989" customFormat="1" ht="12">
      <c r="A605" s="3035"/>
      <c r="B605" s="681" t="s">
        <v>24</v>
      </c>
      <c r="C605" s="3047" t="s">
        <v>84</v>
      </c>
      <c r="D605" s="2041">
        <f>+D606</f>
        <v>6355000</v>
      </c>
      <c r="E605" s="2041">
        <v>3810194</v>
      </c>
      <c r="F605" s="2041">
        <f t="shared" si="356"/>
        <v>2021758</v>
      </c>
      <c r="G605" s="2041">
        <f t="shared" si="356"/>
        <v>523048</v>
      </c>
      <c r="H605" s="2044">
        <v>0</v>
      </c>
      <c r="I605" s="2044">
        <v>0</v>
      </c>
      <c r="J605" s="2044">
        <v>0</v>
      </c>
      <c r="K605" s="2044">
        <v>0</v>
      </c>
      <c r="L605" s="2044">
        <v>0</v>
      </c>
      <c r="M605" s="2008">
        <f>+M606</f>
        <v>2544806</v>
      </c>
      <c r="N605" s="2008">
        <f>+N606</f>
        <v>523048</v>
      </c>
      <c r="O605" s="3038"/>
    </row>
    <row r="606" spans="1:16" s="989" customFormat="1" thickBot="1">
      <c r="A606" s="3036"/>
      <c r="B606" s="470" t="s">
        <v>12</v>
      </c>
      <c r="C606" s="3048"/>
      <c r="D606" s="2195">
        <f>E606+F606+G606+H606+I606+J606+K606+L606</f>
        <v>6355000</v>
      </c>
      <c r="E606" s="2195">
        <v>3810194</v>
      </c>
      <c r="F606" s="2464">
        <f>1965000+93736+486070-523048</f>
        <v>2021758</v>
      </c>
      <c r="G606" s="2464">
        <v>523048</v>
      </c>
      <c r="H606" s="2465">
        <v>0</v>
      </c>
      <c r="I606" s="2465">
        <v>0</v>
      </c>
      <c r="J606" s="2465">
        <v>0</v>
      </c>
      <c r="K606" s="2465">
        <v>0</v>
      </c>
      <c r="L606" s="2465">
        <v>0</v>
      </c>
      <c r="M606" s="2466">
        <f>SUM(F606:K606)</f>
        <v>2544806</v>
      </c>
      <c r="N606" s="2466">
        <f>SUM(G606:L606)</f>
        <v>523048</v>
      </c>
      <c r="O606" s="3039"/>
    </row>
    <row r="607" spans="1:16" s="989" customFormat="1" ht="16.5" customHeight="1">
      <c r="A607" s="3034" t="s">
        <v>89</v>
      </c>
      <c r="B607" s="284" t="s">
        <v>330</v>
      </c>
      <c r="C607" s="58" t="s">
        <v>109</v>
      </c>
      <c r="D607" s="130"/>
      <c r="E607" s="515"/>
      <c r="F607" s="44"/>
      <c r="G607" s="44"/>
      <c r="H607" s="44"/>
      <c r="I607" s="44"/>
      <c r="J607" s="44"/>
      <c r="K607" s="44"/>
      <c r="L607" s="44"/>
      <c r="M607" s="45"/>
      <c r="N607" s="45"/>
      <c r="O607" s="3037" t="s">
        <v>86</v>
      </c>
    </row>
    <row r="608" spans="1:16" s="989" customFormat="1" ht="12.75" customHeight="1">
      <c r="A608" s="3035"/>
      <c r="B608" s="21" t="s">
        <v>10</v>
      </c>
      <c r="C608" s="22"/>
      <c r="D608" s="460">
        <f>+D609</f>
        <v>107265718</v>
      </c>
      <c r="E608" s="460">
        <f t="shared" ref="E608:I608" si="357">+E609</f>
        <v>0</v>
      </c>
      <c r="F608" s="460">
        <f t="shared" si="357"/>
        <v>27229019</v>
      </c>
      <c r="G608" s="460">
        <f t="shared" si="357"/>
        <v>26856601</v>
      </c>
      <c r="H608" s="460">
        <f t="shared" si="357"/>
        <v>26265000</v>
      </c>
      <c r="I608" s="460">
        <f t="shared" si="357"/>
        <v>26915098</v>
      </c>
      <c r="J608" s="461">
        <v>0</v>
      </c>
      <c r="K608" s="461">
        <v>0</v>
      </c>
      <c r="L608" s="461">
        <v>0</v>
      </c>
      <c r="M608" s="474">
        <f>+M609</f>
        <v>107265718</v>
      </c>
      <c r="N608" s="474">
        <f>+N609</f>
        <v>80036699</v>
      </c>
      <c r="O608" s="3038"/>
      <c r="P608" s="988"/>
    </row>
    <row r="609" spans="1:16" s="989" customFormat="1" ht="12.75" customHeight="1">
      <c r="A609" s="3035"/>
      <c r="B609" s="681" t="s">
        <v>24</v>
      </c>
      <c r="C609" s="3051" t="s">
        <v>437</v>
      </c>
      <c r="D609" s="696">
        <f>+D610+D611</f>
        <v>107265718</v>
      </c>
      <c r="E609" s="696">
        <f t="shared" ref="E609" si="358">+E610+E611</f>
        <v>0</v>
      </c>
      <c r="F609" s="696">
        <f t="shared" ref="F609:L609" si="359">+F610+F611</f>
        <v>27229019</v>
      </c>
      <c r="G609" s="696">
        <f t="shared" si="359"/>
        <v>26856601</v>
      </c>
      <c r="H609" s="696">
        <f t="shared" si="359"/>
        <v>26265000</v>
      </c>
      <c r="I609" s="696">
        <f t="shared" si="359"/>
        <v>26915098</v>
      </c>
      <c r="J609" s="1059">
        <f t="shared" si="359"/>
        <v>0</v>
      </c>
      <c r="K609" s="1059">
        <f t="shared" si="359"/>
        <v>0</v>
      </c>
      <c r="L609" s="1059">
        <f t="shared" si="359"/>
        <v>0</v>
      </c>
      <c r="M609" s="694">
        <f>+M610+M611</f>
        <v>107265718</v>
      </c>
      <c r="N609" s="694">
        <f>+N610+N611</f>
        <v>80036699</v>
      </c>
      <c r="O609" s="3038"/>
    </row>
    <row r="610" spans="1:16" s="989" customFormat="1" ht="14.25" customHeight="1">
      <c r="A610" s="3035"/>
      <c r="B610" s="1702" t="s">
        <v>12</v>
      </c>
      <c r="C610" s="3043"/>
      <c r="D610" s="249">
        <f>E610+F610+G610+H610+I610+J610+K610+L610</f>
        <v>83839727</v>
      </c>
      <c r="E610" s="286">
        <v>0</v>
      </c>
      <c r="F610" s="697">
        <f>24142831+86188+3000000-23425991</f>
        <v>3803028</v>
      </c>
      <c r="G610" s="697">
        <v>26856601</v>
      </c>
      <c r="H610" s="697">
        <v>26265000</v>
      </c>
      <c r="I610" s="697">
        <v>26915098</v>
      </c>
      <c r="J610" s="1074">
        <v>0</v>
      </c>
      <c r="K610" s="1074">
        <v>0</v>
      </c>
      <c r="L610" s="1074">
        <v>0</v>
      </c>
      <c r="M610" s="1047">
        <f>SUM(F610:K610)</f>
        <v>83839727</v>
      </c>
      <c r="N610" s="1047">
        <f>SUM(G610:L610)</f>
        <v>80036699</v>
      </c>
      <c r="O610" s="3038"/>
    </row>
    <row r="611" spans="1:16" s="989" customFormat="1" ht="14.25" customHeight="1">
      <c r="A611" s="3035"/>
      <c r="B611" s="1702" t="s">
        <v>78</v>
      </c>
      <c r="C611" s="3044"/>
      <c r="D611" s="1984">
        <f>E611+F611+G611+H611+I611+J611+K611+L611</f>
        <v>23425991</v>
      </c>
      <c r="E611" s="286">
        <v>0</v>
      </c>
      <c r="F611" s="697">
        <f>23425991</f>
        <v>23425991</v>
      </c>
      <c r="G611" s="1074">
        <v>0</v>
      </c>
      <c r="H611" s="1074">
        <v>0</v>
      </c>
      <c r="I611" s="1074">
        <v>0</v>
      </c>
      <c r="J611" s="1074">
        <v>0</v>
      </c>
      <c r="K611" s="1074">
        <v>0</v>
      </c>
      <c r="L611" s="1074"/>
      <c r="M611" s="1047">
        <f>SUM(F611:K611)</f>
        <v>23425991</v>
      </c>
      <c r="N611" s="1047">
        <f>SUM(G611:L611)</f>
        <v>0</v>
      </c>
      <c r="O611" s="3052"/>
    </row>
    <row r="612" spans="1:16" s="989" customFormat="1" ht="14.25" customHeight="1">
      <c r="A612" s="3035"/>
      <c r="B612" s="82" t="s">
        <v>22</v>
      </c>
      <c r="C612" s="91"/>
      <c r="D612" s="1705">
        <f>+D613</f>
        <v>23425991</v>
      </c>
      <c r="E612" s="1705">
        <f t="shared" ref="E612:E613" si="360">+E613</f>
        <v>0</v>
      </c>
      <c r="F612" s="1705">
        <f t="shared" ref="F612:F613" si="361">+F613</f>
        <v>23425991</v>
      </c>
      <c r="G612" s="1673">
        <f t="shared" ref="G612:G613" si="362">+G613</f>
        <v>0</v>
      </c>
      <c r="H612" s="1673">
        <f t="shared" ref="H612:H613" si="363">+H613</f>
        <v>0</v>
      </c>
      <c r="I612" s="1673">
        <f t="shared" ref="I612:I613" si="364">+I613</f>
        <v>0</v>
      </c>
      <c r="J612" s="1673">
        <f t="shared" ref="J612:J613" si="365">+J613</f>
        <v>0</v>
      </c>
      <c r="K612" s="1673">
        <f t="shared" ref="K612:K613" si="366">+K613</f>
        <v>0</v>
      </c>
      <c r="L612" s="1673">
        <f t="shared" ref="L612:L613" si="367">+L613</f>
        <v>0</v>
      </c>
      <c r="M612" s="3020" t="s">
        <v>23</v>
      </c>
      <c r="N612" s="3020" t="s">
        <v>23</v>
      </c>
      <c r="O612" s="3053" t="s">
        <v>102</v>
      </c>
    </row>
    <row r="613" spans="1:16" s="989" customFormat="1" ht="14.25" customHeight="1">
      <c r="A613" s="3035"/>
      <c r="B613" s="173" t="s">
        <v>24</v>
      </c>
      <c r="C613" s="3050" t="s">
        <v>84</v>
      </c>
      <c r="D613" s="129">
        <f>+D614</f>
        <v>23425991</v>
      </c>
      <c r="E613" s="129">
        <f t="shared" si="360"/>
        <v>0</v>
      </c>
      <c r="F613" s="129">
        <f t="shared" si="361"/>
        <v>23425991</v>
      </c>
      <c r="G613" s="296">
        <f t="shared" si="362"/>
        <v>0</v>
      </c>
      <c r="H613" s="296">
        <f t="shared" si="363"/>
        <v>0</v>
      </c>
      <c r="I613" s="296">
        <f t="shared" si="364"/>
        <v>0</v>
      </c>
      <c r="J613" s="296">
        <f t="shared" si="365"/>
        <v>0</v>
      </c>
      <c r="K613" s="296">
        <f t="shared" si="366"/>
        <v>0</v>
      </c>
      <c r="L613" s="296">
        <f t="shared" si="367"/>
        <v>0</v>
      </c>
      <c r="M613" s="3021"/>
      <c r="N613" s="3021"/>
      <c r="O613" s="3038"/>
    </row>
    <row r="614" spans="1:16" s="989" customFormat="1" ht="14.25" customHeight="1" thickBot="1">
      <c r="A614" s="3036"/>
      <c r="B614" s="470" t="s">
        <v>78</v>
      </c>
      <c r="C614" s="3046"/>
      <c r="D614" s="249">
        <f>E614+F614+G614+H614+I614+J614+K614+L614</f>
        <v>23425991</v>
      </c>
      <c r="E614" s="286">
        <v>0</v>
      </c>
      <c r="F614" s="1457">
        <f>23425991</f>
        <v>23425991</v>
      </c>
      <c r="G614" s="309">
        <v>0</v>
      </c>
      <c r="H614" s="309">
        <v>0</v>
      </c>
      <c r="I614" s="309">
        <v>0</v>
      </c>
      <c r="J614" s="309">
        <v>0</v>
      </c>
      <c r="K614" s="309">
        <v>0</v>
      </c>
      <c r="L614" s="309">
        <v>0</v>
      </c>
      <c r="M614" s="3022"/>
      <c r="N614" s="3022"/>
      <c r="O614" s="3039"/>
    </row>
    <row r="615" spans="1:16" s="989" customFormat="1" ht="15.75" customHeight="1">
      <c r="A615" s="3034" t="s">
        <v>90</v>
      </c>
      <c r="B615" s="284" t="s">
        <v>331</v>
      </c>
      <c r="C615" s="58" t="s">
        <v>81</v>
      </c>
      <c r="D615" s="130"/>
      <c r="E615" s="515"/>
      <c r="F615" s="44"/>
      <c r="G615" s="44"/>
      <c r="H615" s="44"/>
      <c r="I615" s="44"/>
      <c r="J615" s="44"/>
      <c r="K615" s="44"/>
      <c r="L615" s="44"/>
      <c r="M615" s="45"/>
      <c r="N615" s="45"/>
      <c r="O615" s="3037" t="s">
        <v>86</v>
      </c>
    </row>
    <row r="616" spans="1:16" s="989" customFormat="1" ht="12.75" customHeight="1">
      <c r="A616" s="3035"/>
      <c r="B616" s="715" t="s">
        <v>10</v>
      </c>
      <c r="C616" s="2039"/>
      <c r="D616" s="2040">
        <f>+D617</f>
        <v>115563000</v>
      </c>
      <c r="E616" s="2040">
        <f t="shared" ref="E616:I616" si="368">+E617</f>
        <v>0</v>
      </c>
      <c r="F616" s="2040">
        <f t="shared" si="368"/>
        <v>24533000</v>
      </c>
      <c r="G616" s="2040">
        <f t="shared" si="368"/>
        <v>29200000</v>
      </c>
      <c r="H616" s="2040">
        <f t="shared" si="368"/>
        <v>30550000</v>
      </c>
      <c r="I616" s="2040">
        <f t="shared" si="368"/>
        <v>31280000</v>
      </c>
      <c r="J616" s="2046">
        <v>0</v>
      </c>
      <c r="K616" s="2046">
        <v>0</v>
      </c>
      <c r="L616" s="2046">
        <v>0</v>
      </c>
      <c r="M616" s="1935">
        <f>+M617</f>
        <v>115563000</v>
      </c>
      <c r="N616" s="1935">
        <f>+N617</f>
        <v>91030000</v>
      </c>
      <c r="O616" s="3038"/>
      <c r="P616" s="988"/>
    </row>
    <row r="617" spans="1:16" s="989" customFormat="1" ht="12.75" customHeight="1">
      <c r="A617" s="3035"/>
      <c r="B617" s="681" t="s">
        <v>24</v>
      </c>
      <c r="C617" s="3047" t="s">
        <v>84</v>
      </c>
      <c r="D617" s="2041">
        <f>+D618+D619</f>
        <v>115563000</v>
      </c>
      <c r="E617" s="2041">
        <f t="shared" ref="E617" si="369">+E618+E619</f>
        <v>0</v>
      </c>
      <c r="F617" s="2041">
        <f t="shared" ref="F617:L617" si="370">+F618+F619</f>
        <v>24533000</v>
      </c>
      <c r="G617" s="2041">
        <f t="shared" si="370"/>
        <v>29200000</v>
      </c>
      <c r="H617" s="2041">
        <f t="shared" si="370"/>
        <v>30550000</v>
      </c>
      <c r="I617" s="2041">
        <f t="shared" si="370"/>
        <v>31280000</v>
      </c>
      <c r="J617" s="2044">
        <f t="shared" si="370"/>
        <v>0</v>
      </c>
      <c r="K617" s="2044">
        <f t="shared" si="370"/>
        <v>0</v>
      </c>
      <c r="L617" s="2044">
        <f t="shared" si="370"/>
        <v>0</v>
      </c>
      <c r="M617" s="2008">
        <f>+M618+M619</f>
        <v>115563000</v>
      </c>
      <c r="N617" s="2008">
        <f>+N618+N619</f>
        <v>91030000</v>
      </c>
      <c r="O617" s="3038"/>
    </row>
    <row r="618" spans="1:16" s="989" customFormat="1" ht="12">
      <c r="A618" s="3035"/>
      <c r="B618" s="1702" t="s">
        <v>12</v>
      </c>
      <c r="C618" s="3043"/>
      <c r="D618" s="1913">
        <f>E618+F618+G618+H618+I618+J618+K618+L618</f>
        <v>113140000</v>
      </c>
      <c r="E618" s="1977">
        <v>0</v>
      </c>
      <c r="F618" s="2031">
        <v>22110000</v>
      </c>
      <c r="G618" s="2031">
        <v>29200000</v>
      </c>
      <c r="H618" s="2031">
        <v>30550000</v>
      </c>
      <c r="I618" s="2031">
        <v>31280000</v>
      </c>
      <c r="J618" s="1960">
        <v>0</v>
      </c>
      <c r="K618" s="1960">
        <v>0</v>
      </c>
      <c r="L618" s="1960">
        <v>0</v>
      </c>
      <c r="M618" s="1047">
        <f>SUM(F618:K618)</f>
        <v>113140000</v>
      </c>
      <c r="N618" s="1047">
        <f>SUM(G618:L618)</f>
        <v>91030000</v>
      </c>
      <c r="O618" s="3038"/>
    </row>
    <row r="619" spans="1:16" s="989" customFormat="1" ht="13.5" customHeight="1">
      <c r="A619" s="3035"/>
      <c r="B619" s="1706" t="s">
        <v>114</v>
      </c>
      <c r="C619" s="3044"/>
      <c r="D619" s="1913">
        <f>E619+F619+G619+H619+I619+J619+K619+L619</f>
        <v>2423000</v>
      </c>
      <c r="E619" s="1977">
        <v>0</v>
      </c>
      <c r="F619" s="2031">
        <f>5000+1565000+235000+335000+53000+30000+200000</f>
        <v>2423000</v>
      </c>
      <c r="G619" s="516">
        <v>0</v>
      </c>
      <c r="H619" s="516">
        <v>0</v>
      </c>
      <c r="I619" s="516">
        <v>0</v>
      </c>
      <c r="J619" s="516">
        <v>0</v>
      </c>
      <c r="K619" s="516">
        <v>0</v>
      </c>
      <c r="L619" s="516">
        <v>0</v>
      </c>
      <c r="M619" s="1047">
        <f>SUM(F619:K619)</f>
        <v>2423000</v>
      </c>
      <c r="N619" s="1047">
        <f>SUM(G619:L619)</f>
        <v>0</v>
      </c>
      <c r="O619" s="3038"/>
    </row>
    <row r="620" spans="1:16" s="989" customFormat="1" ht="12.75" customHeight="1">
      <c r="A620" s="3035"/>
      <c r="B620" s="715" t="s">
        <v>22</v>
      </c>
      <c r="C620" s="2039"/>
      <c r="D620" s="1934">
        <f>+D621</f>
        <v>2423000</v>
      </c>
      <c r="E620" s="1922">
        <f t="shared" ref="E620" si="371">+E621</f>
        <v>0</v>
      </c>
      <c r="F620" s="2040">
        <f>+F621</f>
        <v>2423000</v>
      </c>
      <c r="G620" s="2046">
        <v>0</v>
      </c>
      <c r="H620" s="2046">
        <v>0</v>
      </c>
      <c r="I620" s="2046">
        <v>0</v>
      </c>
      <c r="J620" s="2046">
        <v>0</v>
      </c>
      <c r="K620" s="2046">
        <v>0</v>
      </c>
      <c r="L620" s="2046">
        <v>0</v>
      </c>
      <c r="M620" s="3030" t="s">
        <v>23</v>
      </c>
      <c r="N620" s="3030" t="s">
        <v>23</v>
      </c>
      <c r="O620" s="3038"/>
    </row>
    <row r="621" spans="1:16" s="989" customFormat="1" ht="13.5" customHeight="1">
      <c r="A621" s="3035"/>
      <c r="B621" s="681" t="s">
        <v>24</v>
      </c>
      <c r="C621" s="3040" t="s">
        <v>84</v>
      </c>
      <c r="D621" s="2030">
        <f>+D622</f>
        <v>2423000</v>
      </c>
      <c r="E621" s="2041">
        <f>+E622</f>
        <v>0</v>
      </c>
      <c r="F621" s="2041">
        <f>+F622</f>
        <v>2423000</v>
      </c>
      <c r="G621" s="2044">
        <v>0</v>
      </c>
      <c r="H621" s="2044">
        <v>0</v>
      </c>
      <c r="I621" s="2044">
        <v>0</v>
      </c>
      <c r="J621" s="2044">
        <v>0</v>
      </c>
      <c r="K621" s="2044">
        <v>0</v>
      </c>
      <c r="L621" s="2044">
        <v>0</v>
      </c>
      <c r="M621" s="3021"/>
      <c r="N621" s="3021"/>
      <c r="O621" s="3038"/>
    </row>
    <row r="622" spans="1:16" s="989" customFormat="1" ht="13.5" customHeight="1" thickBot="1">
      <c r="A622" s="3036"/>
      <c r="B622" s="365" t="s">
        <v>114</v>
      </c>
      <c r="C622" s="3074"/>
      <c r="D622" s="1009">
        <f>E622+F622+G622+H622+I622+J622+K622+L622</f>
        <v>2423000</v>
      </c>
      <c r="E622" s="1009">
        <v>0</v>
      </c>
      <c r="F622" s="1060">
        <f>5000+1565000+235000+335000+53000+30000+200000</f>
        <v>2423000</v>
      </c>
      <c r="G622" s="1063">
        <v>0</v>
      </c>
      <c r="H622" s="1063">
        <v>0</v>
      </c>
      <c r="I622" s="1063">
        <v>0</v>
      </c>
      <c r="J622" s="1063">
        <v>0</v>
      </c>
      <c r="K622" s="1063">
        <v>0</v>
      </c>
      <c r="L622" s="1063">
        <v>0</v>
      </c>
      <c r="M622" s="3022"/>
      <c r="N622" s="3022"/>
      <c r="O622" s="3039"/>
    </row>
    <row r="623" spans="1:16" s="989" customFormat="1" ht="17.25" customHeight="1">
      <c r="A623" s="3034" t="s">
        <v>91</v>
      </c>
      <c r="B623" s="284" t="s">
        <v>394</v>
      </c>
      <c r="C623" s="58" t="s">
        <v>81</v>
      </c>
      <c r="D623" s="130"/>
      <c r="E623" s="515"/>
      <c r="F623" s="44"/>
      <c r="G623" s="44"/>
      <c r="H623" s="44"/>
      <c r="I623" s="44"/>
      <c r="J623" s="44"/>
      <c r="K623" s="44"/>
      <c r="L623" s="44"/>
      <c r="M623" s="45"/>
      <c r="N623" s="45"/>
      <c r="O623" s="3037" t="s">
        <v>86</v>
      </c>
    </row>
    <row r="624" spans="1:16" s="989" customFormat="1" ht="12">
      <c r="A624" s="3035"/>
      <c r="B624" s="21" t="s">
        <v>10</v>
      </c>
      <c r="C624" s="22"/>
      <c r="D624" s="460">
        <f>+D625</f>
        <v>3000000</v>
      </c>
      <c r="E624" s="460">
        <f t="shared" ref="E624:I625" si="372">+E625</f>
        <v>0</v>
      </c>
      <c r="F624" s="460">
        <f t="shared" si="372"/>
        <v>0</v>
      </c>
      <c r="G624" s="460">
        <f t="shared" si="372"/>
        <v>3000000</v>
      </c>
      <c r="H624" s="460">
        <f t="shared" si="372"/>
        <v>0</v>
      </c>
      <c r="I624" s="460">
        <f t="shared" si="372"/>
        <v>0</v>
      </c>
      <c r="J624" s="461">
        <v>0</v>
      </c>
      <c r="K624" s="461">
        <v>0</v>
      </c>
      <c r="L624" s="461">
        <v>0</v>
      </c>
      <c r="M624" s="474">
        <f>+M625</f>
        <v>3000000</v>
      </c>
      <c r="N624" s="474">
        <f>+N625</f>
        <v>3000000</v>
      </c>
      <c r="O624" s="3038"/>
      <c r="P624" s="988"/>
    </row>
    <row r="625" spans="1:15" s="989" customFormat="1" ht="12">
      <c r="A625" s="3035"/>
      <c r="B625" s="173" t="s">
        <v>24</v>
      </c>
      <c r="C625" s="3176" t="s">
        <v>84</v>
      </c>
      <c r="D625" s="477">
        <f>+D626</f>
        <v>3000000</v>
      </c>
      <c r="E625" s="477">
        <f t="shared" si="372"/>
        <v>0</v>
      </c>
      <c r="F625" s="477">
        <f t="shared" si="372"/>
        <v>0</v>
      </c>
      <c r="G625" s="477">
        <f t="shared" si="372"/>
        <v>3000000</v>
      </c>
      <c r="H625" s="477">
        <f t="shared" si="372"/>
        <v>0</v>
      </c>
      <c r="I625" s="477">
        <f t="shared" si="372"/>
        <v>0</v>
      </c>
      <c r="J625" s="478">
        <v>0</v>
      </c>
      <c r="K625" s="478">
        <v>0</v>
      </c>
      <c r="L625" s="478">
        <v>0</v>
      </c>
      <c r="M625" s="475">
        <f>+M626</f>
        <v>3000000</v>
      </c>
      <c r="N625" s="475">
        <f>+N626</f>
        <v>3000000</v>
      </c>
      <c r="O625" s="3038"/>
    </row>
    <row r="626" spans="1:15" s="989" customFormat="1" thickBot="1">
      <c r="A626" s="3036"/>
      <c r="B626" s="470" t="s">
        <v>12</v>
      </c>
      <c r="C626" s="3048"/>
      <c r="D626" s="249">
        <f>E626+F626+G626+H626+I626+J626+K626+L626</f>
        <v>3000000</v>
      </c>
      <c r="E626" s="286">
        <v>0</v>
      </c>
      <c r="F626" s="240">
        <v>0</v>
      </c>
      <c r="G626" s="240">
        <v>3000000</v>
      </c>
      <c r="H626" s="240"/>
      <c r="I626" s="240"/>
      <c r="J626" s="309">
        <v>0</v>
      </c>
      <c r="K626" s="309">
        <v>0</v>
      </c>
      <c r="L626" s="309">
        <v>0</v>
      </c>
      <c r="M626" s="1047">
        <f>SUM(F626:K626)</f>
        <v>3000000</v>
      </c>
      <c r="N626" s="1047">
        <f>SUM(G626:L626)</f>
        <v>3000000</v>
      </c>
      <c r="O626" s="3039"/>
    </row>
    <row r="627" spans="1:15" s="989" customFormat="1" ht="17.25" customHeight="1">
      <c r="A627" s="3034" t="s">
        <v>92</v>
      </c>
      <c r="B627" s="284" t="s">
        <v>431</v>
      </c>
      <c r="C627" s="58" t="s">
        <v>81</v>
      </c>
      <c r="D627" s="130"/>
      <c r="E627" s="44"/>
      <c r="F627" s="44"/>
      <c r="G627" s="44"/>
      <c r="H627" s="44"/>
      <c r="I627" s="44"/>
      <c r="J627" s="44"/>
      <c r="K627" s="44"/>
      <c r="L627" s="44"/>
      <c r="M627" s="45"/>
      <c r="N627" s="45"/>
      <c r="O627" s="3037" t="s">
        <v>86</v>
      </c>
    </row>
    <row r="628" spans="1:15" s="989" customFormat="1" ht="12">
      <c r="A628" s="3035"/>
      <c r="B628" s="715" t="s">
        <v>10</v>
      </c>
      <c r="C628" s="2003"/>
      <c r="D628" s="2040">
        <f>+D629</f>
        <v>30000000</v>
      </c>
      <c r="E628" s="2040">
        <f t="shared" ref="E628:L629" si="373">+E629</f>
        <v>0</v>
      </c>
      <c r="F628" s="2040">
        <f t="shared" si="373"/>
        <v>10000000</v>
      </c>
      <c r="G628" s="2040">
        <f t="shared" si="373"/>
        <v>10000000</v>
      </c>
      <c r="H628" s="2040">
        <f t="shared" si="373"/>
        <v>10000000</v>
      </c>
      <c r="I628" s="2040">
        <f t="shared" si="373"/>
        <v>0</v>
      </c>
      <c r="J628" s="2040">
        <f t="shared" si="373"/>
        <v>0</v>
      </c>
      <c r="K628" s="2040">
        <f t="shared" si="373"/>
        <v>0</v>
      </c>
      <c r="L628" s="2040">
        <f t="shared" si="373"/>
        <v>0</v>
      </c>
      <c r="M628" s="2005">
        <f>+M629</f>
        <v>30000000</v>
      </c>
      <c r="N628" s="2005">
        <f>+N629</f>
        <v>20000000</v>
      </c>
      <c r="O628" s="3038"/>
    </row>
    <row r="629" spans="1:15" s="989" customFormat="1" ht="12">
      <c r="A629" s="3035"/>
      <c r="B629" s="681" t="s">
        <v>24</v>
      </c>
      <c r="C629" s="3040" t="s">
        <v>84</v>
      </c>
      <c r="D629" s="2041">
        <f>+D630</f>
        <v>30000000</v>
      </c>
      <c r="E629" s="2041">
        <f t="shared" si="373"/>
        <v>0</v>
      </c>
      <c r="F629" s="2041">
        <f t="shared" si="373"/>
        <v>10000000</v>
      </c>
      <c r="G629" s="2041">
        <f t="shared" si="373"/>
        <v>10000000</v>
      </c>
      <c r="H629" s="2041">
        <f t="shared" si="373"/>
        <v>10000000</v>
      </c>
      <c r="I629" s="2041">
        <f t="shared" si="373"/>
        <v>0</v>
      </c>
      <c r="J629" s="2041">
        <f t="shared" si="373"/>
        <v>0</v>
      </c>
      <c r="K629" s="2041">
        <f t="shared" si="373"/>
        <v>0</v>
      </c>
      <c r="L629" s="2041">
        <f t="shared" si="373"/>
        <v>0</v>
      </c>
      <c r="M629" s="2008">
        <f>+M630</f>
        <v>30000000</v>
      </c>
      <c r="N629" s="2008">
        <f>+N630</f>
        <v>20000000</v>
      </c>
      <c r="O629" s="3038"/>
    </row>
    <row r="630" spans="1:15" s="989" customFormat="1" thickBot="1">
      <c r="A630" s="3036"/>
      <c r="B630" s="467" t="s">
        <v>12</v>
      </c>
      <c r="C630" s="3041"/>
      <c r="D630" s="2417">
        <f>E630+F630+G630+H630+I630+J630+K630+L630</f>
        <v>30000000</v>
      </c>
      <c r="E630" s="2417">
        <v>0</v>
      </c>
      <c r="F630" s="2464">
        <v>10000000</v>
      </c>
      <c r="G630" s="2464">
        <v>10000000</v>
      </c>
      <c r="H630" s="2464">
        <v>10000000</v>
      </c>
      <c r="I630" s="2464"/>
      <c r="J630" s="1707"/>
      <c r="K630" s="2526"/>
      <c r="L630" s="2464"/>
      <c r="M630" s="2466">
        <f>SUM(F630:K630)</f>
        <v>30000000</v>
      </c>
      <c r="N630" s="2466">
        <f>SUM(G630:L630)</f>
        <v>20000000</v>
      </c>
      <c r="O630" s="3039"/>
    </row>
    <row r="632" spans="1:15" hidden="1">
      <c r="B632" s="235" t="s">
        <v>408</v>
      </c>
    </row>
    <row r="633" spans="1:15" hidden="1">
      <c r="B633" s="235" t="s">
        <v>409</v>
      </c>
      <c r="D633" s="480">
        <f t="shared" ref="D633:L633" si="374">D405</f>
        <v>384389</v>
      </c>
      <c r="E633" s="480">
        <f t="shared" si="374"/>
        <v>0</v>
      </c>
      <c r="F633" s="480">
        <f t="shared" si="374"/>
        <v>45897</v>
      </c>
      <c r="G633" s="480">
        <f t="shared" si="374"/>
        <v>239058</v>
      </c>
      <c r="H633" s="480">
        <f t="shared" si="374"/>
        <v>99434</v>
      </c>
      <c r="I633" s="480">
        <f t="shared" si="374"/>
        <v>0</v>
      </c>
      <c r="J633" s="480">
        <f t="shared" si="374"/>
        <v>0</v>
      </c>
      <c r="K633" s="480">
        <f t="shared" si="374"/>
        <v>0</v>
      </c>
      <c r="L633" s="480">
        <f t="shared" si="374"/>
        <v>0</v>
      </c>
    </row>
    <row r="634" spans="1:15" hidden="1">
      <c r="B634" s="235" t="s">
        <v>410</v>
      </c>
      <c r="D634" s="480">
        <f t="shared" ref="D634:L634" si="375">D22-D405</f>
        <v>612114720</v>
      </c>
      <c r="E634" s="480">
        <f t="shared" si="375"/>
        <v>34852010</v>
      </c>
      <c r="F634" s="480">
        <f t="shared" si="375"/>
        <v>181684532</v>
      </c>
      <c r="G634" s="480">
        <f t="shared" si="375"/>
        <v>344621903</v>
      </c>
      <c r="H634" s="480">
        <f t="shared" si="375"/>
        <v>47822213</v>
      </c>
      <c r="I634" s="480">
        <f t="shared" si="375"/>
        <v>3134062</v>
      </c>
      <c r="J634" s="480">
        <f t="shared" si="375"/>
        <v>0</v>
      </c>
      <c r="K634" s="480">
        <f t="shared" si="375"/>
        <v>0</v>
      </c>
      <c r="L634" s="480">
        <f t="shared" si="375"/>
        <v>0</v>
      </c>
    </row>
    <row r="635" spans="1:15" hidden="1">
      <c r="B635" s="235" t="s">
        <v>411</v>
      </c>
      <c r="D635" s="1068">
        <f>D633+D634</f>
        <v>612499109</v>
      </c>
      <c r="E635" s="1068">
        <f t="shared" ref="E635:L635" si="376">E633+E634</f>
        <v>34852010</v>
      </c>
      <c r="F635" s="1068">
        <f t="shared" si="376"/>
        <v>181730429</v>
      </c>
      <c r="G635" s="1068">
        <f t="shared" si="376"/>
        <v>344860961</v>
      </c>
      <c r="H635" s="1068">
        <f t="shared" si="376"/>
        <v>47921647</v>
      </c>
      <c r="I635" s="1068">
        <f t="shared" si="376"/>
        <v>3134062</v>
      </c>
      <c r="J635" s="1068">
        <f t="shared" si="376"/>
        <v>0</v>
      </c>
      <c r="K635" s="1068">
        <f t="shared" si="376"/>
        <v>0</v>
      </c>
      <c r="L635" s="1068">
        <f t="shared" si="376"/>
        <v>0</v>
      </c>
    </row>
    <row r="636" spans="1:15" s="909" customFormat="1" hidden="1">
      <c r="B636" s="909" t="s">
        <v>42</v>
      </c>
      <c r="D636" s="906">
        <f t="shared" ref="D636:L636" si="377">D22-D635</f>
        <v>0</v>
      </c>
      <c r="E636" s="906">
        <f t="shared" si="377"/>
        <v>0</v>
      </c>
      <c r="F636" s="906">
        <f t="shared" si="377"/>
        <v>0</v>
      </c>
      <c r="G636" s="906">
        <f t="shared" si="377"/>
        <v>0</v>
      </c>
      <c r="H636" s="906">
        <f t="shared" si="377"/>
        <v>0</v>
      </c>
      <c r="I636" s="906">
        <f t="shared" si="377"/>
        <v>0</v>
      </c>
      <c r="J636" s="906">
        <f t="shared" si="377"/>
        <v>0</v>
      </c>
      <c r="K636" s="906">
        <f t="shared" si="377"/>
        <v>0</v>
      </c>
      <c r="L636" s="906">
        <f t="shared" si="377"/>
        <v>0</v>
      </c>
    </row>
    <row r="637" spans="1:15" hidden="1"/>
    <row r="638" spans="1:15" hidden="1"/>
    <row r="639" spans="1:15" hidden="1">
      <c r="B639" s="235" t="s">
        <v>514</v>
      </c>
    </row>
    <row r="640" spans="1:15" hidden="1">
      <c r="B640" s="235" t="s">
        <v>409</v>
      </c>
      <c r="D640" s="480">
        <f>D505+D567+D540+D612</f>
        <v>193269217</v>
      </c>
      <c r="E640" s="480">
        <f t="shared" ref="E640:L640" si="378">E505+E567+E540+E612</f>
        <v>56644776</v>
      </c>
      <c r="F640" s="480">
        <f t="shared" si="378"/>
        <v>47275084</v>
      </c>
      <c r="G640" s="480">
        <f t="shared" si="378"/>
        <v>29238187</v>
      </c>
      <c r="H640" s="480">
        <f t="shared" si="378"/>
        <v>30055585</v>
      </c>
      <c r="I640" s="480">
        <f t="shared" si="378"/>
        <v>30055585</v>
      </c>
      <c r="J640" s="480">
        <f t="shared" si="378"/>
        <v>0</v>
      </c>
      <c r="K640" s="480">
        <f t="shared" si="378"/>
        <v>0</v>
      </c>
      <c r="L640" s="480">
        <f t="shared" si="378"/>
        <v>0</v>
      </c>
    </row>
    <row r="641" spans="2:12" hidden="1">
      <c r="B641" s="235" t="s">
        <v>410</v>
      </c>
      <c r="D641" s="480">
        <f>D517+D620</f>
        <v>2423000</v>
      </c>
      <c r="E641" s="480">
        <f t="shared" ref="E641:L641" si="379">E517+E620</f>
        <v>0</v>
      </c>
      <c r="F641" s="480">
        <f t="shared" si="379"/>
        <v>2423000</v>
      </c>
      <c r="G641" s="480">
        <f t="shared" si="379"/>
        <v>0</v>
      </c>
      <c r="H641" s="480">
        <f t="shared" si="379"/>
        <v>0</v>
      </c>
      <c r="I641" s="480">
        <f t="shared" si="379"/>
        <v>0</v>
      </c>
      <c r="J641" s="480">
        <f t="shared" si="379"/>
        <v>0</v>
      </c>
      <c r="K641" s="480">
        <f t="shared" si="379"/>
        <v>0</v>
      </c>
      <c r="L641" s="480">
        <f t="shared" si="379"/>
        <v>0</v>
      </c>
    </row>
    <row r="642" spans="2:12" hidden="1">
      <c r="B642" s="235" t="s">
        <v>411</v>
      </c>
      <c r="D642" s="1068">
        <f>D640+D641</f>
        <v>195692217</v>
      </c>
      <c r="E642" s="1068">
        <f t="shared" ref="E642:L642" si="380">E640+E641</f>
        <v>56644776</v>
      </c>
      <c r="F642" s="1068">
        <f t="shared" si="380"/>
        <v>49698084</v>
      </c>
      <c r="G642" s="1068">
        <f t="shared" si="380"/>
        <v>29238187</v>
      </c>
      <c r="H642" s="1068">
        <f t="shared" si="380"/>
        <v>30055585</v>
      </c>
      <c r="I642" s="1068">
        <f t="shared" si="380"/>
        <v>30055585</v>
      </c>
      <c r="J642" s="1068">
        <f t="shared" si="380"/>
        <v>0</v>
      </c>
      <c r="K642" s="1068">
        <f t="shared" si="380"/>
        <v>0</v>
      </c>
      <c r="L642" s="1068">
        <f t="shared" si="380"/>
        <v>0</v>
      </c>
    </row>
    <row r="643" spans="2:12" s="909" customFormat="1" hidden="1">
      <c r="B643" s="909" t="s">
        <v>42</v>
      </c>
      <c r="D643" s="906">
        <f>D494-D642</f>
        <v>0</v>
      </c>
      <c r="E643" s="906">
        <f t="shared" ref="E643:L643" si="381">E494-E642</f>
        <v>0</v>
      </c>
      <c r="F643" s="906">
        <f t="shared" si="381"/>
        <v>0</v>
      </c>
      <c r="G643" s="906">
        <f t="shared" si="381"/>
        <v>0</v>
      </c>
      <c r="H643" s="906">
        <f t="shared" si="381"/>
        <v>0</v>
      </c>
      <c r="I643" s="906">
        <f t="shared" si="381"/>
        <v>0</v>
      </c>
      <c r="J643" s="906">
        <f t="shared" si="381"/>
        <v>0</v>
      </c>
      <c r="K643" s="906">
        <f t="shared" si="381"/>
        <v>0</v>
      </c>
      <c r="L643" s="906">
        <f t="shared" si="381"/>
        <v>0</v>
      </c>
    </row>
    <row r="644" spans="2:12" hidden="1"/>
    <row r="645" spans="2:12" hidden="1"/>
  </sheetData>
  <mergeCells count="354">
    <mergeCell ref="A252:A263"/>
    <mergeCell ref="O252:O258"/>
    <mergeCell ref="C254:C258"/>
    <mergeCell ref="M259:M263"/>
    <mergeCell ref="N259:N263"/>
    <mergeCell ref="O259:O263"/>
    <mergeCell ref="C260:C263"/>
    <mergeCell ref="C621:C622"/>
    <mergeCell ref="A615:A622"/>
    <mergeCell ref="C617:C619"/>
    <mergeCell ref="O615:O622"/>
    <mergeCell ref="A357:A365"/>
    <mergeCell ref="A423:A438"/>
    <mergeCell ref="C406:C407"/>
    <mergeCell ref="C449:C456"/>
    <mergeCell ref="O475:O483"/>
    <mergeCell ref="C477:C480"/>
    <mergeCell ref="C522:C523"/>
    <mergeCell ref="A524:A527"/>
    <mergeCell ref="O524:O527"/>
    <mergeCell ref="C526:C527"/>
    <mergeCell ref="O508:O511"/>
    <mergeCell ref="C510:C511"/>
    <mergeCell ref="O466:O474"/>
    <mergeCell ref="P114:P120"/>
    <mergeCell ref="P158:P162"/>
    <mergeCell ref="P170:P174"/>
    <mergeCell ref="A623:A626"/>
    <mergeCell ref="O623:O626"/>
    <mergeCell ref="C625:C626"/>
    <mergeCell ref="O500:O507"/>
    <mergeCell ref="O204:O210"/>
    <mergeCell ref="A216:A227"/>
    <mergeCell ref="O216:O222"/>
    <mergeCell ref="C218:C222"/>
    <mergeCell ref="N223:N227"/>
    <mergeCell ref="O223:O227"/>
    <mergeCell ref="C224:C227"/>
    <mergeCell ref="O457:O465"/>
    <mergeCell ref="C459:C462"/>
    <mergeCell ref="A326:A334"/>
    <mergeCell ref="O326:O331"/>
    <mergeCell ref="C328:C331"/>
    <mergeCell ref="A384:A392"/>
    <mergeCell ref="O543:O546"/>
    <mergeCell ref="C545:C547"/>
    <mergeCell ref="A457:A465"/>
    <mergeCell ref="A439:A456"/>
    <mergeCell ref="N448:N456"/>
    <mergeCell ref="C410:C416"/>
    <mergeCell ref="C421:C422"/>
    <mergeCell ref="N420:N422"/>
    <mergeCell ref="O423:O437"/>
    <mergeCell ref="C333:C334"/>
    <mergeCell ref="O271:O275"/>
    <mergeCell ref="C395:C401"/>
    <mergeCell ref="N405:N407"/>
    <mergeCell ref="N283:N287"/>
    <mergeCell ref="C284:C287"/>
    <mergeCell ref="M372:M374"/>
    <mergeCell ref="M381:M383"/>
    <mergeCell ref="M390:M392"/>
    <mergeCell ref="M295:M299"/>
    <mergeCell ref="M321:M325"/>
    <mergeCell ref="M332:M334"/>
    <mergeCell ref="O381:O383"/>
    <mergeCell ref="C382:C383"/>
    <mergeCell ref="N390:N392"/>
    <mergeCell ref="C302:C307"/>
    <mergeCell ref="C309:C313"/>
    <mergeCell ref="C353:C356"/>
    <mergeCell ref="C377:C380"/>
    <mergeCell ref="N381:N383"/>
    <mergeCell ref="C359:C362"/>
    <mergeCell ref="O357:O362"/>
    <mergeCell ref="O390:O392"/>
    <mergeCell ref="P276:R276"/>
    <mergeCell ref="A393:A407"/>
    <mergeCell ref="A595:A598"/>
    <mergeCell ref="O595:O598"/>
    <mergeCell ref="C597:C598"/>
    <mergeCell ref="C296:C299"/>
    <mergeCell ref="A336:A344"/>
    <mergeCell ref="O336:O341"/>
    <mergeCell ref="C338:C341"/>
    <mergeCell ref="O342:O344"/>
    <mergeCell ref="C343:C344"/>
    <mergeCell ref="O393:O407"/>
    <mergeCell ref="A345:A356"/>
    <mergeCell ref="O345:O351"/>
    <mergeCell ref="A485:A496"/>
    <mergeCell ref="O490:O499"/>
    <mergeCell ref="A375:A383"/>
    <mergeCell ref="O375:O380"/>
    <mergeCell ref="O352:O356"/>
    <mergeCell ref="N432:N438"/>
    <mergeCell ref="O300:O313"/>
    <mergeCell ref="O276:O287"/>
    <mergeCell ref="A300:A313"/>
    <mergeCell ref="O548:O550"/>
    <mergeCell ref="A113:A127"/>
    <mergeCell ref="O114:O120"/>
    <mergeCell ref="C115:C120"/>
    <mergeCell ref="O54:O60"/>
    <mergeCell ref="A79:A90"/>
    <mergeCell ref="O80:O85"/>
    <mergeCell ref="C81:C85"/>
    <mergeCell ref="O86:O90"/>
    <mergeCell ref="C87:C90"/>
    <mergeCell ref="C55:C60"/>
    <mergeCell ref="A67:A78"/>
    <mergeCell ref="O61:O66"/>
    <mergeCell ref="C62:C66"/>
    <mergeCell ref="O68:O73"/>
    <mergeCell ref="O74:O78"/>
    <mergeCell ref="N74:N78"/>
    <mergeCell ref="C93:C97"/>
    <mergeCell ref="O98:O102"/>
    <mergeCell ref="C99:C102"/>
    <mergeCell ref="N98:N102"/>
    <mergeCell ref="C200:C203"/>
    <mergeCell ref="O187:O191"/>
    <mergeCell ref="C188:C191"/>
    <mergeCell ref="A192:A203"/>
    <mergeCell ref="O151:O155"/>
    <mergeCell ref="A180:A191"/>
    <mergeCell ref="O181:O186"/>
    <mergeCell ref="C182:C186"/>
    <mergeCell ref="N187:N191"/>
    <mergeCell ref="O157:O162"/>
    <mergeCell ref="C158:C162"/>
    <mergeCell ref="N163:N167"/>
    <mergeCell ref="O163:O167"/>
    <mergeCell ref="C164:C167"/>
    <mergeCell ref="A168:A179"/>
    <mergeCell ref="A53:A66"/>
    <mergeCell ref="N61:N66"/>
    <mergeCell ref="O145:O150"/>
    <mergeCell ref="A91:A102"/>
    <mergeCell ref="O92:O97"/>
    <mergeCell ref="C75:C78"/>
    <mergeCell ref="O121:O127"/>
    <mergeCell ref="C122:C127"/>
    <mergeCell ref="M121:M127"/>
    <mergeCell ref="N109:N111"/>
    <mergeCell ref="A128:A143"/>
    <mergeCell ref="C69:C72"/>
    <mergeCell ref="N86:N90"/>
    <mergeCell ref="A3:O3"/>
    <mergeCell ref="C5:C6"/>
    <mergeCell ref="D5:D6"/>
    <mergeCell ref="O5:O6"/>
    <mergeCell ref="A8:A33"/>
    <mergeCell ref="N5:N6"/>
    <mergeCell ref="N22:N33"/>
    <mergeCell ref="N43:N51"/>
    <mergeCell ref="G5:L5"/>
    <mergeCell ref="F5:F6"/>
    <mergeCell ref="M5:M6"/>
    <mergeCell ref="M22:M33"/>
    <mergeCell ref="M43:M51"/>
    <mergeCell ref="N211:N215"/>
    <mergeCell ref="O211:O215"/>
    <mergeCell ref="C212:C215"/>
    <mergeCell ref="A204:A215"/>
    <mergeCell ref="C206:C210"/>
    <mergeCell ref="O137:O143"/>
    <mergeCell ref="C138:C143"/>
    <mergeCell ref="A103:A111"/>
    <mergeCell ref="O104:O108"/>
    <mergeCell ref="C105:C108"/>
    <mergeCell ref="O109:O111"/>
    <mergeCell ref="C110:C111"/>
    <mergeCell ref="N151:N155"/>
    <mergeCell ref="N121:N127"/>
    <mergeCell ref="N137:N143"/>
    <mergeCell ref="A144:A155"/>
    <mergeCell ref="C146:C150"/>
    <mergeCell ref="C152:C155"/>
    <mergeCell ref="O129:O136"/>
    <mergeCell ref="C130:C136"/>
    <mergeCell ref="O193:O198"/>
    <mergeCell ref="C194:C198"/>
    <mergeCell ref="N199:N203"/>
    <mergeCell ref="O199:O203"/>
    <mergeCell ref="A240:A251"/>
    <mergeCell ref="C176:C179"/>
    <mergeCell ref="A228:A239"/>
    <mergeCell ref="O288:O299"/>
    <mergeCell ref="A264:A275"/>
    <mergeCell ref="A156:A167"/>
    <mergeCell ref="A366:A374"/>
    <mergeCell ref="C368:C371"/>
    <mergeCell ref="N363:N365"/>
    <mergeCell ref="C364:C365"/>
    <mergeCell ref="A288:A299"/>
    <mergeCell ref="C347:C351"/>
    <mergeCell ref="A314:A325"/>
    <mergeCell ref="A276:A287"/>
    <mergeCell ref="C278:C282"/>
    <mergeCell ref="O169:O174"/>
    <mergeCell ref="C170:C174"/>
    <mergeCell ref="O175:O179"/>
    <mergeCell ref="O363:O365"/>
    <mergeCell ref="O228:O234"/>
    <mergeCell ref="C230:C234"/>
    <mergeCell ref="N175:N179"/>
    <mergeCell ref="C266:C270"/>
    <mergeCell ref="C236:C239"/>
    <mergeCell ref="O240:O246"/>
    <mergeCell ref="C242:C246"/>
    <mergeCell ref="O247:O251"/>
    <mergeCell ref="C248:C251"/>
    <mergeCell ref="O366:O371"/>
    <mergeCell ref="O372:O374"/>
    <mergeCell ref="N463:N465"/>
    <mergeCell ref="C391:C392"/>
    <mergeCell ref="O439:O455"/>
    <mergeCell ref="C441:C444"/>
    <mergeCell ref="N372:N374"/>
    <mergeCell ref="C373:C374"/>
    <mergeCell ref="O314:O320"/>
    <mergeCell ref="O384:O389"/>
    <mergeCell ref="N271:N275"/>
    <mergeCell ref="N321:N325"/>
    <mergeCell ref="N332:N334"/>
    <mergeCell ref="N342:N344"/>
    <mergeCell ref="N247:N251"/>
    <mergeCell ref="O264:O270"/>
    <mergeCell ref="C272:C275"/>
    <mergeCell ref="C290:C294"/>
    <mergeCell ref="N295:N299"/>
    <mergeCell ref="C386:C389"/>
    <mergeCell ref="N235:N239"/>
    <mergeCell ref="O235:O239"/>
    <mergeCell ref="C464:C465"/>
    <mergeCell ref="N352:N356"/>
    <mergeCell ref="A536:A542"/>
    <mergeCell ref="O555:O557"/>
    <mergeCell ref="C556:C557"/>
    <mergeCell ref="A512:A519"/>
    <mergeCell ref="O512:O519"/>
    <mergeCell ref="C514:C516"/>
    <mergeCell ref="C518:C519"/>
    <mergeCell ref="N517:N519"/>
    <mergeCell ref="A520:A523"/>
    <mergeCell ref="A528:A535"/>
    <mergeCell ref="O528:O531"/>
    <mergeCell ref="C530:C532"/>
    <mergeCell ref="O533:O535"/>
    <mergeCell ref="C534:C535"/>
    <mergeCell ref="O536:O539"/>
    <mergeCell ref="C538:C539"/>
    <mergeCell ref="A551:A557"/>
    <mergeCell ref="N555:N557"/>
    <mergeCell ref="A543:A550"/>
    <mergeCell ref="C549:C550"/>
    <mergeCell ref="O520:O523"/>
    <mergeCell ref="N533:N535"/>
    <mergeCell ref="N540:N542"/>
    <mergeCell ref="C482:C483"/>
    <mergeCell ref="N472:N474"/>
    <mergeCell ref="N481:N483"/>
    <mergeCell ref="N494:N499"/>
    <mergeCell ref="C502:C503"/>
    <mergeCell ref="A466:A474"/>
    <mergeCell ref="A500:A507"/>
    <mergeCell ref="N505:N507"/>
    <mergeCell ref="A508:A511"/>
    <mergeCell ref="A475:A483"/>
    <mergeCell ref="C506:C507"/>
    <mergeCell ref="M472:M474"/>
    <mergeCell ref="M481:M483"/>
    <mergeCell ref="M494:M499"/>
    <mergeCell ref="M505:M507"/>
    <mergeCell ref="M533:M535"/>
    <mergeCell ref="M540:M542"/>
    <mergeCell ref="A603:A606"/>
    <mergeCell ref="O603:O606"/>
    <mergeCell ref="C605:C606"/>
    <mergeCell ref="O591:O594"/>
    <mergeCell ref="C593:C594"/>
    <mergeCell ref="C581:C582"/>
    <mergeCell ref="A558:A561"/>
    <mergeCell ref="O558:O561"/>
    <mergeCell ref="C560:C561"/>
    <mergeCell ref="A562:A570"/>
    <mergeCell ref="O599:O602"/>
    <mergeCell ref="C601:C602"/>
    <mergeCell ref="A591:A594"/>
    <mergeCell ref="C568:C570"/>
    <mergeCell ref="M567:M570"/>
    <mergeCell ref="M580:M582"/>
    <mergeCell ref="M588:M590"/>
    <mergeCell ref="O612:O614"/>
    <mergeCell ref="N612:N614"/>
    <mergeCell ref="O562:O570"/>
    <mergeCell ref="M61:M66"/>
    <mergeCell ref="M74:M78"/>
    <mergeCell ref="M86:M90"/>
    <mergeCell ref="M98:M102"/>
    <mergeCell ref="M109:M111"/>
    <mergeCell ref="M137:M143"/>
    <mergeCell ref="M151:M155"/>
    <mergeCell ref="M163:M167"/>
    <mergeCell ref="M175:M179"/>
    <mergeCell ref="M187:M191"/>
    <mergeCell ref="M199:M203"/>
    <mergeCell ref="M211:M215"/>
    <mergeCell ref="M223:M227"/>
    <mergeCell ref="M235:M239"/>
    <mergeCell ref="M247:M251"/>
    <mergeCell ref="M271:M275"/>
    <mergeCell ref="M283:M287"/>
    <mergeCell ref="N548:N550"/>
    <mergeCell ref="N567:N570"/>
    <mergeCell ref="N580:N582"/>
    <mergeCell ref="O332:O334"/>
    <mergeCell ref="A627:A630"/>
    <mergeCell ref="O627:O630"/>
    <mergeCell ref="C629:C630"/>
    <mergeCell ref="C585:C587"/>
    <mergeCell ref="A575:A582"/>
    <mergeCell ref="C564:C565"/>
    <mergeCell ref="N620:N622"/>
    <mergeCell ref="C541:C542"/>
    <mergeCell ref="O551:O554"/>
    <mergeCell ref="C553:C554"/>
    <mergeCell ref="A583:A590"/>
    <mergeCell ref="O583:O590"/>
    <mergeCell ref="O575:O582"/>
    <mergeCell ref="C589:C590"/>
    <mergeCell ref="A571:A574"/>
    <mergeCell ref="N588:N590"/>
    <mergeCell ref="O571:O574"/>
    <mergeCell ref="C577:C579"/>
    <mergeCell ref="A599:A602"/>
    <mergeCell ref="M620:M622"/>
    <mergeCell ref="C613:C614"/>
    <mergeCell ref="A607:A614"/>
    <mergeCell ref="C609:C611"/>
    <mergeCell ref="O607:O611"/>
    <mergeCell ref="M612:M614"/>
    <mergeCell ref="M342:M344"/>
    <mergeCell ref="M352:M356"/>
    <mergeCell ref="M363:M365"/>
    <mergeCell ref="M405:M407"/>
    <mergeCell ref="M420:M422"/>
    <mergeCell ref="M432:M438"/>
    <mergeCell ref="M448:M456"/>
    <mergeCell ref="M463:M465"/>
    <mergeCell ref="M517:M519"/>
    <mergeCell ref="M548:M550"/>
    <mergeCell ref="M555:M557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0" firstPageNumber="16" orientation="landscape" useFirstPageNumber="1" r:id="rId1"/>
  <headerFooter alignWithMargins="0">
    <oddHeader>&amp;C&amp;"Arial,Kursywa"Wieloletnia prognoza finansowa  Województwa Zachodniopomorskiego&amp;"Arial,Normalny"
_______________________________________________________________________________________________________________________________</oddHeader>
    <oddFooter>&amp;C&amp;8&amp;P</oddFooter>
  </headerFooter>
  <rowBreaks count="7" manualBreakCount="7">
    <brk id="111" max="14" man="1"/>
    <brk id="191" max="14" man="1"/>
    <brk id="239" max="14" man="1"/>
    <brk id="313" max="14" man="1"/>
    <brk id="365" max="14" man="1"/>
    <brk id="483" max="14" man="1"/>
    <brk id="561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S181"/>
  <sheetViews>
    <sheetView showGridLines="0" view="pageBreakPreview" topLeftCell="A4" zoomScaleSheetLayoutView="100" workbookViewId="0">
      <pane ySplit="3" topLeftCell="A7" activePane="bottomLeft" state="frozen"/>
      <selection activeCell="L250" sqref="L250"/>
      <selection pane="bottomLeft" activeCell="I174" sqref="I174:I181"/>
    </sheetView>
  </sheetViews>
  <sheetFormatPr defaultColWidth="9.140625" defaultRowHeight="12.75"/>
  <cols>
    <col min="1" max="1" width="4" style="405" customWidth="1"/>
    <col min="2" max="2" width="53.42578125" style="406" customWidth="1"/>
    <col min="3" max="3" width="10.42578125" style="406" customWidth="1"/>
    <col min="4" max="4" width="14.5703125" style="406" customWidth="1"/>
    <col min="5" max="5" width="12.85546875" style="406" customWidth="1"/>
    <col min="6" max="6" width="10.42578125" style="406" customWidth="1"/>
    <col min="7" max="7" width="10.85546875" style="406" customWidth="1"/>
    <col min="8" max="8" width="11.140625" style="406" customWidth="1"/>
    <col min="9" max="9" width="11.5703125" style="406" customWidth="1"/>
    <col min="10" max="10" width="10" style="406" customWidth="1"/>
    <col min="11" max="12" width="9.42578125" style="406" bestFit="1" customWidth="1"/>
    <col min="13" max="13" width="12.7109375" style="406" hidden="1" customWidth="1"/>
    <col min="14" max="14" width="12.7109375" style="406" customWidth="1"/>
    <col min="15" max="15" width="14.5703125" style="406" customWidth="1"/>
    <col min="16" max="16" width="14" style="406" hidden="1" customWidth="1"/>
    <col min="17" max="17" width="12.140625" style="406" hidden="1" customWidth="1"/>
    <col min="18" max="18" width="9.5703125" style="406" hidden="1" customWidth="1"/>
    <col min="19" max="19" width="14.28515625" style="406" customWidth="1"/>
    <col min="20" max="20" width="12" style="406" customWidth="1"/>
    <col min="21" max="22" width="9.140625" style="406"/>
    <col min="23" max="23" width="12.5703125" style="406" customWidth="1"/>
    <col min="24" max="16384" width="9.140625" style="406"/>
  </cols>
  <sheetData>
    <row r="1" spans="1:17" s="404" customFormat="1" ht="17.25" customHeight="1">
      <c r="A1" s="2051"/>
      <c r="B1" s="2051"/>
      <c r="C1" s="2051"/>
      <c r="D1" s="2051"/>
      <c r="E1" s="2051"/>
      <c r="F1" s="2051"/>
      <c r="G1" s="2051"/>
      <c r="H1" s="2051"/>
      <c r="I1" s="325" t="s">
        <v>116</v>
      </c>
      <c r="J1" s="325"/>
      <c r="K1" s="325"/>
      <c r="L1" s="325"/>
      <c r="M1" s="6"/>
      <c r="N1" s="6"/>
      <c r="O1" s="7"/>
      <c r="P1" s="440"/>
    </row>
    <row r="2" spans="1:17" ht="12.75" customHeight="1">
      <c r="A2" s="2051"/>
      <c r="B2" s="2051"/>
      <c r="C2" s="205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7"/>
      <c r="P2" s="441"/>
    </row>
    <row r="3" spans="1:17" ht="34.5" customHeight="1" thickBot="1">
      <c r="A3" s="3258" t="s">
        <v>117</v>
      </c>
      <c r="B3" s="3259"/>
      <c r="C3" s="3259"/>
      <c r="D3" s="3259"/>
      <c r="E3" s="3259"/>
      <c r="F3" s="3259"/>
      <c r="G3" s="3259"/>
      <c r="H3" s="3259"/>
      <c r="I3" s="3259"/>
      <c r="J3" s="3259"/>
      <c r="K3" s="3259"/>
      <c r="L3" s="3259"/>
      <c r="M3" s="3259"/>
      <c r="N3" s="3259"/>
      <c r="O3" s="3260"/>
      <c r="P3" s="405"/>
    </row>
    <row r="4" spans="1:17" ht="55.5" customHeight="1">
      <c r="A4" s="3270" t="s">
        <v>74</v>
      </c>
      <c r="B4" s="3268" t="s">
        <v>75</v>
      </c>
      <c r="C4" s="3261" t="s">
        <v>71</v>
      </c>
      <c r="D4" s="3261" t="s">
        <v>118</v>
      </c>
      <c r="E4" s="2869" t="s">
        <v>263</v>
      </c>
      <c r="F4" s="3149" t="s">
        <v>533</v>
      </c>
      <c r="G4" s="3146" t="s">
        <v>474</v>
      </c>
      <c r="H4" s="3147"/>
      <c r="I4" s="3147"/>
      <c r="J4" s="3147"/>
      <c r="K4" s="3147"/>
      <c r="L4" s="3148"/>
      <c r="M4" s="3266" t="s">
        <v>495</v>
      </c>
      <c r="N4" s="3266" t="s">
        <v>475</v>
      </c>
      <c r="O4" s="3264" t="s">
        <v>73</v>
      </c>
      <c r="P4" s="535"/>
    </row>
    <row r="5" spans="1:17" ht="16.5" customHeight="1" thickBot="1">
      <c r="A5" s="3271"/>
      <c r="B5" s="3269"/>
      <c r="C5" s="3262"/>
      <c r="D5" s="3263"/>
      <c r="E5" s="2871" t="s">
        <v>453</v>
      </c>
      <c r="F5" s="3150"/>
      <c r="G5" s="2868" t="s">
        <v>6</v>
      </c>
      <c r="H5" s="2868" t="s">
        <v>207</v>
      </c>
      <c r="I5" s="2868" t="s">
        <v>209</v>
      </c>
      <c r="J5" s="2868" t="s">
        <v>254</v>
      </c>
      <c r="K5" s="2868" t="s">
        <v>255</v>
      </c>
      <c r="L5" s="2868" t="s">
        <v>253</v>
      </c>
      <c r="M5" s="3267"/>
      <c r="N5" s="3267"/>
      <c r="O5" s="3265"/>
      <c r="P5" s="535"/>
    </row>
    <row r="6" spans="1:17" ht="13.5" customHeight="1">
      <c r="A6" s="1120">
        <v>1</v>
      </c>
      <c r="B6" s="1121">
        <v>2</v>
      </c>
      <c r="C6" s="1122" t="s">
        <v>119</v>
      </c>
      <c r="D6" s="1122" t="s">
        <v>120</v>
      </c>
      <c r="E6" s="1122">
        <v>5</v>
      </c>
      <c r="F6" s="1122">
        <v>6</v>
      </c>
      <c r="G6" s="1122">
        <v>7</v>
      </c>
      <c r="H6" s="1122">
        <v>8</v>
      </c>
      <c r="I6" s="1122">
        <v>9</v>
      </c>
      <c r="J6" s="1122">
        <v>10</v>
      </c>
      <c r="K6" s="1122">
        <v>11</v>
      </c>
      <c r="L6" s="1122">
        <v>12</v>
      </c>
      <c r="M6" s="1123">
        <v>13</v>
      </c>
      <c r="N6" s="1123">
        <v>13</v>
      </c>
      <c r="O6" s="1124">
        <v>14</v>
      </c>
      <c r="P6" s="535"/>
    </row>
    <row r="7" spans="1:17" ht="14.25" customHeight="1">
      <c r="A7" s="540"/>
      <c r="B7" s="1125" t="s">
        <v>76</v>
      </c>
      <c r="C7" s="1125"/>
      <c r="D7" s="1126">
        <f>+D8+D9</f>
        <v>103114163</v>
      </c>
      <c r="E7" s="1126">
        <f t="shared" ref="E7" si="0">+E8+E9</f>
        <v>10494544</v>
      </c>
      <c r="F7" s="1126">
        <f t="shared" ref="F7:G7" si="1">+F8+F9</f>
        <v>13142204</v>
      </c>
      <c r="G7" s="1126">
        <f t="shared" si="1"/>
        <v>22699118</v>
      </c>
      <c r="H7" s="1126">
        <f t="shared" ref="H7:N7" si="2">+H8+H9</f>
        <v>17570042</v>
      </c>
      <c r="I7" s="1126">
        <f t="shared" si="2"/>
        <v>12568152</v>
      </c>
      <c r="J7" s="1126">
        <f t="shared" si="2"/>
        <v>9597275</v>
      </c>
      <c r="K7" s="1126">
        <f t="shared" si="2"/>
        <v>8877275</v>
      </c>
      <c r="L7" s="1126">
        <f t="shared" si="2"/>
        <v>8165553</v>
      </c>
      <c r="M7" s="1127">
        <f t="shared" ref="M7" si="3">+M8+M9</f>
        <v>91459389</v>
      </c>
      <c r="N7" s="1127">
        <f t="shared" si="2"/>
        <v>79477415</v>
      </c>
      <c r="O7" s="1128"/>
      <c r="P7" s="536">
        <f>+N7-N10</f>
        <v>0</v>
      </c>
      <c r="Q7" s="407"/>
    </row>
    <row r="8" spans="1:17" ht="13.5" customHeight="1">
      <c r="A8" s="448"/>
      <c r="B8" s="1125" t="s">
        <v>77</v>
      </c>
      <c r="C8" s="1125"/>
      <c r="D8" s="1126">
        <f>+D24+D44+D85+D61+D109+D122+D144</f>
        <v>102579034</v>
      </c>
      <c r="E8" s="1126">
        <f t="shared" ref="E8:L8" si="4">+E24+E44+E85+E61+E109+E122+E144</f>
        <v>10468589</v>
      </c>
      <c r="F8" s="1126">
        <f t="shared" si="4"/>
        <v>13039653</v>
      </c>
      <c r="G8" s="1126">
        <f t="shared" si="4"/>
        <v>22380495</v>
      </c>
      <c r="H8" s="1126">
        <f t="shared" si="4"/>
        <v>17499042</v>
      </c>
      <c r="I8" s="1126">
        <f t="shared" si="4"/>
        <v>12551152</v>
      </c>
      <c r="J8" s="1126">
        <f t="shared" si="4"/>
        <v>9597275</v>
      </c>
      <c r="K8" s="1126">
        <f t="shared" si="4"/>
        <v>8877275</v>
      </c>
      <c r="L8" s="1126">
        <f t="shared" si="4"/>
        <v>8165553</v>
      </c>
      <c r="M8" s="1127">
        <f>+M24+M44+M85+M61+M109+M122</f>
        <v>90956165</v>
      </c>
      <c r="N8" s="1127">
        <f>+N24+N44+N85+N61+N109+N122+N144</f>
        <v>79070792</v>
      </c>
      <c r="O8" s="1128"/>
      <c r="P8" s="536"/>
      <c r="Q8" s="407"/>
    </row>
    <row r="9" spans="1:17" ht="13.5" customHeight="1">
      <c r="A9" s="448"/>
      <c r="B9" s="1129" t="s">
        <v>9</v>
      </c>
      <c r="C9" s="1130"/>
      <c r="D9" s="1131">
        <f>+D73+D97+D134+D162</f>
        <v>535129</v>
      </c>
      <c r="E9" s="1131">
        <f t="shared" ref="E9:N9" si="5">+E73+E97+E134+E162</f>
        <v>25955</v>
      </c>
      <c r="F9" s="1131">
        <f t="shared" si="5"/>
        <v>102551</v>
      </c>
      <c r="G9" s="1131">
        <f t="shared" si="5"/>
        <v>318623</v>
      </c>
      <c r="H9" s="1131">
        <f t="shared" si="5"/>
        <v>71000</v>
      </c>
      <c r="I9" s="1131">
        <f t="shared" si="5"/>
        <v>17000</v>
      </c>
      <c r="J9" s="1131">
        <f t="shared" si="5"/>
        <v>0</v>
      </c>
      <c r="K9" s="1131">
        <f t="shared" si="5"/>
        <v>0</v>
      </c>
      <c r="L9" s="1131">
        <f t="shared" si="5"/>
        <v>0</v>
      </c>
      <c r="M9" s="1131">
        <f t="shared" si="5"/>
        <v>503224</v>
      </c>
      <c r="N9" s="1127">
        <f t="shared" si="5"/>
        <v>406623</v>
      </c>
      <c r="O9" s="1128"/>
      <c r="P9" s="535"/>
    </row>
    <row r="10" spans="1:17" ht="13.5" customHeight="1">
      <c r="A10" s="448"/>
      <c r="B10" s="1023" t="s">
        <v>10</v>
      </c>
      <c r="C10" s="1023"/>
      <c r="D10" s="1132">
        <f>+D11+D14</f>
        <v>103114163</v>
      </c>
      <c r="E10" s="1132">
        <f t="shared" ref="E10" si="6">E11+E14</f>
        <v>10494544</v>
      </c>
      <c r="F10" s="1132">
        <f t="shared" ref="F10:I10" si="7">F11+F14</f>
        <v>13142204</v>
      </c>
      <c r="G10" s="1132">
        <f t="shared" si="7"/>
        <v>22699118</v>
      </c>
      <c r="H10" s="1132">
        <f t="shared" si="7"/>
        <v>17570042</v>
      </c>
      <c r="I10" s="1132">
        <f t="shared" si="7"/>
        <v>12568152</v>
      </c>
      <c r="J10" s="1132">
        <f>J11+J14</f>
        <v>9597275</v>
      </c>
      <c r="K10" s="1132">
        <f>K11+K14</f>
        <v>8877275</v>
      </c>
      <c r="L10" s="1132">
        <f>L11+L14</f>
        <v>8165553</v>
      </c>
      <c r="M10" s="1021">
        <f>M11+M14</f>
        <v>92619619</v>
      </c>
      <c r="N10" s="1021">
        <f>N11+N14</f>
        <v>79477415</v>
      </c>
      <c r="O10" s="1133"/>
      <c r="P10" s="536"/>
      <c r="Q10" s="407"/>
    </row>
    <row r="11" spans="1:17" s="408" customFormat="1" ht="13.5" customHeight="1">
      <c r="A11" s="448"/>
      <c r="B11" s="1134" t="s">
        <v>24</v>
      </c>
      <c r="C11" s="1134"/>
      <c r="D11" s="1135">
        <f>D12+D13</f>
        <v>13497106</v>
      </c>
      <c r="E11" s="1135">
        <f t="shared" ref="E11" si="8">E12+E13</f>
        <v>1587046</v>
      </c>
      <c r="F11" s="1135">
        <f t="shared" ref="F11:I11" si="9">F12+F13</f>
        <v>1904376</v>
      </c>
      <c r="G11" s="1135">
        <f t="shared" si="9"/>
        <v>2206994</v>
      </c>
      <c r="H11" s="1135">
        <f>H12+H13</f>
        <v>1989959</v>
      </c>
      <c r="I11" s="1135">
        <f t="shared" si="9"/>
        <v>1812714</v>
      </c>
      <c r="J11" s="1135">
        <f>J12+J13</f>
        <v>1439591</v>
      </c>
      <c r="K11" s="1135">
        <f>K12+K13</f>
        <v>1331592</v>
      </c>
      <c r="L11" s="1135">
        <f>L12+L13</f>
        <v>1224834</v>
      </c>
      <c r="M11" s="1136">
        <f>M12+M13</f>
        <v>11910060</v>
      </c>
      <c r="N11" s="1136">
        <f>N12+N13</f>
        <v>10005684</v>
      </c>
      <c r="O11" s="1128"/>
      <c r="P11" s="537"/>
    </row>
    <row r="12" spans="1:17" ht="12.75" customHeight="1">
      <c r="A12" s="448"/>
      <c r="B12" s="1137" t="s">
        <v>12</v>
      </c>
      <c r="C12" s="1137"/>
      <c r="D12" s="1138">
        <f>D46+D87+D63+D75+D26+D99+D111+D146+D164</f>
        <v>13370728</v>
      </c>
      <c r="E12" s="1138">
        <f t="shared" ref="E12:L12" si="10">E46+E87+E63+E75+E26+E99+E111+E146+E164</f>
        <v>1587046</v>
      </c>
      <c r="F12" s="1138">
        <f t="shared" si="10"/>
        <v>1904376</v>
      </c>
      <c r="G12" s="1138">
        <f t="shared" si="10"/>
        <v>2135750</v>
      </c>
      <c r="H12" s="1138">
        <f t="shared" si="10"/>
        <v>1934825</v>
      </c>
      <c r="I12" s="1138">
        <f t="shared" si="10"/>
        <v>1812714</v>
      </c>
      <c r="J12" s="1138">
        <f t="shared" si="10"/>
        <v>1439591</v>
      </c>
      <c r="K12" s="1138">
        <f t="shared" si="10"/>
        <v>1331592</v>
      </c>
      <c r="L12" s="1138">
        <f t="shared" si="10"/>
        <v>1224834</v>
      </c>
      <c r="M12" s="1139">
        <f>SUM(F12:L12)</f>
        <v>11783682</v>
      </c>
      <c r="N12" s="1139">
        <f>SUM(G12:L12)</f>
        <v>9879306</v>
      </c>
      <c r="O12" s="1128"/>
      <c r="P12" s="536"/>
    </row>
    <row r="13" spans="1:17" ht="13.5" customHeight="1">
      <c r="A13" s="448"/>
      <c r="B13" s="2872" t="s">
        <v>13</v>
      </c>
      <c r="C13" s="1137"/>
      <c r="D13" s="788">
        <f>D49+D30+D76+D149+D165</f>
        <v>126378</v>
      </c>
      <c r="E13" s="788">
        <f t="shared" ref="E13:L13" si="11">E49+E30+E76+E149+E165</f>
        <v>0</v>
      </c>
      <c r="F13" s="788">
        <f t="shared" si="11"/>
        <v>0</v>
      </c>
      <c r="G13" s="788">
        <f t="shared" si="11"/>
        <v>71244</v>
      </c>
      <c r="H13" s="788">
        <f t="shared" si="11"/>
        <v>55134</v>
      </c>
      <c r="I13" s="788">
        <f t="shared" si="11"/>
        <v>0</v>
      </c>
      <c r="J13" s="788">
        <f t="shared" si="11"/>
        <v>0</v>
      </c>
      <c r="K13" s="788">
        <f t="shared" si="11"/>
        <v>0</v>
      </c>
      <c r="L13" s="788">
        <f t="shared" si="11"/>
        <v>0</v>
      </c>
      <c r="M13" s="789">
        <f>SUM(F13:H13)</f>
        <v>126378</v>
      </c>
      <c r="N13" s="789">
        <f>SUM(G13:L13)</f>
        <v>126378</v>
      </c>
      <c r="O13" s="1128"/>
      <c r="P13" s="536"/>
    </row>
    <row r="14" spans="1:17" s="408" customFormat="1" ht="12.75" customHeight="1">
      <c r="A14" s="448"/>
      <c r="B14" s="1140" t="s">
        <v>18</v>
      </c>
      <c r="C14" s="1140"/>
      <c r="D14" s="1135">
        <f>D16+D15</f>
        <v>89617057</v>
      </c>
      <c r="E14" s="1135">
        <f t="shared" ref="E14" si="12">E16+E15</f>
        <v>8907498</v>
      </c>
      <c r="F14" s="1135">
        <f t="shared" ref="F14:N14" si="13">F16+F15</f>
        <v>11237828</v>
      </c>
      <c r="G14" s="1135">
        <f t="shared" si="13"/>
        <v>20492124</v>
      </c>
      <c r="H14" s="1135">
        <f t="shared" si="13"/>
        <v>15580083</v>
      </c>
      <c r="I14" s="1135">
        <f t="shared" si="13"/>
        <v>10755438</v>
      </c>
      <c r="J14" s="1135">
        <f t="shared" si="13"/>
        <v>8157684</v>
      </c>
      <c r="K14" s="1135">
        <f t="shared" si="13"/>
        <v>7545683</v>
      </c>
      <c r="L14" s="1135">
        <f t="shared" si="13"/>
        <v>6940719</v>
      </c>
      <c r="M14" s="1136">
        <f t="shared" ref="M14" si="14">M16+M15</f>
        <v>80709559</v>
      </c>
      <c r="N14" s="1136">
        <f t="shared" si="13"/>
        <v>69471731</v>
      </c>
      <c r="O14" s="1128"/>
      <c r="P14" s="537"/>
    </row>
    <row r="15" spans="1:17" s="490" customFormat="1" ht="12.75" customHeight="1">
      <c r="A15" s="448"/>
      <c r="B15" s="1141" t="s">
        <v>20</v>
      </c>
      <c r="C15" s="1140"/>
      <c r="D15" s="1668">
        <f>+D32</f>
        <v>420817</v>
      </c>
      <c r="E15" s="1668">
        <f t="shared" ref="E15:L15" si="15">+E32</f>
        <v>45222</v>
      </c>
      <c r="F15" s="1668">
        <f t="shared" si="15"/>
        <v>209471</v>
      </c>
      <c r="G15" s="1668">
        <f t="shared" si="15"/>
        <v>107939</v>
      </c>
      <c r="H15" s="1668">
        <f t="shared" si="15"/>
        <v>44968</v>
      </c>
      <c r="I15" s="1668">
        <f t="shared" si="15"/>
        <v>13217</v>
      </c>
      <c r="J15" s="1668">
        <f t="shared" si="15"/>
        <v>0</v>
      </c>
      <c r="K15" s="1668">
        <f t="shared" si="15"/>
        <v>0</v>
      </c>
      <c r="L15" s="1668">
        <f t="shared" si="15"/>
        <v>0</v>
      </c>
      <c r="M15" s="1139">
        <f>SUM(F15:L15)</f>
        <v>375595</v>
      </c>
      <c r="N15" s="1139">
        <f>SUM(G15:L15)</f>
        <v>166124</v>
      </c>
      <c r="O15" s="1128"/>
      <c r="P15" s="537"/>
    </row>
    <row r="16" spans="1:17" ht="12.75" customHeight="1">
      <c r="A16" s="448"/>
      <c r="B16" s="1142" t="s">
        <v>21</v>
      </c>
      <c r="C16" s="1137"/>
      <c r="D16" s="1143">
        <f>+D51+D36+D90+D66+D78+D102+D115+D124+D136+D153+D167</f>
        <v>89196240</v>
      </c>
      <c r="E16" s="1143">
        <f t="shared" ref="E16:L16" si="16">+E51+E36+E90+E66+E78+E102+E115+E124+E136+E153+E167</f>
        <v>8862276</v>
      </c>
      <c r="F16" s="1143">
        <f t="shared" si="16"/>
        <v>11028357</v>
      </c>
      <c r="G16" s="1143">
        <f t="shared" si="16"/>
        <v>20384185</v>
      </c>
      <c r="H16" s="1143">
        <f t="shared" si="16"/>
        <v>15535115</v>
      </c>
      <c r="I16" s="1143">
        <f t="shared" si="16"/>
        <v>10742221</v>
      </c>
      <c r="J16" s="1143">
        <f t="shared" si="16"/>
        <v>8157684</v>
      </c>
      <c r="K16" s="1143">
        <f t="shared" si="16"/>
        <v>7545683</v>
      </c>
      <c r="L16" s="1143">
        <f t="shared" si="16"/>
        <v>6940719</v>
      </c>
      <c r="M16" s="1139">
        <f>SUM(F16:L16)</f>
        <v>80333964</v>
      </c>
      <c r="N16" s="1139">
        <f>SUM(G16:L16)</f>
        <v>69305607</v>
      </c>
      <c r="O16" s="1133"/>
      <c r="P16" s="536"/>
    </row>
    <row r="17" spans="1:17" ht="13.5" customHeight="1">
      <c r="A17" s="448"/>
      <c r="B17" s="1144" t="s">
        <v>22</v>
      </c>
      <c r="C17" s="1023"/>
      <c r="D17" s="1132">
        <f>D18+D20</f>
        <v>89743435</v>
      </c>
      <c r="E17" s="1132">
        <f t="shared" ref="E17" si="17">E18+E20</f>
        <v>8862276</v>
      </c>
      <c r="F17" s="1132">
        <f t="shared" ref="F17:L17" si="18">F18+F20</f>
        <v>10587816</v>
      </c>
      <c r="G17" s="1132">
        <f t="shared" si="18"/>
        <v>21217974</v>
      </c>
      <c r="H17" s="1132">
        <f t="shared" si="18"/>
        <v>15637867</v>
      </c>
      <c r="I17" s="1132">
        <f t="shared" si="18"/>
        <v>10793416</v>
      </c>
      <c r="J17" s="1132">
        <f t="shared" si="18"/>
        <v>8157684</v>
      </c>
      <c r="K17" s="1132">
        <f t="shared" si="18"/>
        <v>7545683</v>
      </c>
      <c r="L17" s="1132">
        <f t="shared" si="18"/>
        <v>6940719</v>
      </c>
      <c r="M17" s="3246" t="s">
        <v>61</v>
      </c>
      <c r="N17" s="3246" t="s">
        <v>61</v>
      </c>
      <c r="O17" s="1128"/>
      <c r="P17" s="538">
        <f>+D7-D10</f>
        <v>0</v>
      </c>
    </row>
    <row r="18" spans="1:17" ht="12.75" customHeight="1">
      <c r="A18" s="448"/>
      <c r="B18" s="1145" t="s">
        <v>24</v>
      </c>
      <c r="C18" s="1146"/>
      <c r="D18" s="1147">
        <f>D19</f>
        <v>126378</v>
      </c>
      <c r="E18" s="1147">
        <f t="shared" ref="E18:I18" si="19">E19</f>
        <v>0</v>
      </c>
      <c r="F18" s="1147">
        <f t="shared" si="19"/>
        <v>0</v>
      </c>
      <c r="G18" s="1147">
        <f t="shared" si="19"/>
        <v>71244</v>
      </c>
      <c r="H18" s="1147">
        <f t="shared" si="19"/>
        <v>55134</v>
      </c>
      <c r="I18" s="1147">
        <f t="shared" si="19"/>
        <v>0</v>
      </c>
      <c r="J18" s="1147">
        <f>J19</f>
        <v>0</v>
      </c>
      <c r="K18" s="1147">
        <f>K19</f>
        <v>0</v>
      </c>
      <c r="L18" s="1147">
        <f>L19</f>
        <v>0</v>
      </c>
      <c r="M18" s="3246"/>
      <c r="N18" s="3246"/>
      <c r="O18" s="1128"/>
      <c r="P18" s="535"/>
    </row>
    <row r="19" spans="1:17" ht="12" customHeight="1">
      <c r="A19" s="448"/>
      <c r="B19" s="1148" t="s">
        <v>13</v>
      </c>
      <c r="C19" s="1149"/>
      <c r="D19" s="1143">
        <f>+D56+D39+D81+D158+D170</f>
        <v>126378</v>
      </c>
      <c r="E19" s="1143">
        <f t="shared" ref="E19:L19" si="20">+E56+E39+E81+E158+E170</f>
        <v>0</v>
      </c>
      <c r="F19" s="1143">
        <f t="shared" si="20"/>
        <v>0</v>
      </c>
      <c r="G19" s="1143">
        <f t="shared" si="20"/>
        <v>71244</v>
      </c>
      <c r="H19" s="1143">
        <f t="shared" si="20"/>
        <v>55134</v>
      </c>
      <c r="I19" s="1143">
        <f t="shared" si="20"/>
        <v>0</v>
      </c>
      <c r="J19" s="1143">
        <f t="shared" si="20"/>
        <v>0</v>
      </c>
      <c r="K19" s="1143">
        <f t="shared" si="20"/>
        <v>0</v>
      </c>
      <c r="L19" s="1143">
        <f t="shared" si="20"/>
        <v>0</v>
      </c>
      <c r="M19" s="3246"/>
      <c r="N19" s="3246"/>
      <c r="O19" s="1128"/>
      <c r="P19" s="535"/>
    </row>
    <row r="20" spans="1:17" s="414" customFormat="1">
      <c r="A20" s="481"/>
      <c r="B20" s="1150" t="s">
        <v>18</v>
      </c>
      <c r="C20" s="1151"/>
      <c r="D20" s="1147">
        <f>D22+D21</f>
        <v>89617057</v>
      </c>
      <c r="E20" s="1147">
        <f t="shared" ref="E20" si="21">E22+E21</f>
        <v>8862276</v>
      </c>
      <c r="F20" s="1147">
        <f t="shared" ref="F20:L20" si="22">F22+F21</f>
        <v>10587816</v>
      </c>
      <c r="G20" s="1147">
        <f t="shared" si="22"/>
        <v>21146730</v>
      </c>
      <c r="H20" s="1147">
        <f t="shared" si="22"/>
        <v>15582733</v>
      </c>
      <c r="I20" s="1147">
        <f t="shared" si="22"/>
        <v>10793416</v>
      </c>
      <c r="J20" s="1147">
        <f t="shared" si="22"/>
        <v>8157684</v>
      </c>
      <c r="K20" s="1147">
        <f t="shared" si="22"/>
        <v>7545683</v>
      </c>
      <c r="L20" s="1147">
        <f t="shared" si="22"/>
        <v>6940719</v>
      </c>
      <c r="M20" s="3246"/>
      <c r="N20" s="3246"/>
      <c r="O20" s="1152"/>
      <c r="P20" s="539"/>
    </row>
    <row r="21" spans="1:17" s="489" customFormat="1">
      <c r="A21" s="481"/>
      <c r="B21" s="1141" t="s">
        <v>20</v>
      </c>
      <c r="C21" s="1151"/>
      <c r="D21" s="2087">
        <f>+D41</f>
        <v>420817</v>
      </c>
      <c r="E21" s="2087">
        <f t="shared" ref="E21:L21" si="23">+E41</f>
        <v>0</v>
      </c>
      <c r="F21" s="2087">
        <f t="shared" si="23"/>
        <v>84212</v>
      </c>
      <c r="G21" s="2087">
        <f t="shared" si="23"/>
        <v>237792</v>
      </c>
      <c r="H21" s="2087">
        <f t="shared" si="23"/>
        <v>47618</v>
      </c>
      <c r="I21" s="2087">
        <f t="shared" si="23"/>
        <v>51195</v>
      </c>
      <c r="J21" s="2087">
        <f t="shared" si="23"/>
        <v>0</v>
      </c>
      <c r="K21" s="2087">
        <f t="shared" si="23"/>
        <v>0</v>
      </c>
      <c r="L21" s="2087">
        <f t="shared" si="23"/>
        <v>0</v>
      </c>
      <c r="M21" s="3247"/>
      <c r="N21" s="3247"/>
      <c r="O21" s="542"/>
      <c r="P21" s="539"/>
    </row>
    <row r="22" spans="1:17" ht="13.5" thickBot="1">
      <c r="A22" s="482"/>
      <c r="B22" s="543" t="s">
        <v>21</v>
      </c>
      <c r="C22" s="543"/>
      <c r="D22" s="544">
        <f>+D58+D42+D59+D95+D71+D83+D107+D120+D132+D142+D160+D172</f>
        <v>89196240</v>
      </c>
      <c r="E22" s="544">
        <f t="shared" ref="E22:L22" si="24">+E58+E42+E59+E95+E71+E83+E107+E120+E132+E142+E160+E172</f>
        <v>8862276</v>
      </c>
      <c r="F22" s="544">
        <f t="shared" si="24"/>
        <v>10503604</v>
      </c>
      <c r="G22" s="544">
        <f t="shared" si="24"/>
        <v>20908938</v>
      </c>
      <c r="H22" s="544">
        <f t="shared" si="24"/>
        <v>15535115</v>
      </c>
      <c r="I22" s="544">
        <f t="shared" si="24"/>
        <v>10742221</v>
      </c>
      <c r="J22" s="544">
        <f t="shared" si="24"/>
        <v>8157684</v>
      </c>
      <c r="K22" s="544">
        <f t="shared" si="24"/>
        <v>7545683</v>
      </c>
      <c r="L22" s="544">
        <f t="shared" si="24"/>
        <v>6940719</v>
      </c>
      <c r="M22" s="3248"/>
      <c r="N22" s="3248"/>
      <c r="O22" s="545"/>
      <c r="P22" s="536">
        <f>D22-D16</f>
        <v>0</v>
      </c>
    </row>
    <row r="23" spans="1:17" ht="40.5" customHeight="1">
      <c r="A23" s="3249" t="s">
        <v>63</v>
      </c>
      <c r="B23" s="2813" t="s">
        <v>309</v>
      </c>
      <c r="C23" s="2814" t="s">
        <v>109</v>
      </c>
      <c r="D23" s="788"/>
      <c r="E23" s="2815"/>
      <c r="F23" s="2815"/>
      <c r="G23" s="2815"/>
      <c r="H23" s="2815"/>
      <c r="I23" s="2815"/>
      <c r="J23" s="2815"/>
      <c r="K23" s="2815"/>
      <c r="L23" s="2815"/>
      <c r="M23" s="1021"/>
      <c r="N23" s="1021"/>
      <c r="O23" s="3236" t="s">
        <v>319</v>
      </c>
      <c r="P23" s="535"/>
    </row>
    <row r="24" spans="1:17" s="414" customFormat="1" ht="13.5" customHeight="1">
      <c r="A24" s="3250"/>
      <c r="B24" s="1022" t="s">
        <v>10</v>
      </c>
      <c r="C24" s="1023"/>
      <c r="D24" s="748">
        <f t="shared" ref="D24:J24" si="25">+D25+D31</f>
        <v>499079</v>
      </c>
      <c r="E24" s="748">
        <f t="shared" ref="E24" si="26">+E25+E31</f>
        <v>53431</v>
      </c>
      <c r="F24" s="748">
        <f t="shared" si="25"/>
        <v>247808</v>
      </c>
      <c r="G24" s="748">
        <f t="shared" si="25"/>
        <v>127787</v>
      </c>
      <c r="H24" s="748">
        <f t="shared" si="25"/>
        <v>53703</v>
      </c>
      <c r="I24" s="748">
        <f t="shared" si="25"/>
        <v>16350</v>
      </c>
      <c r="J24" s="2847">
        <f t="shared" si="25"/>
        <v>0</v>
      </c>
      <c r="K24" s="2847">
        <v>0</v>
      </c>
      <c r="L24" s="2847">
        <v>0</v>
      </c>
      <c r="M24" s="1024">
        <f>+M25+M31</f>
        <v>445648</v>
      </c>
      <c r="N24" s="1024">
        <f>+N25+N31</f>
        <v>197840</v>
      </c>
      <c r="O24" s="3236"/>
      <c r="P24" s="2873"/>
      <c r="Q24" s="2874"/>
    </row>
    <row r="25" spans="1:17" s="414" customFormat="1" ht="13.5" customHeight="1">
      <c r="A25" s="3250"/>
      <c r="B25" s="2816" t="s">
        <v>24</v>
      </c>
      <c r="C25" s="3239" t="s">
        <v>352</v>
      </c>
      <c r="D25" s="796">
        <f t="shared" ref="D25" si="27">+D26+D30</f>
        <v>78262</v>
      </c>
      <c r="E25" s="796">
        <f t="shared" ref="E25" si="28">+E26+E30</f>
        <v>8209</v>
      </c>
      <c r="F25" s="796">
        <f>+F26+F30</f>
        <v>38337</v>
      </c>
      <c r="G25" s="796">
        <f>+G26+G30</f>
        <v>19848</v>
      </c>
      <c r="H25" s="796">
        <f>+H26+H30</f>
        <v>8735</v>
      </c>
      <c r="I25" s="796">
        <f>+I26</f>
        <v>3133</v>
      </c>
      <c r="J25" s="2848">
        <f>+J26</f>
        <v>0</v>
      </c>
      <c r="K25" s="2848">
        <v>0</v>
      </c>
      <c r="L25" s="2848">
        <v>0</v>
      </c>
      <c r="M25" s="1153">
        <f>+M26+M30</f>
        <v>70053</v>
      </c>
      <c r="N25" s="1153">
        <f>+N26+N30</f>
        <v>31716</v>
      </c>
      <c r="O25" s="3236"/>
      <c r="P25" s="539"/>
    </row>
    <row r="26" spans="1:17" s="414" customFormat="1">
      <c r="A26" s="3250"/>
      <c r="B26" s="1066" t="s">
        <v>12</v>
      </c>
      <c r="C26" s="3240"/>
      <c r="D26" s="249">
        <f>E26+F26+G26+H26+I26+J26+K26+L26</f>
        <v>78262</v>
      </c>
      <c r="E26" s="286">
        <f>+E28+E29</f>
        <v>8209</v>
      </c>
      <c r="F26" s="778">
        <f t="shared" ref="F26:I26" si="29">+F28+F29</f>
        <v>38337</v>
      </c>
      <c r="G26" s="778">
        <f t="shared" si="29"/>
        <v>19848</v>
      </c>
      <c r="H26" s="778">
        <f t="shared" si="29"/>
        <v>8735</v>
      </c>
      <c r="I26" s="778">
        <f t="shared" si="29"/>
        <v>3133</v>
      </c>
      <c r="J26" s="787">
        <v>0</v>
      </c>
      <c r="K26" s="787">
        <v>0</v>
      </c>
      <c r="L26" s="787">
        <v>0</v>
      </c>
      <c r="M26" s="1139">
        <f>SUM(F26:K26)</f>
        <v>70053</v>
      </c>
      <c r="N26" s="1139">
        <f>SUM(G26:L26)</f>
        <v>31716</v>
      </c>
      <c r="O26" s="3236"/>
      <c r="P26" s="539"/>
    </row>
    <row r="27" spans="1:17" s="2875" customFormat="1" ht="13.5" hidden="1" customHeight="1">
      <c r="A27" s="3251"/>
      <c r="B27" s="2817" t="s">
        <v>150</v>
      </c>
      <c r="C27" s="3254"/>
      <c r="D27" s="1028"/>
      <c r="E27" s="2818"/>
      <c r="F27" s="2819"/>
      <c r="G27" s="2819"/>
      <c r="H27" s="2819"/>
      <c r="I27" s="2819"/>
      <c r="J27" s="2818"/>
      <c r="K27" s="2818"/>
      <c r="L27" s="787"/>
      <c r="M27" s="1027"/>
      <c r="N27" s="1027"/>
      <c r="O27" s="3236"/>
      <c r="P27" s="539"/>
    </row>
    <row r="28" spans="1:17" s="2875" customFormat="1" ht="13.5" hidden="1" customHeight="1">
      <c r="A28" s="3251"/>
      <c r="B28" s="2817" t="s">
        <v>110</v>
      </c>
      <c r="C28" s="3254"/>
      <c r="D28" s="1028">
        <f>+E28+F28+G28+H28+I28</f>
        <v>55839</v>
      </c>
      <c r="E28" s="2819">
        <v>3119</v>
      </c>
      <c r="F28" s="2819">
        <f>31679-1297</f>
        <v>30382</v>
      </c>
      <c r="G28" s="2819">
        <f>12591-1089</f>
        <v>11502</v>
      </c>
      <c r="H28" s="2819">
        <f>10929-2878-103</f>
        <v>7948</v>
      </c>
      <c r="I28" s="2819">
        <f>2920-32</f>
        <v>2888</v>
      </c>
      <c r="J28" s="2818"/>
      <c r="K28" s="2818"/>
      <c r="L28" s="787"/>
      <c r="M28" s="2820">
        <f t="shared" ref="M28:N30" si="30">SUM(E28:H28)</f>
        <v>52951</v>
      </c>
      <c r="N28" s="2820">
        <f t="shared" si="30"/>
        <v>52720</v>
      </c>
      <c r="O28" s="3236"/>
      <c r="P28" s="539"/>
    </row>
    <row r="29" spans="1:17" s="2875" customFormat="1" ht="13.5" hidden="1" customHeight="1">
      <c r="A29" s="3251"/>
      <c r="B29" s="2817" t="s">
        <v>294</v>
      </c>
      <c r="C29" s="3254"/>
      <c r="D29" s="1028">
        <f>+E29+F29+G29+H29+I29</f>
        <v>22423</v>
      </c>
      <c r="E29" s="2819">
        <f>4426+664</f>
        <v>5090</v>
      </c>
      <c r="F29" s="2819">
        <f>7322+633</f>
        <v>7955</v>
      </c>
      <c r="G29" s="2819">
        <f>6473+784+1089</f>
        <v>8346</v>
      </c>
      <c r="H29" s="2819">
        <f>599+85+103</f>
        <v>787</v>
      </c>
      <c r="I29" s="2819">
        <f>186+27+32</f>
        <v>245</v>
      </c>
      <c r="J29" s="2818"/>
      <c r="K29" s="2818"/>
      <c r="L29" s="787"/>
      <c r="M29" s="2820">
        <f t="shared" si="30"/>
        <v>22178</v>
      </c>
      <c r="N29" s="2820">
        <f t="shared" si="30"/>
        <v>17333</v>
      </c>
      <c r="O29" s="3236"/>
      <c r="P29" s="539"/>
    </row>
    <row r="30" spans="1:17" s="414" customFormat="1" ht="14.25" hidden="1" customHeight="1">
      <c r="A30" s="3250"/>
      <c r="B30" s="1066" t="s">
        <v>13</v>
      </c>
      <c r="C30" s="3240"/>
      <c r="D30" s="249">
        <f>E30+F30+G30+H30+I30+J30+K30+L30</f>
        <v>0</v>
      </c>
      <c r="E30" s="787">
        <v>0</v>
      </c>
      <c r="F30" s="778"/>
      <c r="G30" s="778"/>
      <c r="H30" s="778"/>
      <c r="I30" s="778"/>
      <c r="J30" s="787"/>
      <c r="K30" s="787"/>
      <c r="L30" s="787"/>
      <c r="M30" s="1027">
        <f t="shared" si="30"/>
        <v>0</v>
      </c>
      <c r="N30" s="1027">
        <f t="shared" si="30"/>
        <v>0</v>
      </c>
      <c r="O30" s="3236"/>
      <c r="P30" s="539"/>
    </row>
    <row r="31" spans="1:17" s="414" customFormat="1">
      <c r="A31" s="3250"/>
      <c r="B31" s="2821" t="s">
        <v>18</v>
      </c>
      <c r="C31" s="3240"/>
      <c r="D31" s="1030">
        <f>+D36+D32</f>
        <v>420817</v>
      </c>
      <c r="E31" s="1030">
        <f t="shared" ref="E31" si="31">+E36+E32</f>
        <v>45222</v>
      </c>
      <c r="F31" s="1030">
        <f>+F36+F32</f>
        <v>209471</v>
      </c>
      <c r="G31" s="1030">
        <f>+G36+G32</f>
        <v>107939</v>
      </c>
      <c r="H31" s="1030">
        <f>+H36+H32</f>
        <v>44968</v>
      </c>
      <c r="I31" s="1030">
        <f>+I32</f>
        <v>13217</v>
      </c>
      <c r="J31" s="1057">
        <v>0</v>
      </c>
      <c r="K31" s="1057">
        <v>0</v>
      </c>
      <c r="L31" s="1057">
        <v>0</v>
      </c>
      <c r="M31" s="1154">
        <f>+M36+M32</f>
        <v>375595</v>
      </c>
      <c r="N31" s="1154">
        <f>+N36+N32</f>
        <v>166124</v>
      </c>
      <c r="O31" s="3236"/>
      <c r="P31" s="539"/>
    </row>
    <row r="32" spans="1:17" s="489" customFormat="1">
      <c r="A32" s="3250"/>
      <c r="B32" s="1066" t="s">
        <v>20</v>
      </c>
      <c r="C32" s="3240"/>
      <c r="D32" s="249">
        <f>E32+F32+G32+H32+I32+J32+K32+L32</f>
        <v>420817</v>
      </c>
      <c r="E32" s="286">
        <f>+E34+E35</f>
        <v>45222</v>
      </c>
      <c r="F32" s="778">
        <f t="shared" ref="F32:I32" si="32">+F34+F35</f>
        <v>209471</v>
      </c>
      <c r="G32" s="778">
        <f t="shared" si="32"/>
        <v>107939</v>
      </c>
      <c r="H32" s="778">
        <f t="shared" si="32"/>
        <v>44968</v>
      </c>
      <c r="I32" s="778">
        <f t="shared" si="32"/>
        <v>13217</v>
      </c>
      <c r="J32" s="787">
        <v>0</v>
      </c>
      <c r="K32" s="787">
        <v>0</v>
      </c>
      <c r="L32" s="787">
        <v>0</v>
      </c>
      <c r="M32" s="1139">
        <f>SUM(F32:K32)</f>
        <v>375595</v>
      </c>
      <c r="N32" s="1139">
        <f>SUM(G32:L32)</f>
        <v>166124</v>
      </c>
      <c r="O32" s="3236"/>
      <c r="P32" s="2873">
        <f>D32-D41</f>
        <v>0</v>
      </c>
    </row>
    <row r="33" spans="1:16" s="2875" customFormat="1" ht="13.5" hidden="1" customHeight="1">
      <c r="A33" s="3250"/>
      <c r="B33" s="2817" t="s">
        <v>150</v>
      </c>
      <c r="C33" s="3240"/>
      <c r="D33" s="1028"/>
      <c r="E33" s="787"/>
      <c r="F33" s="2819"/>
      <c r="G33" s="2819"/>
      <c r="H33" s="2819"/>
      <c r="I33" s="2819"/>
      <c r="J33" s="2818"/>
      <c r="K33" s="2818"/>
      <c r="L33" s="2818"/>
      <c r="M33" s="2820"/>
      <c r="N33" s="2820"/>
      <c r="O33" s="3236"/>
      <c r="P33" s="539"/>
    </row>
    <row r="34" spans="1:16" s="2875" customFormat="1" ht="13.5" hidden="1" customHeight="1">
      <c r="A34" s="3250"/>
      <c r="B34" s="2817" t="s">
        <v>110</v>
      </c>
      <c r="C34" s="3240"/>
      <c r="D34" s="1028">
        <f>+E34+F34+G34+H34+I34</f>
        <v>293767</v>
      </c>
      <c r="E34" s="2819">
        <v>16375</v>
      </c>
      <c r="F34" s="2819">
        <f>1482+28167+1112+84605+3706+47478+5188-7334</f>
        <v>164404</v>
      </c>
      <c r="G34" s="2819">
        <f>1482+13343+1112+47172+3706-6169</f>
        <v>60646</v>
      </c>
      <c r="H34" s="2819">
        <f>1482+15195+1853+32381+6486-16307-582</f>
        <v>40508</v>
      </c>
      <c r="I34" s="2819">
        <f>3706+371+6085+1853-181</f>
        <v>11834</v>
      </c>
      <c r="J34" s="2818"/>
      <c r="K34" s="2818"/>
      <c r="L34" s="2818"/>
      <c r="M34" s="2820">
        <f t="shared" ref="M34:N36" si="33">SUM(E34:H34)</f>
        <v>281933</v>
      </c>
      <c r="N34" s="2820">
        <f t="shared" si="33"/>
        <v>277392</v>
      </c>
      <c r="O34" s="3236"/>
      <c r="P34" s="539"/>
    </row>
    <row r="35" spans="1:16" s="2875" customFormat="1" ht="13.5" hidden="1" customHeight="1">
      <c r="A35" s="3250"/>
      <c r="B35" s="2817" t="s">
        <v>294</v>
      </c>
      <c r="C35" s="3240"/>
      <c r="D35" s="1028">
        <f>+E35+F35+G35+H35+I35</f>
        <v>127050</v>
      </c>
      <c r="E35" s="2819">
        <f>25085+3762</f>
        <v>28847</v>
      </c>
      <c r="F35" s="2819">
        <f>28369+1756+4789+710+1512+4359+3572</f>
        <v>45067</v>
      </c>
      <c r="G35" s="2819">
        <f>28654+2364+4931+731+4444+6169</f>
        <v>47293</v>
      </c>
      <c r="H35" s="2819">
        <f>2663+220+445+67+483+582</f>
        <v>4460</v>
      </c>
      <c r="I35" s="2819">
        <f>672+222+138+21+149+181</f>
        <v>1383</v>
      </c>
      <c r="J35" s="2818"/>
      <c r="K35" s="2818"/>
      <c r="L35" s="2818"/>
      <c r="M35" s="2820">
        <f t="shared" si="33"/>
        <v>125667</v>
      </c>
      <c r="N35" s="2820">
        <f t="shared" si="33"/>
        <v>98203</v>
      </c>
      <c r="O35" s="3236"/>
      <c r="P35" s="539"/>
    </row>
    <row r="36" spans="1:16" s="414" customFormat="1" ht="13.5" hidden="1" customHeight="1" collapsed="1">
      <c r="A36" s="3250"/>
      <c r="B36" s="1066" t="s">
        <v>21</v>
      </c>
      <c r="C36" s="3240"/>
      <c r="D36" s="249">
        <f>E36+F36+G36+H36+I36+J36+K36+L36</f>
        <v>0</v>
      </c>
      <c r="E36" s="787">
        <v>0</v>
      </c>
      <c r="F36" s="778"/>
      <c r="G36" s="778"/>
      <c r="H36" s="778"/>
      <c r="I36" s="778"/>
      <c r="J36" s="787"/>
      <c r="K36" s="787"/>
      <c r="L36" s="787"/>
      <c r="M36" s="1027">
        <f t="shared" si="33"/>
        <v>0</v>
      </c>
      <c r="N36" s="1027">
        <f t="shared" si="33"/>
        <v>0</v>
      </c>
      <c r="O36" s="3236"/>
      <c r="P36" s="2873"/>
    </row>
    <row r="37" spans="1:16" s="414" customFormat="1" ht="12.75" customHeight="1">
      <c r="A37" s="3252"/>
      <c r="B37" s="1022" t="s">
        <v>22</v>
      </c>
      <c r="C37" s="1023"/>
      <c r="D37" s="766">
        <f>+D38+D40</f>
        <v>420817</v>
      </c>
      <c r="E37" s="784">
        <v>0</v>
      </c>
      <c r="F37" s="766">
        <f>+F38+F40</f>
        <v>84212</v>
      </c>
      <c r="G37" s="766">
        <f t="shared" ref="G37:J37" si="34">+G38+G40</f>
        <v>237792</v>
      </c>
      <c r="H37" s="766">
        <f t="shared" si="34"/>
        <v>47618</v>
      </c>
      <c r="I37" s="766">
        <f t="shared" si="34"/>
        <v>51195</v>
      </c>
      <c r="J37" s="784">
        <f t="shared" si="34"/>
        <v>0</v>
      </c>
      <c r="K37" s="784">
        <v>0</v>
      </c>
      <c r="L37" s="784">
        <v>0</v>
      </c>
      <c r="M37" s="3220" t="s">
        <v>61</v>
      </c>
      <c r="N37" s="3220" t="s">
        <v>61</v>
      </c>
      <c r="O37" s="3253"/>
      <c r="P37" s="2873"/>
    </row>
    <row r="38" spans="1:16" s="414" customFormat="1" ht="13.5" hidden="1" customHeight="1">
      <c r="A38" s="3252"/>
      <c r="B38" s="2816" t="s">
        <v>24</v>
      </c>
      <c r="C38" s="3255" t="s">
        <v>310</v>
      </c>
      <c r="D38" s="1030">
        <f>+D39</f>
        <v>0</v>
      </c>
      <c r="E38" s="1057">
        <v>0</v>
      </c>
      <c r="F38" s="1030"/>
      <c r="G38" s="1030"/>
      <c r="H38" s="1030"/>
      <c r="I38" s="1030"/>
      <c r="J38" s="1057"/>
      <c r="K38" s="1057"/>
      <c r="L38" s="1057"/>
      <c r="M38" s="3220"/>
      <c r="N38" s="3220"/>
      <c r="O38" s="3253"/>
      <c r="P38" s="539"/>
    </row>
    <row r="39" spans="1:16" s="414" customFormat="1" ht="13.5" hidden="1" customHeight="1">
      <c r="A39" s="3252"/>
      <c r="B39" s="1066" t="s">
        <v>13</v>
      </c>
      <c r="C39" s="3240"/>
      <c r="D39" s="249">
        <f>E39+F39+G39+H39+I39+J39+K39+L39</f>
        <v>0</v>
      </c>
      <c r="E39" s="2416"/>
      <c r="F39" s="1028"/>
      <c r="G39" s="1028"/>
      <c r="H39" s="1028"/>
      <c r="I39" s="1028"/>
      <c r="J39" s="2416"/>
      <c r="K39" s="2416"/>
      <c r="L39" s="2416"/>
      <c r="M39" s="3220"/>
      <c r="N39" s="3220"/>
      <c r="O39" s="3253"/>
      <c r="P39" s="539"/>
    </row>
    <row r="40" spans="1:16" s="414" customFormat="1">
      <c r="A40" s="3252"/>
      <c r="B40" s="2821" t="s">
        <v>18</v>
      </c>
      <c r="C40" s="3256"/>
      <c r="D40" s="1030">
        <f>+D42+D41</f>
        <v>420817</v>
      </c>
      <c r="E40" s="1057">
        <v>0</v>
      </c>
      <c r="F40" s="1030">
        <f t="shared" ref="F40:J40" si="35">+F42+F41</f>
        <v>84212</v>
      </c>
      <c r="G40" s="1030">
        <f t="shared" si="35"/>
        <v>237792</v>
      </c>
      <c r="H40" s="1030">
        <f>+H42+H41</f>
        <v>47618</v>
      </c>
      <c r="I40" s="1030">
        <f t="shared" si="35"/>
        <v>51195</v>
      </c>
      <c r="J40" s="1057">
        <f t="shared" si="35"/>
        <v>0</v>
      </c>
      <c r="K40" s="1057">
        <v>0</v>
      </c>
      <c r="L40" s="1057">
        <v>0</v>
      </c>
      <c r="M40" s="3220"/>
      <c r="N40" s="3220"/>
      <c r="O40" s="3253"/>
      <c r="P40" s="539"/>
    </row>
    <row r="41" spans="1:16" s="489" customFormat="1" ht="15.75" customHeight="1" thickBot="1">
      <c r="A41" s="3252"/>
      <c r="B41" s="1066" t="s">
        <v>20</v>
      </c>
      <c r="C41" s="3256"/>
      <c r="D41" s="249">
        <f>E41+F41+G41+H41+I41+J41+K41+L41</f>
        <v>420817</v>
      </c>
      <c r="E41" s="2849">
        <v>0</v>
      </c>
      <c r="F41" s="778">
        <f>88766-60286+55732</f>
        <v>84212</v>
      </c>
      <c r="G41" s="778">
        <f>154696+9365+11231+62500</f>
        <v>237792</v>
      </c>
      <c r="H41" s="778">
        <f>103495-26700+4444-33621</f>
        <v>47618</v>
      </c>
      <c r="I41" s="778">
        <f>60792+32027-15824-25800</f>
        <v>51195</v>
      </c>
      <c r="J41" s="787">
        <f>13068+45594+149-58811</f>
        <v>0</v>
      </c>
      <c r="K41" s="787">
        <v>0</v>
      </c>
      <c r="L41" s="787">
        <v>0</v>
      </c>
      <c r="M41" s="3220"/>
      <c r="N41" s="3220"/>
      <c r="O41" s="3253"/>
      <c r="P41" s="539"/>
    </row>
    <row r="42" spans="1:16" ht="13.5" hidden="1" customHeight="1" thickBot="1">
      <c r="A42" s="3212"/>
      <c r="B42" s="2876" t="s">
        <v>21</v>
      </c>
      <c r="C42" s="3257"/>
      <c r="D42" s="249">
        <f>E42+F42+G42+H42+I42+J42+K42+L42</f>
        <v>0</v>
      </c>
      <c r="E42" s="1058">
        <v>0</v>
      </c>
      <c r="F42" s="520"/>
      <c r="G42" s="520"/>
      <c r="H42" s="520"/>
      <c r="I42" s="520"/>
      <c r="J42" s="520"/>
      <c r="K42" s="520"/>
      <c r="L42" s="520"/>
      <c r="M42" s="3205"/>
      <c r="N42" s="3205"/>
      <c r="O42" s="3226"/>
      <c r="P42" s="535"/>
    </row>
    <row r="43" spans="1:16" ht="26.25" customHeight="1">
      <c r="A43" s="3196" t="s">
        <v>313</v>
      </c>
      <c r="B43" s="1576" t="s">
        <v>543</v>
      </c>
      <c r="C43" s="1577" t="s">
        <v>109</v>
      </c>
      <c r="D43" s="60"/>
      <c r="E43" s="692"/>
      <c r="F43" s="42"/>
      <c r="G43" s="42"/>
      <c r="H43" s="42"/>
      <c r="I43" s="42"/>
      <c r="J43" s="42"/>
      <c r="K43" s="42"/>
      <c r="L43" s="42"/>
      <c r="M43" s="708"/>
      <c r="N43" s="708"/>
      <c r="O43" s="3272" t="s">
        <v>320</v>
      </c>
      <c r="P43" s="535" t="s">
        <v>545</v>
      </c>
    </row>
    <row r="44" spans="1:16">
      <c r="A44" s="3250"/>
      <c r="B44" s="1022" t="s">
        <v>10</v>
      </c>
      <c r="C44" s="1578"/>
      <c r="D44" s="1132">
        <f t="shared" ref="D44" si="36">+D45+D50</f>
        <v>1324368</v>
      </c>
      <c r="E44" s="2847">
        <f t="shared" ref="E44" si="37">+E45+E50</f>
        <v>0</v>
      </c>
      <c r="F44" s="2847">
        <f t="shared" ref="F44:H44" si="38">+F45+F50</f>
        <v>0</v>
      </c>
      <c r="G44" s="748">
        <f t="shared" si="38"/>
        <v>689604</v>
      </c>
      <c r="H44" s="748">
        <f t="shared" si="38"/>
        <v>634764</v>
      </c>
      <c r="I44" s="2847">
        <f t="shared" ref="I44:L44" si="39">+I45+I50</f>
        <v>0</v>
      </c>
      <c r="J44" s="2847">
        <f t="shared" si="39"/>
        <v>0</v>
      </c>
      <c r="K44" s="2847">
        <f t="shared" si="39"/>
        <v>0</v>
      </c>
      <c r="L44" s="2847">
        <f t="shared" si="39"/>
        <v>0</v>
      </c>
      <c r="M44" s="1024">
        <f>+M45+M50</f>
        <v>1324368</v>
      </c>
      <c r="N44" s="1024">
        <f>+N45+N50</f>
        <v>1324368</v>
      </c>
      <c r="O44" s="3273"/>
      <c r="P44" s="536"/>
    </row>
    <row r="45" spans="1:16" ht="12.75" customHeight="1">
      <c r="A45" s="3250"/>
      <c r="B45" s="1025" t="s">
        <v>24</v>
      </c>
      <c r="C45" s="3283" t="s">
        <v>316</v>
      </c>
      <c r="D45" s="796">
        <f t="shared" ref="D45:N45" si="40">+D46+D49</f>
        <v>198655</v>
      </c>
      <c r="E45" s="2848">
        <f t="shared" ref="E45" si="41">+E46+E49</f>
        <v>0</v>
      </c>
      <c r="F45" s="2848">
        <f t="shared" si="40"/>
        <v>0</v>
      </c>
      <c r="G45" s="796">
        <f t="shared" si="40"/>
        <v>103441</v>
      </c>
      <c r="H45" s="796">
        <f t="shared" si="40"/>
        <v>95214</v>
      </c>
      <c r="I45" s="2848">
        <f t="shared" ref="I45:L45" si="42">+I46+I49</f>
        <v>0</v>
      </c>
      <c r="J45" s="2848">
        <f t="shared" si="42"/>
        <v>0</v>
      </c>
      <c r="K45" s="2848">
        <f t="shared" si="42"/>
        <v>0</v>
      </c>
      <c r="L45" s="2848">
        <f t="shared" si="42"/>
        <v>0</v>
      </c>
      <c r="M45" s="1153">
        <f t="shared" ref="M45" si="43">+M46+M49</f>
        <v>198655</v>
      </c>
      <c r="N45" s="1153">
        <f t="shared" si="40"/>
        <v>198655</v>
      </c>
      <c r="O45" s="3273"/>
      <c r="P45" s="535"/>
    </row>
    <row r="46" spans="1:16" ht="12.75" customHeight="1">
      <c r="A46" s="3250"/>
      <c r="B46" s="1026" t="s">
        <v>12</v>
      </c>
      <c r="C46" s="3284"/>
      <c r="D46" s="249">
        <f>E46+F46+G46+H46+I46+J46+K46+L46</f>
        <v>198655</v>
      </c>
      <c r="E46" s="2877">
        <f t="shared" ref="E46:H46" si="44">+E47+E48</f>
        <v>0</v>
      </c>
      <c r="F46" s="2877">
        <f t="shared" si="44"/>
        <v>0</v>
      </c>
      <c r="G46" s="778">
        <f t="shared" si="44"/>
        <v>103441</v>
      </c>
      <c r="H46" s="778">
        <f t="shared" si="44"/>
        <v>95214</v>
      </c>
      <c r="I46" s="2877">
        <f t="shared" ref="I46:L46" si="45">+I47+I48</f>
        <v>0</v>
      </c>
      <c r="J46" s="2877">
        <f t="shared" si="45"/>
        <v>0</v>
      </c>
      <c r="K46" s="2877">
        <f t="shared" si="45"/>
        <v>0</v>
      </c>
      <c r="L46" s="2877">
        <f t="shared" si="45"/>
        <v>0</v>
      </c>
      <c r="M46" s="1139">
        <f>SUM(F46:K46)</f>
        <v>198655</v>
      </c>
      <c r="N46" s="1095">
        <f>SUM(G46:L46)</f>
        <v>198655</v>
      </c>
      <c r="O46" s="3273"/>
      <c r="P46" s="535"/>
    </row>
    <row r="47" spans="1:16" s="2883" customFormat="1" ht="13.5" hidden="1" customHeight="1">
      <c r="A47" s="3250"/>
      <c r="B47" s="2878" t="s">
        <v>294</v>
      </c>
      <c r="C47" s="3284"/>
      <c r="D47" s="2879">
        <f>SUM(E47:L47)</f>
        <v>101173</v>
      </c>
      <c r="E47" s="2880">
        <v>0</v>
      </c>
      <c r="F47" s="2881">
        <v>0</v>
      </c>
      <c r="G47" s="2882">
        <v>51272</v>
      </c>
      <c r="H47" s="2882">
        <v>49901</v>
      </c>
      <c r="I47" s="2881">
        <v>0</v>
      </c>
      <c r="J47" s="2881">
        <v>0</v>
      </c>
      <c r="K47" s="2881">
        <v>0</v>
      </c>
      <c r="L47" s="2881">
        <v>0</v>
      </c>
      <c r="M47" s="1027"/>
      <c r="N47" s="1139">
        <f t="shared" ref="N47:N48" si="46">SUM(G47:L47)</f>
        <v>101173</v>
      </c>
      <c r="O47" s="3273"/>
      <c r="P47" s="535"/>
    </row>
    <row r="48" spans="1:16" s="2883" customFormat="1" ht="13.5" hidden="1" customHeight="1">
      <c r="A48" s="3250"/>
      <c r="B48" s="2884" t="s">
        <v>314</v>
      </c>
      <c r="C48" s="3284"/>
      <c r="D48" s="2885">
        <f>SUM(E48:L48)</f>
        <v>97482</v>
      </c>
      <c r="E48" s="2886">
        <v>0</v>
      </c>
      <c r="F48" s="2887">
        <v>0</v>
      </c>
      <c r="G48" s="2888">
        <v>52169</v>
      </c>
      <c r="H48" s="2888">
        <v>45313</v>
      </c>
      <c r="I48" s="2887">
        <v>0</v>
      </c>
      <c r="J48" s="2887">
        <v>0</v>
      </c>
      <c r="K48" s="2887">
        <v>0</v>
      </c>
      <c r="L48" s="2887">
        <v>0</v>
      </c>
      <c r="M48" s="1027"/>
      <c r="N48" s="1139">
        <f t="shared" si="46"/>
        <v>97482</v>
      </c>
      <c r="O48" s="3273"/>
      <c r="P48" s="535"/>
    </row>
    <row r="49" spans="1:16" ht="12.75" hidden="1" customHeight="1">
      <c r="A49" s="3250"/>
      <c r="B49" s="1026" t="s">
        <v>13</v>
      </c>
      <c r="C49" s="3284"/>
      <c r="D49" s="1028">
        <f>SUM(E49:G49)</f>
        <v>0</v>
      </c>
      <c r="E49" s="787">
        <v>0</v>
      </c>
      <c r="F49" s="787"/>
      <c r="G49" s="778"/>
      <c r="H49" s="778"/>
      <c r="I49" s="787"/>
      <c r="J49" s="787"/>
      <c r="K49" s="787"/>
      <c r="L49" s="787"/>
      <c r="M49" s="1027">
        <f>SUM(E49:K49)</f>
        <v>0</v>
      </c>
      <c r="N49" s="2820">
        <f>SUM(F49:L49)</f>
        <v>0</v>
      </c>
      <c r="O49" s="3273"/>
      <c r="P49" s="535"/>
    </row>
    <row r="50" spans="1:16" ht="13.5" customHeight="1">
      <c r="A50" s="3250"/>
      <c r="B50" s="1025" t="s">
        <v>18</v>
      </c>
      <c r="C50" s="3284"/>
      <c r="D50" s="1030">
        <f>+D51</f>
        <v>1125713</v>
      </c>
      <c r="E50" s="1057">
        <f t="shared" ref="E50:L50" si="47">+E51</f>
        <v>0</v>
      </c>
      <c r="F50" s="1057">
        <f t="shared" si="47"/>
        <v>0</v>
      </c>
      <c r="G50" s="1030">
        <f t="shared" si="47"/>
        <v>586163</v>
      </c>
      <c r="H50" s="1030">
        <f t="shared" si="47"/>
        <v>539550</v>
      </c>
      <c r="I50" s="1057">
        <f t="shared" si="47"/>
        <v>0</v>
      </c>
      <c r="J50" s="1057">
        <f t="shared" si="47"/>
        <v>0</v>
      </c>
      <c r="K50" s="1057">
        <f t="shared" si="47"/>
        <v>0</v>
      </c>
      <c r="L50" s="1057">
        <f t="shared" si="47"/>
        <v>0</v>
      </c>
      <c r="M50" s="1154">
        <f>+M51</f>
        <v>1125713</v>
      </c>
      <c r="N50" s="1154">
        <f>+N51</f>
        <v>1125713</v>
      </c>
      <c r="O50" s="3273"/>
      <c r="P50" s="535"/>
    </row>
    <row r="51" spans="1:16" ht="12" customHeight="1" collapsed="1">
      <c r="A51" s="3250"/>
      <c r="B51" s="1026" t="s">
        <v>21</v>
      </c>
      <c r="C51" s="3284"/>
      <c r="D51" s="249">
        <f>E51+F51+G51+H51+I51+J51+K51+L51</f>
        <v>1125713</v>
      </c>
      <c r="E51" s="787">
        <f t="shared" ref="E51:H51" si="48">+E52+E53</f>
        <v>0</v>
      </c>
      <c r="F51" s="787">
        <f t="shared" si="48"/>
        <v>0</v>
      </c>
      <c r="G51" s="778">
        <f t="shared" si="48"/>
        <v>586163</v>
      </c>
      <c r="H51" s="778">
        <f t="shared" si="48"/>
        <v>539550</v>
      </c>
      <c r="I51" s="787">
        <f t="shared" ref="I51:L51" si="49">+I52+I53</f>
        <v>0</v>
      </c>
      <c r="J51" s="787">
        <f t="shared" si="49"/>
        <v>0</v>
      </c>
      <c r="K51" s="787">
        <f t="shared" si="49"/>
        <v>0</v>
      </c>
      <c r="L51" s="787">
        <f t="shared" si="49"/>
        <v>0</v>
      </c>
      <c r="M51" s="1139">
        <f>SUM(F51:K51)</f>
        <v>1125713</v>
      </c>
      <c r="N51" s="1139">
        <f>SUM(G51:L51)</f>
        <v>1125713</v>
      </c>
      <c r="O51" s="3235"/>
      <c r="P51" s="535"/>
    </row>
    <row r="52" spans="1:16" s="2883" customFormat="1" ht="13.5" hidden="1" customHeight="1">
      <c r="A52" s="3250"/>
      <c r="B52" s="2889" t="s">
        <v>294</v>
      </c>
      <c r="C52" s="1067"/>
      <c r="D52" s="2890">
        <f>SUM(E52:L52)</f>
        <v>573315</v>
      </c>
      <c r="E52" s="2891">
        <v>0</v>
      </c>
      <c r="F52" s="2892">
        <v>0</v>
      </c>
      <c r="G52" s="2893">
        <v>290542</v>
      </c>
      <c r="H52" s="2893">
        <v>282773</v>
      </c>
      <c r="I52" s="2892">
        <v>0</v>
      </c>
      <c r="J52" s="2892">
        <v>0</v>
      </c>
      <c r="K52" s="2892">
        <v>0</v>
      </c>
      <c r="L52" s="2892">
        <v>0</v>
      </c>
      <c r="M52" s="1027"/>
      <c r="N52" s="1027"/>
      <c r="O52" s="2894"/>
      <c r="P52" s="535"/>
    </row>
    <row r="53" spans="1:16" s="2883" customFormat="1" ht="13.5" hidden="1" customHeight="1">
      <c r="A53" s="3250"/>
      <c r="B53" s="2895" t="s">
        <v>314</v>
      </c>
      <c r="C53" s="2896"/>
      <c r="D53" s="2897">
        <f>SUM(E53:L53)</f>
        <v>552398</v>
      </c>
      <c r="E53" s="2898">
        <v>0</v>
      </c>
      <c r="F53" s="2899">
        <v>0</v>
      </c>
      <c r="G53" s="2900">
        <v>295621</v>
      </c>
      <c r="H53" s="2900">
        <v>256777</v>
      </c>
      <c r="I53" s="2899">
        <v>0</v>
      </c>
      <c r="J53" s="2899">
        <v>0</v>
      </c>
      <c r="K53" s="2899">
        <v>0</v>
      </c>
      <c r="L53" s="2899">
        <v>0</v>
      </c>
      <c r="M53" s="1027"/>
      <c r="N53" s="1027"/>
      <c r="O53" s="2894"/>
      <c r="P53" s="535"/>
    </row>
    <row r="54" spans="1:16">
      <c r="A54" s="3252"/>
      <c r="B54" s="1022" t="s">
        <v>22</v>
      </c>
      <c r="C54" s="1023"/>
      <c r="D54" s="1032">
        <f t="shared" ref="D54:H54" si="50">+D55+D57</f>
        <v>1125713</v>
      </c>
      <c r="E54" s="2901">
        <f t="shared" ref="E54" si="51">+E55+E57</f>
        <v>0</v>
      </c>
      <c r="F54" s="2901">
        <f t="shared" si="50"/>
        <v>0</v>
      </c>
      <c r="G54" s="1032">
        <f t="shared" si="50"/>
        <v>586163</v>
      </c>
      <c r="H54" s="1032">
        <f t="shared" si="50"/>
        <v>539550</v>
      </c>
      <c r="I54" s="2901">
        <f t="shared" ref="I54:L54" si="52">+I55+I57</f>
        <v>0</v>
      </c>
      <c r="J54" s="2901">
        <f t="shared" si="52"/>
        <v>0</v>
      </c>
      <c r="K54" s="2901">
        <f t="shared" si="52"/>
        <v>0</v>
      </c>
      <c r="L54" s="2901">
        <f t="shared" si="52"/>
        <v>0</v>
      </c>
      <c r="M54" s="3220" t="s">
        <v>61</v>
      </c>
      <c r="N54" s="3220" t="s">
        <v>61</v>
      </c>
      <c r="O54" s="3274" t="s">
        <v>314</v>
      </c>
      <c r="P54" s="535"/>
    </row>
    <row r="55" spans="1:16" ht="13.5" hidden="1" customHeight="1">
      <c r="A55" s="3252"/>
      <c r="B55" s="1025" t="s">
        <v>24</v>
      </c>
      <c r="C55" s="3285" t="s">
        <v>315</v>
      </c>
      <c r="D55" s="1030">
        <f>+D56</f>
        <v>0</v>
      </c>
      <c r="E55" s="1057">
        <f t="shared" ref="E55:L55" si="53">+E56</f>
        <v>0</v>
      </c>
      <c r="F55" s="1057">
        <f t="shared" si="53"/>
        <v>0</v>
      </c>
      <c r="G55" s="1030">
        <f t="shared" si="53"/>
        <v>0</v>
      </c>
      <c r="H55" s="1030">
        <f t="shared" si="53"/>
        <v>0</v>
      </c>
      <c r="I55" s="1057">
        <f t="shared" si="53"/>
        <v>0</v>
      </c>
      <c r="J55" s="1057">
        <f t="shared" si="53"/>
        <v>0</v>
      </c>
      <c r="K55" s="1057">
        <f t="shared" si="53"/>
        <v>0</v>
      </c>
      <c r="L55" s="1057">
        <f t="shared" si="53"/>
        <v>0</v>
      </c>
      <c r="M55" s="3220"/>
      <c r="N55" s="3220"/>
      <c r="O55" s="3274"/>
      <c r="P55" s="535"/>
    </row>
    <row r="56" spans="1:16" ht="13.5" hidden="1" customHeight="1">
      <c r="A56" s="3252"/>
      <c r="B56" s="1026" t="s">
        <v>13</v>
      </c>
      <c r="C56" s="3286"/>
      <c r="D56" s="1028">
        <f>SUM(E56:G56)</f>
        <v>0</v>
      </c>
      <c r="E56" s="2416"/>
      <c r="F56" s="2416"/>
      <c r="G56" s="1028"/>
      <c r="H56" s="1028"/>
      <c r="I56" s="2416"/>
      <c r="J56" s="2416"/>
      <c r="K56" s="2416"/>
      <c r="L56" s="2416"/>
      <c r="M56" s="3220"/>
      <c r="N56" s="3220"/>
      <c r="O56" s="3274"/>
      <c r="P56" s="535"/>
    </row>
    <row r="57" spans="1:16" ht="13.9" customHeight="1">
      <c r="A57" s="3252"/>
      <c r="B57" s="1025" t="s">
        <v>18</v>
      </c>
      <c r="C57" s="3286"/>
      <c r="D57" s="1030">
        <f t="shared" ref="D57:L57" si="54">+D58</f>
        <v>1125713</v>
      </c>
      <c r="E57" s="1057">
        <f t="shared" si="54"/>
        <v>0</v>
      </c>
      <c r="F57" s="1057">
        <f t="shared" si="54"/>
        <v>0</v>
      </c>
      <c r="G57" s="1030">
        <f t="shared" si="54"/>
        <v>586163</v>
      </c>
      <c r="H57" s="1030">
        <f t="shared" si="54"/>
        <v>539550</v>
      </c>
      <c r="I57" s="1057">
        <f t="shared" si="54"/>
        <v>0</v>
      </c>
      <c r="J57" s="1057">
        <f t="shared" si="54"/>
        <v>0</v>
      </c>
      <c r="K57" s="1057">
        <f t="shared" si="54"/>
        <v>0</v>
      </c>
      <c r="L57" s="1057">
        <f t="shared" si="54"/>
        <v>0</v>
      </c>
      <c r="M57" s="3220"/>
      <c r="N57" s="3220"/>
      <c r="O57" s="3274"/>
      <c r="P57" s="535"/>
    </row>
    <row r="58" spans="1:16" ht="13.5" customHeight="1" thickBot="1">
      <c r="A58" s="3212"/>
      <c r="B58" s="709" t="s">
        <v>21</v>
      </c>
      <c r="C58" s="3287"/>
      <c r="D58" s="1008">
        <f>E58+F58+G58+H58+I58+J58+K58+L58</f>
        <v>1125713</v>
      </c>
      <c r="E58" s="686">
        <v>0</v>
      </c>
      <c r="F58" s="1058">
        <v>0</v>
      </c>
      <c r="G58" s="520">
        <v>586163</v>
      </c>
      <c r="H58" s="520">
        <v>539550</v>
      </c>
      <c r="I58" s="1058">
        <v>0</v>
      </c>
      <c r="J58" s="1058">
        <v>0</v>
      </c>
      <c r="K58" s="1058">
        <v>0</v>
      </c>
      <c r="L58" s="1058">
        <v>0</v>
      </c>
      <c r="M58" s="3205"/>
      <c r="N58" s="3205"/>
      <c r="O58" s="3275"/>
      <c r="P58" s="535"/>
    </row>
    <row r="59" spans="1:16" ht="0.6" customHeight="1">
      <c r="A59" s="2864"/>
      <c r="B59" s="1066" t="s">
        <v>21</v>
      </c>
      <c r="C59" s="2867"/>
      <c r="D59" s="1028">
        <f>SUM(E59:G59)</f>
        <v>0</v>
      </c>
      <c r="E59" s="778">
        <v>0</v>
      </c>
      <c r="F59" s="778"/>
      <c r="G59" s="778"/>
      <c r="H59" s="778"/>
      <c r="I59" s="778"/>
      <c r="J59" s="778"/>
      <c r="K59" s="778"/>
      <c r="L59" s="778"/>
      <c r="M59" s="2862"/>
      <c r="N59" s="2862"/>
      <c r="O59" s="2865"/>
      <c r="P59" s="535"/>
    </row>
    <row r="60" spans="1:16" ht="27" customHeight="1">
      <c r="A60" s="3276" t="s">
        <v>65</v>
      </c>
      <c r="B60" s="2825" t="s">
        <v>347</v>
      </c>
      <c r="C60" s="2467" t="s">
        <v>109</v>
      </c>
      <c r="D60" s="2138"/>
      <c r="E60" s="2468"/>
      <c r="F60" s="2468"/>
      <c r="G60" s="2468"/>
      <c r="H60" s="2468"/>
      <c r="I60" s="2468"/>
      <c r="J60" s="2468"/>
      <c r="K60" s="2468"/>
      <c r="L60" s="2468"/>
      <c r="M60" s="2103"/>
      <c r="N60" s="2103"/>
      <c r="O60" s="3224" t="s">
        <v>482</v>
      </c>
      <c r="P60" s="535"/>
    </row>
    <row r="61" spans="1:16" ht="12" customHeight="1">
      <c r="A61" s="3276"/>
      <c r="B61" s="2535" t="s">
        <v>10</v>
      </c>
      <c r="C61" s="2172"/>
      <c r="D61" s="2102">
        <f t="shared" ref="D61:I61" si="55">+D62+D65</f>
        <v>9546263</v>
      </c>
      <c r="E61" s="2102">
        <f t="shared" ref="E61" si="56">+E62+E65</f>
        <v>1741141</v>
      </c>
      <c r="F61" s="2102">
        <f t="shared" si="55"/>
        <v>1453488</v>
      </c>
      <c r="G61" s="2102">
        <f t="shared" si="55"/>
        <v>1842854</v>
      </c>
      <c r="H61" s="2102">
        <f t="shared" si="55"/>
        <v>2254390</v>
      </c>
      <c r="I61" s="2102">
        <f t="shared" si="55"/>
        <v>2254390</v>
      </c>
      <c r="J61" s="2102"/>
      <c r="K61" s="2102"/>
      <c r="L61" s="2102"/>
      <c r="M61" s="2005">
        <f>+M62+M65</f>
        <v>7805122</v>
      </c>
      <c r="N61" s="2005">
        <f>+N62+N65</f>
        <v>6351634</v>
      </c>
      <c r="O61" s="3224"/>
      <c r="P61" s="535"/>
    </row>
    <row r="62" spans="1:16" ht="12" customHeight="1">
      <c r="A62" s="3276"/>
      <c r="B62" s="2536" t="s">
        <v>24</v>
      </c>
      <c r="C62" s="3278" t="s">
        <v>121</v>
      </c>
      <c r="D62" s="2441">
        <f t="shared" ref="D62:I62" si="57">+D63+D64</f>
        <v>1500673</v>
      </c>
      <c r="E62" s="2441">
        <f t="shared" ref="E62" si="58">+E63+E64</f>
        <v>273708</v>
      </c>
      <c r="F62" s="2441">
        <f t="shared" si="57"/>
        <v>228488</v>
      </c>
      <c r="G62" s="2441">
        <f t="shared" si="57"/>
        <v>289697</v>
      </c>
      <c r="H62" s="2441">
        <f t="shared" si="57"/>
        <v>354390</v>
      </c>
      <c r="I62" s="2441">
        <f t="shared" si="57"/>
        <v>354390</v>
      </c>
      <c r="J62" s="2441"/>
      <c r="K62" s="2441"/>
      <c r="L62" s="2441"/>
      <c r="M62" s="2453">
        <f>+M63+M64</f>
        <v>1226965</v>
      </c>
      <c r="N62" s="2453">
        <f>+N63+N64</f>
        <v>998477</v>
      </c>
      <c r="O62" s="3224"/>
      <c r="P62" s="535"/>
    </row>
    <row r="63" spans="1:16" ht="12" customHeight="1">
      <c r="A63" s="3276"/>
      <c r="B63" s="2537" t="s">
        <v>12</v>
      </c>
      <c r="C63" s="3279"/>
      <c r="D63" s="1913">
        <f>E63+F63+G63+H63+I63+J63+K63+L63</f>
        <v>1500673</v>
      </c>
      <c r="E63" s="1977">
        <v>273708</v>
      </c>
      <c r="F63" s="2027">
        <f>219137+39195+186-30030</f>
        <v>228488</v>
      </c>
      <c r="G63" s="2027">
        <f>219137+40716-186+30030</f>
        <v>289697</v>
      </c>
      <c r="H63" s="2027">
        <v>354390</v>
      </c>
      <c r="I63" s="2027">
        <v>354390</v>
      </c>
      <c r="J63" s="2027"/>
      <c r="K63" s="2027"/>
      <c r="L63" s="2027"/>
      <c r="M63" s="2469">
        <f>SUM(F63:K63)</f>
        <v>1226965</v>
      </c>
      <c r="N63" s="2469">
        <f>SUM(G63:L63)</f>
        <v>998477</v>
      </c>
      <c r="O63" s="3224"/>
      <c r="P63" s="535"/>
    </row>
    <row r="64" spans="1:16" ht="12" hidden="1" customHeight="1">
      <c r="A64" s="3276"/>
      <c r="B64" s="2537" t="s">
        <v>13</v>
      </c>
      <c r="C64" s="3279"/>
      <c r="D64" s="2036"/>
      <c r="E64" s="2027"/>
      <c r="F64" s="2027"/>
      <c r="G64" s="2027"/>
      <c r="H64" s="2027"/>
      <c r="I64" s="2027"/>
      <c r="J64" s="2027"/>
      <c r="K64" s="2027"/>
      <c r="L64" s="2027"/>
      <c r="M64" s="2469">
        <f>SUM(F64:K64)</f>
        <v>0</v>
      </c>
      <c r="N64" s="2469">
        <f>SUM(G64:L64)</f>
        <v>0</v>
      </c>
      <c r="O64" s="3224"/>
      <c r="P64" s="535"/>
    </row>
    <row r="65" spans="1:16" ht="12" customHeight="1">
      <c r="A65" s="3276"/>
      <c r="B65" s="2538" t="s">
        <v>18</v>
      </c>
      <c r="C65" s="3279"/>
      <c r="D65" s="2013">
        <f>+D66</f>
        <v>8045590</v>
      </c>
      <c r="E65" s="2013">
        <f t="shared" ref="E65:I65" si="59">+E66</f>
        <v>1467433</v>
      </c>
      <c r="F65" s="2013">
        <f t="shared" si="59"/>
        <v>1225000</v>
      </c>
      <c r="G65" s="2013">
        <f t="shared" si="59"/>
        <v>1553157</v>
      </c>
      <c r="H65" s="2013">
        <f t="shared" si="59"/>
        <v>1900000</v>
      </c>
      <c r="I65" s="2013">
        <f t="shared" si="59"/>
        <v>1900000</v>
      </c>
      <c r="J65" s="2013"/>
      <c r="K65" s="2013"/>
      <c r="L65" s="2013"/>
      <c r="M65" s="2159">
        <f>+M66</f>
        <v>6578157</v>
      </c>
      <c r="N65" s="2159">
        <f>+N66</f>
        <v>5353157</v>
      </c>
      <c r="O65" s="3224"/>
      <c r="P65" s="535"/>
    </row>
    <row r="66" spans="1:16" ht="11.25" customHeight="1">
      <c r="A66" s="3276"/>
      <c r="B66" s="2537" t="s">
        <v>21</v>
      </c>
      <c r="C66" s="3279"/>
      <c r="D66" s="1913">
        <f>E66+F66+G66+H66+I66+J66+K66+L66</f>
        <v>8045590</v>
      </c>
      <c r="E66" s="1977">
        <v>1467433</v>
      </c>
      <c r="F66" s="2027">
        <f>1174863+210137+1000-161000</f>
        <v>1225000</v>
      </c>
      <c r="G66" s="2027">
        <f>1174863+218294-1000+161000</f>
        <v>1553157</v>
      </c>
      <c r="H66" s="2027">
        <v>1900000</v>
      </c>
      <c r="I66" s="2027">
        <v>1900000</v>
      </c>
      <c r="J66" s="2027"/>
      <c r="K66" s="2027"/>
      <c r="L66" s="2027"/>
      <c r="M66" s="2469">
        <f>SUM(F66:K66)</f>
        <v>6578157</v>
      </c>
      <c r="N66" s="2469">
        <f>SUM(G66:L66)</f>
        <v>5353157</v>
      </c>
      <c r="O66" s="3224"/>
      <c r="P66" s="535"/>
    </row>
    <row r="67" spans="1:16">
      <c r="A67" s="3276"/>
      <c r="B67" s="2535" t="s">
        <v>22</v>
      </c>
      <c r="C67" s="2172"/>
      <c r="D67" s="2470">
        <f t="shared" ref="D67" si="60">+D68+D70</f>
        <v>8045590</v>
      </c>
      <c r="E67" s="2470">
        <f t="shared" ref="E67" si="61">+E68+E70</f>
        <v>1467433</v>
      </c>
      <c r="F67" s="2470">
        <f>+F68+F70</f>
        <v>1225000</v>
      </c>
      <c r="G67" s="2470">
        <f>+G68+G70</f>
        <v>1553157</v>
      </c>
      <c r="H67" s="2470">
        <f t="shared" ref="H67:I67" si="62">+H68+H70</f>
        <v>1900000</v>
      </c>
      <c r="I67" s="2470">
        <f t="shared" si="62"/>
        <v>1900000</v>
      </c>
      <c r="J67" s="2470"/>
      <c r="K67" s="2470"/>
      <c r="L67" s="2470"/>
      <c r="M67" s="3204" t="s">
        <v>61</v>
      </c>
      <c r="N67" s="3204" t="s">
        <v>61</v>
      </c>
      <c r="O67" s="3277"/>
      <c r="P67" s="1886">
        <f>'[1]Tab. 6B Polit społ i rozwój prz'!$M$162+'[1]Tab. 6B Polit społ i rozwój prz'!$P$162-E67</f>
        <v>0</v>
      </c>
    </row>
    <row r="68" spans="1:16" ht="12" hidden="1" customHeight="1">
      <c r="A68" s="3276"/>
      <c r="B68" s="2536" t="s">
        <v>24</v>
      </c>
      <c r="C68" s="3280" t="s">
        <v>121</v>
      </c>
      <c r="D68" s="2013">
        <f t="shared" ref="D68:G68" si="63">+D69</f>
        <v>0</v>
      </c>
      <c r="E68" s="2013">
        <f t="shared" si="63"/>
        <v>0</v>
      </c>
      <c r="F68" s="2013">
        <f t="shared" si="63"/>
        <v>0</v>
      </c>
      <c r="G68" s="2013">
        <f t="shared" si="63"/>
        <v>0</v>
      </c>
      <c r="H68" s="2013"/>
      <c r="I68" s="2013"/>
      <c r="J68" s="2013"/>
      <c r="K68" s="2013"/>
      <c r="L68" s="2013"/>
      <c r="M68" s="3204"/>
      <c r="N68" s="3204"/>
      <c r="O68" s="3277"/>
      <c r="P68" s="535"/>
    </row>
    <row r="69" spans="1:16" ht="12" hidden="1" customHeight="1">
      <c r="A69" s="3276"/>
      <c r="B69" s="2537" t="s">
        <v>13</v>
      </c>
      <c r="C69" s="3279"/>
      <c r="D69" s="2036"/>
      <c r="E69" s="2036">
        <v>0</v>
      </c>
      <c r="F69" s="2036"/>
      <c r="G69" s="2036"/>
      <c r="H69" s="2036"/>
      <c r="I69" s="2036"/>
      <c r="J69" s="2036"/>
      <c r="K69" s="2036"/>
      <c r="L69" s="2036"/>
      <c r="M69" s="3204"/>
      <c r="N69" s="3204"/>
      <c r="O69" s="3277"/>
      <c r="P69" s="535"/>
    </row>
    <row r="70" spans="1:16" ht="12" customHeight="1">
      <c r="A70" s="3276"/>
      <c r="B70" s="2538" t="s">
        <v>18</v>
      </c>
      <c r="C70" s="3281"/>
      <c r="D70" s="2013">
        <f t="shared" ref="D70:I70" si="64">+D71</f>
        <v>8045590</v>
      </c>
      <c r="E70" s="2013">
        <f t="shared" si="64"/>
        <v>1467433</v>
      </c>
      <c r="F70" s="2013">
        <f t="shared" si="64"/>
        <v>1225000</v>
      </c>
      <c r="G70" s="2013">
        <f t="shared" si="64"/>
        <v>1553157</v>
      </c>
      <c r="H70" s="2013">
        <f t="shared" si="64"/>
        <v>1900000</v>
      </c>
      <c r="I70" s="2013">
        <f t="shared" si="64"/>
        <v>1900000</v>
      </c>
      <c r="J70" s="2013"/>
      <c r="K70" s="2013"/>
      <c r="L70" s="2013"/>
      <c r="M70" s="3204"/>
      <c r="N70" s="3204"/>
      <c r="O70" s="3277"/>
      <c r="P70" s="535"/>
    </row>
    <row r="71" spans="1:16" ht="12" customHeight="1" thickBot="1">
      <c r="A71" s="3234"/>
      <c r="B71" s="2539" t="s">
        <v>21</v>
      </c>
      <c r="C71" s="3282"/>
      <c r="D71" s="2195">
        <f>E71+F71+G71+H71+I71+J71+K71+L71</f>
        <v>8045590</v>
      </c>
      <c r="E71" s="2195">
        <v>1467433</v>
      </c>
      <c r="F71" s="2457">
        <f>1174863+210137+1000-161000</f>
        <v>1225000</v>
      </c>
      <c r="G71" s="2457">
        <f>1174863+218294-1000+161000</f>
        <v>1553157</v>
      </c>
      <c r="H71" s="2457">
        <v>1900000</v>
      </c>
      <c r="I71" s="2457">
        <v>1900000</v>
      </c>
      <c r="J71" s="2457"/>
      <c r="K71" s="2457"/>
      <c r="L71" s="2457"/>
      <c r="M71" s="3221"/>
      <c r="N71" s="3221"/>
      <c r="O71" s="3238"/>
      <c r="P71" s="535"/>
    </row>
    <row r="72" spans="1:16" ht="25.5" customHeight="1">
      <c r="A72" s="3232" t="s">
        <v>66</v>
      </c>
      <c r="B72" s="517" t="s">
        <v>348</v>
      </c>
      <c r="C72" s="518" t="s">
        <v>81</v>
      </c>
      <c r="D72" s="85"/>
      <c r="E72" s="86"/>
      <c r="F72" s="86"/>
      <c r="G72" s="86"/>
      <c r="H72" s="86"/>
      <c r="I72" s="86"/>
      <c r="J72" s="86"/>
      <c r="K72" s="86"/>
      <c r="L72" s="86"/>
      <c r="M72" s="519"/>
      <c r="N72" s="519"/>
      <c r="O72" s="3235" t="s">
        <v>483</v>
      </c>
      <c r="P72" s="535"/>
    </row>
    <row r="73" spans="1:16" ht="14.25" customHeight="1">
      <c r="A73" s="3233"/>
      <c r="B73" s="1022" t="s">
        <v>10</v>
      </c>
      <c r="C73" s="1023"/>
      <c r="D73" s="748">
        <f t="shared" ref="D73:F73" si="65">+D74+D77</f>
        <v>36503</v>
      </c>
      <c r="E73" s="748">
        <f t="shared" ref="E73" si="66">+E74+E77</f>
        <v>18705</v>
      </c>
      <c r="F73" s="748">
        <f t="shared" si="65"/>
        <v>17798</v>
      </c>
      <c r="G73" s="748"/>
      <c r="H73" s="748"/>
      <c r="I73" s="748"/>
      <c r="J73" s="748"/>
      <c r="K73" s="748"/>
      <c r="L73" s="748"/>
      <c r="M73" s="1024">
        <f>+M74+M77</f>
        <v>17798</v>
      </c>
      <c r="N73" s="1024">
        <f>+N74+N77</f>
        <v>0</v>
      </c>
      <c r="O73" s="3236"/>
      <c r="P73" s="535"/>
    </row>
    <row r="74" spans="1:16" ht="12" customHeight="1">
      <c r="A74" s="3233"/>
      <c r="B74" s="1025" t="s">
        <v>24</v>
      </c>
      <c r="C74" s="3239" t="s">
        <v>121</v>
      </c>
      <c r="D74" s="796">
        <f t="shared" ref="D74:F74" si="67">+D75+D76</f>
        <v>5738</v>
      </c>
      <c r="E74" s="796">
        <f t="shared" ref="E74" si="68">+E75+E76</f>
        <v>2940</v>
      </c>
      <c r="F74" s="796">
        <f t="shared" si="67"/>
        <v>2798</v>
      </c>
      <c r="G74" s="796"/>
      <c r="H74" s="796"/>
      <c r="I74" s="796"/>
      <c r="J74" s="796"/>
      <c r="K74" s="796"/>
      <c r="L74" s="796"/>
      <c r="M74" s="794">
        <f>+M75+M76</f>
        <v>2798</v>
      </c>
      <c r="N74" s="794">
        <f>+N75+N76</f>
        <v>0</v>
      </c>
      <c r="O74" s="3236"/>
      <c r="P74" s="535"/>
    </row>
    <row r="75" spans="1:16" ht="12" customHeight="1">
      <c r="A75" s="3233"/>
      <c r="B75" s="1026" t="s">
        <v>12</v>
      </c>
      <c r="C75" s="3240"/>
      <c r="D75" s="249">
        <f>E75+F75+G75+H75+I75+J75+K75+L75</f>
        <v>5738</v>
      </c>
      <c r="E75" s="286">
        <v>2940</v>
      </c>
      <c r="F75" s="778">
        <v>2798</v>
      </c>
      <c r="G75" s="778"/>
      <c r="H75" s="778"/>
      <c r="I75" s="778"/>
      <c r="J75" s="778"/>
      <c r="K75" s="778"/>
      <c r="L75" s="778"/>
      <c r="M75" s="1139">
        <f>SUM(F75:K75)</f>
        <v>2798</v>
      </c>
      <c r="N75" s="1139">
        <f>SUM(G75:L75)</f>
        <v>0</v>
      </c>
      <c r="O75" s="3236"/>
      <c r="P75" s="535"/>
    </row>
    <row r="76" spans="1:16" ht="12" hidden="1" customHeight="1">
      <c r="A76" s="3233"/>
      <c r="B76" s="1026" t="s">
        <v>13</v>
      </c>
      <c r="C76" s="3240"/>
      <c r="D76" s="1028"/>
      <c r="E76" s="778"/>
      <c r="F76" s="778"/>
      <c r="G76" s="778"/>
      <c r="H76" s="778"/>
      <c r="I76" s="778"/>
      <c r="J76" s="778"/>
      <c r="K76" s="778"/>
      <c r="L76" s="778"/>
      <c r="M76" s="1139">
        <f>SUM(F76:K76)</f>
        <v>0</v>
      </c>
      <c r="N76" s="1139">
        <f>SUM(G76:L76)</f>
        <v>0</v>
      </c>
      <c r="O76" s="3236"/>
      <c r="P76" s="535"/>
    </row>
    <row r="77" spans="1:16" ht="12" customHeight="1">
      <c r="A77" s="3233"/>
      <c r="B77" s="1029" t="s">
        <v>18</v>
      </c>
      <c r="C77" s="3240"/>
      <c r="D77" s="1030">
        <f>+D78</f>
        <v>30765</v>
      </c>
      <c r="E77" s="1030">
        <f t="shared" ref="E77:F77" si="69">+E78</f>
        <v>15765</v>
      </c>
      <c r="F77" s="1030">
        <f t="shared" si="69"/>
        <v>15000</v>
      </c>
      <c r="G77" s="1030"/>
      <c r="H77" s="1030"/>
      <c r="I77" s="1030"/>
      <c r="J77" s="1030"/>
      <c r="K77" s="1030"/>
      <c r="L77" s="1030"/>
      <c r="M77" s="1031">
        <f>+M78</f>
        <v>15000</v>
      </c>
      <c r="N77" s="1031">
        <f>+N78</f>
        <v>0</v>
      </c>
      <c r="O77" s="3236"/>
      <c r="P77" s="535"/>
    </row>
    <row r="78" spans="1:16" ht="12" customHeight="1">
      <c r="A78" s="3233"/>
      <c r="B78" s="1026" t="s">
        <v>21</v>
      </c>
      <c r="C78" s="3240"/>
      <c r="D78" s="249">
        <f>E78+F78+G78+H78+I78+J78+K78+L78</f>
        <v>30765</v>
      </c>
      <c r="E78" s="286">
        <v>15765</v>
      </c>
      <c r="F78" s="778">
        <v>15000</v>
      </c>
      <c r="G78" s="778"/>
      <c r="H78" s="778"/>
      <c r="I78" s="778"/>
      <c r="J78" s="778"/>
      <c r="K78" s="778"/>
      <c r="L78" s="778"/>
      <c r="M78" s="1139">
        <f>SUM(F78:K78)</f>
        <v>15000</v>
      </c>
      <c r="N78" s="1139">
        <f>SUM(G78:L78)</f>
        <v>0</v>
      </c>
      <c r="O78" s="3236"/>
      <c r="P78" s="535"/>
    </row>
    <row r="79" spans="1:16">
      <c r="A79" s="3233"/>
      <c r="B79" s="1022" t="s">
        <v>22</v>
      </c>
      <c r="C79" s="1023"/>
      <c r="D79" s="1032">
        <f t="shared" ref="D79" si="70">+D80+D82</f>
        <v>30765</v>
      </c>
      <c r="E79" s="1032">
        <f t="shared" ref="E79" si="71">+E80+E82</f>
        <v>15765</v>
      </c>
      <c r="F79" s="1032">
        <f>+F80+F82</f>
        <v>15000</v>
      </c>
      <c r="G79" s="1032"/>
      <c r="H79" s="1032"/>
      <c r="I79" s="1032"/>
      <c r="J79" s="1032"/>
      <c r="K79" s="1032"/>
      <c r="L79" s="1032"/>
      <c r="M79" s="3220" t="s">
        <v>61</v>
      </c>
      <c r="N79" s="3220" t="s">
        <v>61</v>
      </c>
      <c r="O79" s="3237"/>
      <c r="P79" s="535"/>
    </row>
    <row r="80" spans="1:16" ht="12" hidden="1" customHeight="1">
      <c r="A80" s="3233"/>
      <c r="B80" s="1025" t="s">
        <v>24</v>
      </c>
      <c r="C80" s="3255" t="s">
        <v>121</v>
      </c>
      <c r="D80" s="1030">
        <f t="shared" ref="D80:E80" si="72">+D81</f>
        <v>0</v>
      </c>
      <c r="E80" s="1030">
        <f t="shared" si="72"/>
        <v>0</v>
      </c>
      <c r="F80" s="1030"/>
      <c r="G80" s="1030"/>
      <c r="H80" s="1030"/>
      <c r="I80" s="1030"/>
      <c r="J80" s="1030"/>
      <c r="K80" s="1030"/>
      <c r="L80" s="1030"/>
      <c r="M80" s="3220"/>
      <c r="N80" s="3220"/>
      <c r="O80" s="3237"/>
      <c r="P80" s="535"/>
    </row>
    <row r="81" spans="1:19" ht="12" hidden="1" customHeight="1">
      <c r="A81" s="3233"/>
      <c r="B81" s="1026" t="s">
        <v>13</v>
      </c>
      <c r="C81" s="3240"/>
      <c r="D81" s="1028"/>
      <c r="E81" s="1028">
        <v>0</v>
      </c>
      <c r="F81" s="1028"/>
      <c r="G81" s="1028"/>
      <c r="H81" s="1028"/>
      <c r="I81" s="1028"/>
      <c r="J81" s="1028"/>
      <c r="K81" s="1028"/>
      <c r="L81" s="1028"/>
      <c r="M81" s="3220"/>
      <c r="N81" s="3220"/>
      <c r="O81" s="3237"/>
      <c r="P81" s="535"/>
    </row>
    <row r="82" spans="1:19" ht="12" customHeight="1">
      <c r="A82" s="3233"/>
      <c r="B82" s="1029" t="s">
        <v>18</v>
      </c>
      <c r="C82" s="3256"/>
      <c r="D82" s="1030">
        <f t="shared" ref="D82:F82" si="73">+D83</f>
        <v>30765</v>
      </c>
      <c r="E82" s="1030">
        <f t="shared" si="73"/>
        <v>15765</v>
      </c>
      <c r="F82" s="1030">
        <f t="shared" si="73"/>
        <v>15000</v>
      </c>
      <c r="G82" s="1030"/>
      <c r="H82" s="1030"/>
      <c r="I82" s="1030"/>
      <c r="J82" s="1030"/>
      <c r="K82" s="1030"/>
      <c r="L82" s="1030"/>
      <c r="M82" s="3220"/>
      <c r="N82" s="3220"/>
      <c r="O82" s="3237"/>
      <c r="P82" s="535"/>
    </row>
    <row r="83" spans="1:19" ht="12" customHeight="1" thickBot="1">
      <c r="A83" s="3234"/>
      <c r="B83" s="610" t="s">
        <v>21</v>
      </c>
      <c r="C83" s="3257"/>
      <c r="D83" s="1008">
        <f>E83+F83+G83+H83+I83+J83+K83+L83</f>
        <v>30765</v>
      </c>
      <c r="E83" s="1008">
        <v>15765</v>
      </c>
      <c r="F83" s="520">
        <v>15000</v>
      </c>
      <c r="G83" s="520"/>
      <c r="H83" s="520"/>
      <c r="I83" s="520"/>
      <c r="J83" s="520"/>
      <c r="K83" s="520"/>
      <c r="L83" s="520"/>
      <c r="M83" s="3205"/>
      <c r="N83" s="3205"/>
      <c r="O83" s="3238"/>
      <c r="P83" s="535"/>
    </row>
    <row r="84" spans="1:19" ht="18" customHeight="1">
      <c r="A84" s="3233" t="s">
        <v>67</v>
      </c>
      <c r="B84" s="2540" t="s">
        <v>304</v>
      </c>
      <c r="C84" s="1548" t="s">
        <v>109</v>
      </c>
      <c r="D84" s="1549"/>
      <c r="E84" s="1550"/>
      <c r="F84" s="1550"/>
      <c r="G84" s="1550"/>
      <c r="H84" s="1550"/>
      <c r="I84" s="1550"/>
      <c r="J84" s="1550"/>
      <c r="K84" s="1550"/>
      <c r="L84" s="1550"/>
      <c r="M84" s="1551"/>
      <c r="N84" s="1551"/>
      <c r="O84" s="3236" t="s">
        <v>321</v>
      </c>
      <c r="P84" s="535"/>
      <c r="S84" s="413"/>
    </row>
    <row r="85" spans="1:19" ht="12" customHeight="1">
      <c r="A85" s="3233"/>
      <c r="B85" s="2541" t="s">
        <v>10</v>
      </c>
      <c r="C85" s="1552"/>
      <c r="D85" s="1553">
        <f>+D86+D89</f>
        <v>75096479</v>
      </c>
      <c r="E85" s="1553">
        <f t="shared" ref="E85" si="74">+E86+E89</f>
        <v>8674017</v>
      </c>
      <c r="F85" s="1553">
        <f t="shared" ref="F85:N85" si="75">+F86+F89</f>
        <v>10034300</v>
      </c>
      <c r="G85" s="1553">
        <f t="shared" si="75"/>
        <v>10365509</v>
      </c>
      <c r="H85" s="1553">
        <f t="shared" si="75"/>
        <v>9681275</v>
      </c>
      <c r="I85" s="1553">
        <f t="shared" si="75"/>
        <v>9701275</v>
      </c>
      <c r="J85" s="1553">
        <f t="shared" si="75"/>
        <v>9597275</v>
      </c>
      <c r="K85" s="1553">
        <f t="shared" si="75"/>
        <v>8877275</v>
      </c>
      <c r="L85" s="1553">
        <f t="shared" si="75"/>
        <v>8165553</v>
      </c>
      <c r="M85" s="1554">
        <f t="shared" ref="M85" si="76">+M86+M89</f>
        <v>66422462</v>
      </c>
      <c r="N85" s="1554">
        <f t="shared" si="75"/>
        <v>56388162</v>
      </c>
      <c r="O85" s="3236"/>
      <c r="P85" s="536"/>
      <c r="Q85" s="407"/>
      <c r="R85" s="407"/>
      <c r="S85" s="407"/>
    </row>
    <row r="86" spans="1:19" ht="14.25" customHeight="1">
      <c r="A86" s="3233"/>
      <c r="B86" s="2542" t="s">
        <v>24</v>
      </c>
      <c r="C86" s="3243" t="s">
        <v>121</v>
      </c>
      <c r="D86" s="1513">
        <f t="shared" ref="D86" si="77">+D87+D88</f>
        <v>11264472</v>
      </c>
      <c r="E86" s="1513">
        <f t="shared" ref="E86" si="78">+E87+E88</f>
        <v>1301102</v>
      </c>
      <c r="F86" s="1513">
        <f t="shared" ref="F86:N86" si="79">+F87+F88</f>
        <v>1505144</v>
      </c>
      <c r="G86" s="1513">
        <f t="shared" si="79"/>
        <v>1554827</v>
      </c>
      <c r="H86" s="1513">
        <f t="shared" si="79"/>
        <v>1452191</v>
      </c>
      <c r="I86" s="1513">
        <f t="shared" si="79"/>
        <v>1455191</v>
      </c>
      <c r="J86" s="1513">
        <f t="shared" si="79"/>
        <v>1439591</v>
      </c>
      <c r="K86" s="1513">
        <f t="shared" si="79"/>
        <v>1331592</v>
      </c>
      <c r="L86" s="1513">
        <f t="shared" si="79"/>
        <v>1224834</v>
      </c>
      <c r="M86" s="1515">
        <f t="shared" ref="M86" si="80">+M87+M88</f>
        <v>9963370</v>
      </c>
      <c r="N86" s="1515">
        <f t="shared" si="79"/>
        <v>8458226</v>
      </c>
      <c r="O86" s="3236"/>
      <c r="P86" s="535"/>
    </row>
    <row r="87" spans="1:19" ht="13.5" customHeight="1">
      <c r="A87" s="3233"/>
      <c r="B87" s="2543" t="s">
        <v>12</v>
      </c>
      <c r="C87" s="3244"/>
      <c r="D87" s="249">
        <f>E87+F87+G87+H87+I87+J87+K87+L87</f>
        <v>11264472</v>
      </c>
      <c r="E87" s="286">
        <v>1301102</v>
      </c>
      <c r="F87" s="1498">
        <f>1467941+1868-1500+27303+9532</f>
        <v>1505144</v>
      </c>
      <c r="G87" s="1498">
        <f>1467941+12137+74749</f>
        <v>1554827</v>
      </c>
      <c r="H87" s="1498">
        <v>1452191</v>
      </c>
      <c r="I87" s="1498">
        <v>1455191</v>
      </c>
      <c r="J87" s="1498">
        <v>1439591</v>
      </c>
      <c r="K87" s="1498">
        <v>1331592</v>
      </c>
      <c r="L87" s="1498">
        <f>1299583-74749</f>
        <v>1224834</v>
      </c>
      <c r="M87" s="1139">
        <f>SUM(F87:L87)</f>
        <v>9963370</v>
      </c>
      <c r="N87" s="1139">
        <f>SUM(G87:L87)</f>
        <v>8458226</v>
      </c>
      <c r="O87" s="3236"/>
      <c r="P87" s="536">
        <f>+N87-D87</f>
        <v>-2806246</v>
      </c>
    </row>
    <row r="88" spans="1:19" ht="13.5" hidden="1" customHeight="1">
      <c r="A88" s="3233"/>
      <c r="B88" s="2543" t="s">
        <v>13</v>
      </c>
      <c r="C88" s="3244"/>
      <c r="D88" s="249">
        <f>E88+F88+G88+H88+I88+J88+K88+L88</f>
        <v>0</v>
      </c>
      <c r="E88" s="1537">
        <v>0</v>
      </c>
      <c r="F88" s="1537"/>
      <c r="G88" s="1537"/>
      <c r="H88" s="1537"/>
      <c r="I88" s="1537"/>
      <c r="J88" s="1537"/>
      <c r="K88" s="1537"/>
      <c r="L88" s="1537"/>
      <c r="M88" s="1139">
        <f>SUM(F88:K88)</f>
        <v>0</v>
      </c>
      <c r="N88" s="1139">
        <f>SUM(G88:L88)</f>
        <v>0</v>
      </c>
      <c r="O88" s="3236"/>
      <c r="P88" s="535"/>
    </row>
    <row r="89" spans="1:19" ht="13.5" customHeight="1">
      <c r="A89" s="3233"/>
      <c r="B89" s="2544" t="s">
        <v>18</v>
      </c>
      <c r="C89" s="3244"/>
      <c r="D89" s="1556">
        <f>+D90</f>
        <v>63832007</v>
      </c>
      <c r="E89" s="1556">
        <f t="shared" ref="E89:N89" si="81">+E90</f>
        <v>7372915</v>
      </c>
      <c r="F89" s="1556">
        <f t="shared" si="81"/>
        <v>8529156</v>
      </c>
      <c r="G89" s="1556">
        <f t="shared" si="81"/>
        <v>8810682</v>
      </c>
      <c r="H89" s="1556">
        <f t="shared" si="81"/>
        <v>8229084</v>
      </c>
      <c r="I89" s="1556">
        <f t="shared" si="81"/>
        <v>8246084</v>
      </c>
      <c r="J89" s="1556">
        <f t="shared" si="81"/>
        <v>8157684</v>
      </c>
      <c r="K89" s="1556">
        <f t="shared" si="81"/>
        <v>7545683</v>
      </c>
      <c r="L89" s="1556">
        <f t="shared" si="81"/>
        <v>6940719</v>
      </c>
      <c r="M89" s="1557">
        <f t="shared" si="81"/>
        <v>56459092</v>
      </c>
      <c r="N89" s="1557">
        <f t="shared" si="81"/>
        <v>47929936</v>
      </c>
      <c r="O89" s="3236"/>
      <c r="P89" s="536">
        <f>+N89-D89</f>
        <v>-15902071</v>
      </c>
    </row>
    <row r="90" spans="1:19" ht="13.5" customHeight="1">
      <c r="A90" s="3233"/>
      <c r="B90" s="2543" t="s">
        <v>21</v>
      </c>
      <c r="C90" s="3244"/>
      <c r="D90" s="249">
        <f>E90+F90+G90+H90+I90+J90+K90+L90</f>
        <v>63832007</v>
      </c>
      <c r="E90" s="286">
        <v>7372915</v>
      </c>
      <c r="F90" s="1558">
        <f>8318334+10585-8500+154719+54018</f>
        <v>8529156</v>
      </c>
      <c r="G90" s="1559">
        <f>8318334+68767+423581</f>
        <v>8810682</v>
      </c>
      <c r="H90" s="1559">
        <v>8229084</v>
      </c>
      <c r="I90" s="1559">
        <v>8246084</v>
      </c>
      <c r="J90" s="1559">
        <v>8157684</v>
      </c>
      <c r="K90" s="1559">
        <v>7545683</v>
      </c>
      <c r="L90" s="1559">
        <f>7364300-423581</f>
        <v>6940719</v>
      </c>
      <c r="M90" s="1139">
        <f>SUM(F90:L90)</f>
        <v>56459092</v>
      </c>
      <c r="N90" s="1139">
        <f>SUM(G90:L90)</f>
        <v>47929936</v>
      </c>
      <c r="O90" s="3236"/>
      <c r="P90" s="535"/>
    </row>
    <row r="91" spans="1:19" s="414" customFormat="1" ht="13.5" customHeight="1">
      <c r="A91" s="3233"/>
      <c r="B91" s="2541" t="s">
        <v>22</v>
      </c>
      <c r="C91" s="1552"/>
      <c r="D91" s="1560">
        <f t="shared" ref="D91" si="82">+D92+D94</f>
        <v>63832007</v>
      </c>
      <c r="E91" s="1560">
        <f t="shared" ref="E91" si="83">+E92+E94</f>
        <v>7372915</v>
      </c>
      <c r="F91" s="1560">
        <f>+F92+F94</f>
        <v>8529156</v>
      </c>
      <c r="G91" s="1560">
        <f t="shared" ref="G91:L91" si="84">+G92+G94</f>
        <v>8810682</v>
      </c>
      <c r="H91" s="1560">
        <f t="shared" si="84"/>
        <v>8229084</v>
      </c>
      <c r="I91" s="1560">
        <f t="shared" si="84"/>
        <v>8246084</v>
      </c>
      <c r="J91" s="1560">
        <f t="shared" si="84"/>
        <v>8157684</v>
      </c>
      <c r="K91" s="1560">
        <f t="shared" si="84"/>
        <v>7545683</v>
      </c>
      <c r="L91" s="1560">
        <f t="shared" si="84"/>
        <v>6940719</v>
      </c>
      <c r="M91" s="3222" t="s">
        <v>61</v>
      </c>
      <c r="N91" s="3222" t="s">
        <v>61</v>
      </c>
      <c r="O91" s="3237"/>
      <c r="P91" s="539"/>
    </row>
    <row r="92" spans="1:19" ht="11.25" hidden="1" customHeight="1">
      <c r="A92" s="3233"/>
      <c r="B92" s="2542" t="s">
        <v>24</v>
      </c>
      <c r="C92" s="3245" t="s">
        <v>245</v>
      </c>
      <c r="D92" s="1556">
        <f t="shared" ref="D92:L92" si="85">+D93</f>
        <v>0</v>
      </c>
      <c r="E92" s="1556">
        <f t="shared" si="85"/>
        <v>0</v>
      </c>
      <c r="F92" s="1556">
        <f t="shared" si="85"/>
        <v>0</v>
      </c>
      <c r="G92" s="1556">
        <f t="shared" si="85"/>
        <v>0</v>
      </c>
      <c r="H92" s="1556">
        <f t="shared" si="85"/>
        <v>0</v>
      </c>
      <c r="I92" s="1556">
        <f t="shared" si="85"/>
        <v>0</v>
      </c>
      <c r="J92" s="1556">
        <f t="shared" si="85"/>
        <v>0</v>
      </c>
      <c r="K92" s="1556">
        <f t="shared" si="85"/>
        <v>0</v>
      </c>
      <c r="L92" s="1556">
        <f t="shared" si="85"/>
        <v>0</v>
      </c>
      <c r="M92" s="3222"/>
      <c r="N92" s="3222"/>
      <c r="O92" s="3237"/>
      <c r="P92" s="535"/>
    </row>
    <row r="93" spans="1:19" ht="11.25" hidden="1" customHeight="1">
      <c r="A93" s="3233"/>
      <c r="B93" s="2543" t="s">
        <v>13</v>
      </c>
      <c r="C93" s="3245"/>
      <c r="D93" s="249">
        <f>E93+F93+G93+H93+I93+J93+K93+L93</f>
        <v>0</v>
      </c>
      <c r="E93" s="1555"/>
      <c r="F93" s="1555"/>
      <c r="G93" s="1555"/>
      <c r="H93" s="1555"/>
      <c r="I93" s="1555"/>
      <c r="J93" s="1555"/>
      <c r="K93" s="1555"/>
      <c r="L93" s="1555"/>
      <c r="M93" s="3222"/>
      <c r="N93" s="3222"/>
      <c r="O93" s="3237"/>
      <c r="P93" s="535"/>
    </row>
    <row r="94" spans="1:19" ht="13.5" customHeight="1">
      <c r="A94" s="3233"/>
      <c r="B94" s="2544" t="s">
        <v>18</v>
      </c>
      <c r="C94" s="3245"/>
      <c r="D94" s="1556">
        <f t="shared" ref="D94:L94" si="86">+D95</f>
        <v>63832007</v>
      </c>
      <c r="E94" s="1556">
        <f t="shared" si="86"/>
        <v>7372915</v>
      </c>
      <c r="F94" s="1556">
        <f t="shared" si="86"/>
        <v>8529156</v>
      </c>
      <c r="G94" s="1556">
        <f t="shared" si="86"/>
        <v>8810682</v>
      </c>
      <c r="H94" s="1556">
        <f t="shared" si="86"/>
        <v>8229084</v>
      </c>
      <c r="I94" s="1556">
        <f t="shared" si="86"/>
        <v>8246084</v>
      </c>
      <c r="J94" s="1556">
        <f t="shared" si="86"/>
        <v>8157684</v>
      </c>
      <c r="K94" s="1556">
        <f t="shared" si="86"/>
        <v>7545683</v>
      </c>
      <c r="L94" s="1556">
        <f t="shared" si="86"/>
        <v>6940719</v>
      </c>
      <c r="M94" s="3222"/>
      <c r="N94" s="3222"/>
      <c r="O94" s="3237"/>
      <c r="P94" s="535"/>
    </row>
    <row r="95" spans="1:19" ht="15" customHeight="1" thickBot="1">
      <c r="A95" s="3234"/>
      <c r="B95" s="709" t="s">
        <v>21</v>
      </c>
      <c r="C95" s="3242"/>
      <c r="D95" s="1008">
        <f>E95+F95+G95+H95+I95+J95+K95+L95</f>
        <v>63832007</v>
      </c>
      <c r="E95" s="1008">
        <v>7372915</v>
      </c>
      <c r="F95" s="710">
        <f>8318334+10585-8500+154719+54018</f>
        <v>8529156</v>
      </c>
      <c r="G95" s="710">
        <f>8318334+68767+423581</f>
        <v>8810682</v>
      </c>
      <c r="H95" s="710">
        <v>8229084</v>
      </c>
      <c r="I95" s="710">
        <v>8246084</v>
      </c>
      <c r="J95" s="710">
        <v>8157684</v>
      </c>
      <c r="K95" s="710">
        <v>7545683</v>
      </c>
      <c r="L95" s="710">
        <f>7364300-423581</f>
        <v>6940719</v>
      </c>
      <c r="M95" s="3205"/>
      <c r="N95" s="3205"/>
      <c r="O95" s="3238"/>
      <c r="P95" s="535"/>
    </row>
    <row r="96" spans="1:19" ht="24">
      <c r="A96" s="3232" t="s">
        <v>115</v>
      </c>
      <c r="B96" s="517" t="s">
        <v>340</v>
      </c>
      <c r="C96" s="518" t="s">
        <v>81</v>
      </c>
      <c r="D96" s="85"/>
      <c r="E96" s="86"/>
      <c r="F96" s="86"/>
      <c r="G96" s="86"/>
      <c r="H96" s="86"/>
      <c r="I96" s="86"/>
      <c r="J96" s="86"/>
      <c r="K96" s="86"/>
      <c r="L96" s="86"/>
      <c r="M96" s="519"/>
      <c r="N96" s="519"/>
      <c r="O96" s="3235" t="s">
        <v>321</v>
      </c>
      <c r="P96" s="535"/>
    </row>
    <row r="97" spans="1:16">
      <c r="A97" s="3233"/>
      <c r="B97" s="1022" t="s">
        <v>10</v>
      </c>
      <c r="C97" s="1023"/>
      <c r="D97" s="748">
        <f t="shared" ref="D97:N97" si="87">+D98+D101</f>
        <v>83250</v>
      </c>
      <c r="E97" s="748">
        <f t="shared" ref="E97" si="88">+E98+E101</f>
        <v>7250</v>
      </c>
      <c r="F97" s="748">
        <f t="shared" si="87"/>
        <v>76000</v>
      </c>
      <c r="G97" s="748">
        <f t="shared" si="87"/>
        <v>0</v>
      </c>
      <c r="H97" s="748">
        <f t="shared" si="87"/>
        <v>0</v>
      </c>
      <c r="I97" s="748">
        <f t="shared" si="87"/>
        <v>0</v>
      </c>
      <c r="J97" s="748">
        <f t="shared" si="87"/>
        <v>0</v>
      </c>
      <c r="K97" s="748">
        <f t="shared" si="87"/>
        <v>0</v>
      </c>
      <c r="L97" s="748">
        <f t="shared" si="87"/>
        <v>0</v>
      </c>
      <c r="M97" s="1024">
        <f t="shared" ref="M97" si="89">+M98+M101</f>
        <v>76000</v>
      </c>
      <c r="N97" s="1024">
        <f t="shared" si="87"/>
        <v>0</v>
      </c>
      <c r="O97" s="3236"/>
      <c r="P97" s="535"/>
    </row>
    <row r="98" spans="1:16">
      <c r="A98" s="3233"/>
      <c r="B98" s="1025" t="s">
        <v>24</v>
      </c>
      <c r="C98" s="3239" t="s">
        <v>121</v>
      </c>
      <c r="D98" s="796">
        <f t="shared" ref="D98:N98" si="90">+D99+D100</f>
        <v>12487</v>
      </c>
      <c r="E98" s="796">
        <f t="shared" ref="E98" si="91">+E99+E100</f>
        <v>1087</v>
      </c>
      <c r="F98" s="796">
        <f t="shared" si="90"/>
        <v>11400</v>
      </c>
      <c r="G98" s="796">
        <f t="shared" si="90"/>
        <v>0</v>
      </c>
      <c r="H98" s="796">
        <f t="shared" si="90"/>
        <v>0</v>
      </c>
      <c r="I98" s="796">
        <f t="shared" si="90"/>
        <v>0</v>
      </c>
      <c r="J98" s="796">
        <f t="shared" si="90"/>
        <v>0</v>
      </c>
      <c r="K98" s="796">
        <f t="shared" si="90"/>
        <v>0</v>
      </c>
      <c r="L98" s="796">
        <f t="shared" si="90"/>
        <v>0</v>
      </c>
      <c r="M98" s="794">
        <f t="shared" ref="M98" si="92">+M99+M100</f>
        <v>11400</v>
      </c>
      <c r="N98" s="794">
        <f t="shared" si="90"/>
        <v>0</v>
      </c>
      <c r="O98" s="3236"/>
      <c r="P98" s="535"/>
    </row>
    <row r="99" spans="1:16">
      <c r="A99" s="3233"/>
      <c r="B99" s="1026" t="s">
        <v>12</v>
      </c>
      <c r="C99" s="3240"/>
      <c r="D99" s="249">
        <f>E99+F99+G99+H99+I99+J99+K99+L99</f>
        <v>12487</v>
      </c>
      <c r="E99" s="286">
        <v>1087</v>
      </c>
      <c r="F99" s="722">
        <f>1500+9900</f>
        <v>11400</v>
      </c>
      <c r="G99" s="722"/>
      <c r="H99" s="722"/>
      <c r="I99" s="722"/>
      <c r="J99" s="722"/>
      <c r="K99" s="722"/>
      <c r="L99" s="722"/>
      <c r="M99" s="1139">
        <f>SUM(F99:K99)</f>
        <v>11400</v>
      </c>
      <c r="N99" s="1139">
        <f>SUM(G99:L99)</f>
        <v>0</v>
      </c>
      <c r="O99" s="3236"/>
      <c r="P99" s="535"/>
    </row>
    <row r="100" spans="1:16" hidden="1">
      <c r="A100" s="3233"/>
      <c r="B100" s="1026" t="s">
        <v>13</v>
      </c>
      <c r="C100" s="3240"/>
      <c r="D100" s="249">
        <f>E100+F100+G100+H100+I100+J100+K100+L100</f>
        <v>0</v>
      </c>
      <c r="E100" s="778">
        <v>0</v>
      </c>
      <c r="F100" s="778"/>
      <c r="G100" s="778"/>
      <c r="H100" s="778"/>
      <c r="I100" s="778"/>
      <c r="J100" s="778"/>
      <c r="K100" s="778"/>
      <c r="L100" s="778"/>
      <c r="M100" s="1139">
        <f>SUM(F100:K100)</f>
        <v>0</v>
      </c>
      <c r="N100" s="1139">
        <f>SUM(G100:L100)</f>
        <v>0</v>
      </c>
      <c r="O100" s="3236"/>
      <c r="P100" s="535"/>
    </row>
    <row r="101" spans="1:16">
      <c r="A101" s="3233"/>
      <c r="B101" s="1029" t="s">
        <v>18</v>
      </c>
      <c r="C101" s="3240"/>
      <c r="D101" s="1030">
        <f>+D102</f>
        <v>70763</v>
      </c>
      <c r="E101" s="1030">
        <f t="shared" ref="E101:N101" si="93">+E102</f>
        <v>6163</v>
      </c>
      <c r="F101" s="1030">
        <f t="shared" si="93"/>
        <v>64600</v>
      </c>
      <c r="G101" s="1030">
        <f t="shared" si="93"/>
        <v>0</v>
      </c>
      <c r="H101" s="1030">
        <f t="shared" si="93"/>
        <v>0</v>
      </c>
      <c r="I101" s="1030">
        <f t="shared" si="93"/>
        <v>0</v>
      </c>
      <c r="J101" s="1030">
        <f t="shared" si="93"/>
        <v>0</v>
      </c>
      <c r="K101" s="1030">
        <f t="shared" si="93"/>
        <v>0</v>
      </c>
      <c r="L101" s="1030">
        <f t="shared" si="93"/>
        <v>0</v>
      </c>
      <c r="M101" s="1031">
        <f t="shared" si="93"/>
        <v>64600</v>
      </c>
      <c r="N101" s="1031">
        <f t="shared" si="93"/>
        <v>0</v>
      </c>
      <c r="O101" s="3236"/>
      <c r="P101" s="535"/>
    </row>
    <row r="102" spans="1:16">
      <c r="A102" s="3233"/>
      <c r="B102" s="1026" t="s">
        <v>21</v>
      </c>
      <c r="C102" s="3240"/>
      <c r="D102" s="249">
        <f>E102+F102+G102+H102+I102+J102+K102+L102</f>
        <v>70763</v>
      </c>
      <c r="E102" s="286">
        <v>6163</v>
      </c>
      <c r="F102" s="1033">
        <f>8500+56100</f>
        <v>64600</v>
      </c>
      <c r="G102" s="1034"/>
      <c r="H102" s="1034"/>
      <c r="I102" s="1034"/>
      <c r="J102" s="1034"/>
      <c r="K102" s="1034"/>
      <c r="L102" s="1034"/>
      <c r="M102" s="1139">
        <f>SUM(F102:K102)</f>
        <v>64600</v>
      </c>
      <c r="N102" s="1139">
        <f>SUM(G102:L102)</f>
        <v>0</v>
      </c>
      <c r="O102" s="3236"/>
      <c r="P102" s="535"/>
    </row>
    <row r="103" spans="1:16">
      <c r="A103" s="3233"/>
      <c r="B103" s="1022" t="s">
        <v>22</v>
      </c>
      <c r="C103" s="1023"/>
      <c r="D103" s="766">
        <f t="shared" ref="D103" si="94">+D104+D106</f>
        <v>70763</v>
      </c>
      <c r="E103" s="766">
        <f t="shared" ref="E103" si="95">+E104+E106</f>
        <v>6163</v>
      </c>
      <c r="F103" s="766">
        <f>+F104+F106</f>
        <v>64600</v>
      </c>
      <c r="G103" s="766">
        <f t="shared" ref="G103:L103" si="96">+G104+G106</f>
        <v>0</v>
      </c>
      <c r="H103" s="766">
        <f t="shared" si="96"/>
        <v>0</v>
      </c>
      <c r="I103" s="766">
        <f t="shared" si="96"/>
        <v>0</v>
      </c>
      <c r="J103" s="766">
        <f t="shared" si="96"/>
        <v>0</v>
      </c>
      <c r="K103" s="766">
        <f t="shared" si="96"/>
        <v>0</v>
      </c>
      <c r="L103" s="766">
        <f t="shared" si="96"/>
        <v>0</v>
      </c>
      <c r="M103" s="3220" t="s">
        <v>61</v>
      </c>
      <c r="N103" s="3220" t="s">
        <v>61</v>
      </c>
      <c r="O103" s="3237"/>
      <c r="P103" s="535"/>
    </row>
    <row r="104" spans="1:16" hidden="1">
      <c r="A104" s="3233"/>
      <c r="B104" s="1025" t="s">
        <v>24</v>
      </c>
      <c r="C104" s="3241" t="s">
        <v>245</v>
      </c>
      <c r="D104" s="1030">
        <f t="shared" ref="D104:L104" si="97">+D105</f>
        <v>0</v>
      </c>
      <c r="E104" s="1030">
        <f t="shared" si="97"/>
        <v>0</v>
      </c>
      <c r="F104" s="1030">
        <f t="shared" si="97"/>
        <v>0</v>
      </c>
      <c r="G104" s="1030">
        <f t="shared" si="97"/>
        <v>0</v>
      </c>
      <c r="H104" s="1030">
        <f t="shared" si="97"/>
        <v>0</v>
      </c>
      <c r="I104" s="1030">
        <f t="shared" si="97"/>
        <v>0</v>
      </c>
      <c r="J104" s="1030">
        <f t="shared" si="97"/>
        <v>0</v>
      </c>
      <c r="K104" s="1030">
        <f t="shared" si="97"/>
        <v>0</v>
      </c>
      <c r="L104" s="1030">
        <f t="shared" si="97"/>
        <v>0</v>
      </c>
      <c r="M104" s="3220"/>
      <c r="N104" s="3220"/>
      <c r="O104" s="3237"/>
      <c r="P104" s="535"/>
    </row>
    <row r="105" spans="1:16" hidden="1">
      <c r="A105" s="3233"/>
      <c r="B105" s="1026" t="s">
        <v>13</v>
      </c>
      <c r="C105" s="3241"/>
      <c r="D105" s="249">
        <f>E105+F105+G105+H105+I105+J105+K105+L105</f>
        <v>0</v>
      </c>
      <c r="E105" s="1028"/>
      <c r="F105" s="1028"/>
      <c r="G105" s="1028"/>
      <c r="H105" s="1028"/>
      <c r="I105" s="1028"/>
      <c r="J105" s="1028"/>
      <c r="K105" s="1028"/>
      <c r="L105" s="1028"/>
      <c r="M105" s="3220"/>
      <c r="N105" s="3220"/>
      <c r="O105" s="3237"/>
      <c r="P105" s="535"/>
    </row>
    <row r="106" spans="1:16">
      <c r="A106" s="3233"/>
      <c r="B106" s="1029" t="s">
        <v>18</v>
      </c>
      <c r="C106" s="3241"/>
      <c r="D106" s="1030">
        <f t="shared" ref="D106:L106" si="98">+D107</f>
        <v>70763</v>
      </c>
      <c r="E106" s="1030">
        <f t="shared" si="98"/>
        <v>6163</v>
      </c>
      <c r="F106" s="1030">
        <f t="shared" si="98"/>
        <v>64600</v>
      </c>
      <c r="G106" s="1030">
        <f t="shared" si="98"/>
        <v>0</v>
      </c>
      <c r="H106" s="1030">
        <f t="shared" si="98"/>
        <v>0</v>
      </c>
      <c r="I106" s="1030">
        <f t="shared" si="98"/>
        <v>0</v>
      </c>
      <c r="J106" s="1030">
        <f t="shared" si="98"/>
        <v>0</v>
      </c>
      <c r="K106" s="1030">
        <f t="shared" si="98"/>
        <v>0</v>
      </c>
      <c r="L106" s="1030">
        <f t="shared" si="98"/>
        <v>0</v>
      </c>
      <c r="M106" s="3220"/>
      <c r="N106" s="3220"/>
      <c r="O106" s="3237"/>
      <c r="P106" s="535"/>
    </row>
    <row r="107" spans="1:16" ht="13.5" thickBot="1">
      <c r="A107" s="3234"/>
      <c r="B107" s="709" t="s">
        <v>21</v>
      </c>
      <c r="C107" s="3242"/>
      <c r="D107" s="249">
        <f>E107+F107+G107+H107+I107+J107+K107+L107</f>
        <v>70763</v>
      </c>
      <c r="E107" s="286">
        <v>6163</v>
      </c>
      <c r="F107" s="710">
        <f>8500+56100</f>
        <v>64600</v>
      </c>
      <c r="G107" s="710"/>
      <c r="H107" s="710"/>
      <c r="I107" s="710"/>
      <c r="J107" s="710"/>
      <c r="K107" s="710"/>
      <c r="L107" s="710"/>
      <c r="M107" s="3205"/>
      <c r="N107" s="3205"/>
      <c r="O107" s="3238"/>
      <c r="P107" s="535"/>
    </row>
    <row r="108" spans="1:16" ht="36" customHeight="1">
      <c r="A108" s="3196" t="s">
        <v>87</v>
      </c>
      <c r="B108" s="1576" t="s">
        <v>395</v>
      </c>
      <c r="C108" s="1577" t="s">
        <v>109</v>
      </c>
      <c r="D108" s="60"/>
      <c r="E108" s="42"/>
      <c r="F108" s="42"/>
      <c r="G108" s="42"/>
      <c r="H108" s="42"/>
      <c r="I108" s="42"/>
      <c r="J108" s="42"/>
      <c r="K108" s="42"/>
      <c r="L108" s="42"/>
      <c r="M108" s="708"/>
      <c r="N108" s="708"/>
      <c r="O108" s="3223" t="s">
        <v>320</v>
      </c>
    </row>
    <row r="109" spans="1:16">
      <c r="A109" s="3209"/>
      <c r="B109" s="1932" t="s">
        <v>10</v>
      </c>
      <c r="C109" s="1578"/>
      <c r="D109" s="1933">
        <f t="shared" ref="D109:N109" si="99">+D110+D114</f>
        <v>1698344</v>
      </c>
      <c r="E109" s="1934">
        <f t="shared" ref="E109" si="100">+E110+E114</f>
        <v>0</v>
      </c>
      <c r="F109" s="1934">
        <f t="shared" si="99"/>
        <v>788057</v>
      </c>
      <c r="G109" s="1934">
        <f t="shared" si="99"/>
        <v>910287</v>
      </c>
      <c r="H109" s="1934">
        <f t="shared" si="99"/>
        <v>0</v>
      </c>
      <c r="I109" s="1934">
        <f t="shared" si="99"/>
        <v>0</v>
      </c>
      <c r="J109" s="1934">
        <f t="shared" si="99"/>
        <v>0</v>
      </c>
      <c r="K109" s="1934">
        <f t="shared" si="99"/>
        <v>0</v>
      </c>
      <c r="L109" s="1934">
        <f t="shared" si="99"/>
        <v>0</v>
      </c>
      <c r="M109" s="1935">
        <f t="shared" ref="M109" si="101">+M110+M114</f>
        <v>1698344</v>
      </c>
      <c r="N109" s="1935">
        <f t="shared" si="99"/>
        <v>910287</v>
      </c>
      <c r="O109" s="3224"/>
    </row>
    <row r="110" spans="1:16">
      <c r="A110" s="3209"/>
      <c r="B110" s="1936" t="s">
        <v>24</v>
      </c>
      <c r="C110" s="3200" t="s">
        <v>316</v>
      </c>
      <c r="D110" s="1937">
        <f>+D111</f>
        <v>254752</v>
      </c>
      <c r="E110" s="1937">
        <f t="shared" ref="E110" si="102">+E111</f>
        <v>0</v>
      </c>
      <c r="F110" s="1937">
        <f t="shared" ref="F110:N110" si="103">+F111</f>
        <v>118209</v>
      </c>
      <c r="G110" s="1937">
        <f t="shared" si="103"/>
        <v>136543</v>
      </c>
      <c r="H110" s="1937">
        <f t="shared" si="103"/>
        <v>0</v>
      </c>
      <c r="I110" s="1937">
        <f t="shared" si="103"/>
        <v>0</v>
      </c>
      <c r="J110" s="1937">
        <f t="shared" si="103"/>
        <v>0</v>
      </c>
      <c r="K110" s="1937">
        <f t="shared" si="103"/>
        <v>0</v>
      </c>
      <c r="L110" s="1937">
        <f t="shared" si="103"/>
        <v>0</v>
      </c>
      <c r="M110" s="1938">
        <f t="shared" si="103"/>
        <v>254752</v>
      </c>
      <c r="N110" s="1938">
        <f t="shared" si="103"/>
        <v>136543</v>
      </c>
      <c r="O110" s="3224"/>
    </row>
    <row r="111" spans="1:16">
      <c r="A111" s="3209"/>
      <c r="B111" s="1939" t="s">
        <v>12</v>
      </c>
      <c r="C111" s="3201"/>
      <c r="D111" s="1913">
        <f>E111+F111+G111+H111+I111+J111+K111+L111</f>
        <v>254752</v>
      </c>
      <c r="E111" s="1940">
        <v>0</v>
      </c>
      <c r="F111" s="1941">
        <f t="shared" ref="F111:L111" si="104">+F112+F113</f>
        <v>118209</v>
      </c>
      <c r="G111" s="1942">
        <f t="shared" si="104"/>
        <v>136543</v>
      </c>
      <c r="H111" s="1942">
        <f t="shared" si="104"/>
        <v>0</v>
      </c>
      <c r="I111" s="1942">
        <f t="shared" si="104"/>
        <v>0</v>
      </c>
      <c r="J111" s="1942">
        <f t="shared" si="104"/>
        <v>0</v>
      </c>
      <c r="K111" s="1942">
        <f t="shared" si="104"/>
        <v>0</v>
      </c>
      <c r="L111" s="1942">
        <f t="shared" si="104"/>
        <v>0</v>
      </c>
      <c r="M111" s="1139">
        <f>SUM(F111:K111)</f>
        <v>254752</v>
      </c>
      <c r="N111" s="1139">
        <f>SUM(G111:L111)</f>
        <v>136543</v>
      </c>
      <c r="O111" s="3224"/>
    </row>
    <row r="112" spans="1:16" hidden="1">
      <c r="A112" s="3209"/>
      <c r="B112" s="1939" t="s">
        <v>294</v>
      </c>
      <c r="C112" s="3201"/>
      <c r="D112" s="1944">
        <f>SUM(E112:L112)</f>
        <v>66119</v>
      </c>
      <c r="E112" s="1942">
        <v>0</v>
      </c>
      <c r="F112" s="1941">
        <v>31970</v>
      </c>
      <c r="G112" s="1942">
        <v>34149</v>
      </c>
      <c r="H112" s="1942"/>
      <c r="I112" s="1942"/>
      <c r="J112" s="1942"/>
      <c r="K112" s="1942"/>
      <c r="L112" s="1942"/>
      <c r="M112" s="1943"/>
      <c r="N112" s="1943"/>
      <c r="O112" s="3224"/>
    </row>
    <row r="113" spans="1:15" hidden="1">
      <c r="A113" s="3209"/>
      <c r="B113" s="1939" t="s">
        <v>314</v>
      </c>
      <c r="C113" s="3201"/>
      <c r="D113" s="1944">
        <f>SUM(E113:L113)</f>
        <v>188633</v>
      </c>
      <c r="E113" s="1942">
        <v>0</v>
      </c>
      <c r="F113" s="1941">
        <v>86239</v>
      </c>
      <c r="G113" s="1942">
        <v>102394</v>
      </c>
      <c r="H113" s="1942"/>
      <c r="I113" s="1942"/>
      <c r="J113" s="1942"/>
      <c r="K113" s="1942"/>
      <c r="L113" s="1942"/>
      <c r="M113" s="1943"/>
      <c r="N113" s="1943"/>
      <c r="O113" s="3224"/>
    </row>
    <row r="114" spans="1:15">
      <c r="A114" s="3209"/>
      <c r="B114" s="1936" t="s">
        <v>18</v>
      </c>
      <c r="C114" s="3201"/>
      <c r="D114" s="1945">
        <f>+D115</f>
        <v>1443592</v>
      </c>
      <c r="E114" s="1945">
        <f t="shared" ref="E114:L114" si="105">+E115</f>
        <v>0</v>
      </c>
      <c r="F114" s="1945">
        <f t="shared" si="105"/>
        <v>669848</v>
      </c>
      <c r="G114" s="1945">
        <f t="shared" si="105"/>
        <v>773744</v>
      </c>
      <c r="H114" s="1945">
        <f t="shared" si="105"/>
        <v>0</v>
      </c>
      <c r="I114" s="1945">
        <f t="shared" si="105"/>
        <v>0</v>
      </c>
      <c r="J114" s="1945">
        <f t="shared" si="105"/>
        <v>0</v>
      </c>
      <c r="K114" s="1945">
        <f t="shared" si="105"/>
        <v>0</v>
      </c>
      <c r="L114" s="1945">
        <f t="shared" si="105"/>
        <v>0</v>
      </c>
      <c r="M114" s="1946">
        <f>+M115</f>
        <v>1443592</v>
      </c>
      <c r="N114" s="1946">
        <f>+N115</f>
        <v>773744</v>
      </c>
      <c r="O114" s="3224"/>
    </row>
    <row r="115" spans="1:15">
      <c r="A115" s="3209"/>
      <c r="B115" s="1939" t="s">
        <v>21</v>
      </c>
      <c r="C115" s="3201"/>
      <c r="D115" s="1913">
        <f>E115+F115+G115+H115+I115+J115+K115+L115</f>
        <v>1443592</v>
      </c>
      <c r="E115" s="1940">
        <v>0</v>
      </c>
      <c r="F115" s="1942">
        <f t="shared" ref="F115:L115" si="106">+F116+F117</f>
        <v>669848</v>
      </c>
      <c r="G115" s="1942">
        <f t="shared" si="106"/>
        <v>773744</v>
      </c>
      <c r="H115" s="1942">
        <f t="shared" si="106"/>
        <v>0</v>
      </c>
      <c r="I115" s="1942">
        <f t="shared" si="106"/>
        <v>0</v>
      </c>
      <c r="J115" s="1942">
        <f t="shared" si="106"/>
        <v>0</v>
      </c>
      <c r="K115" s="1942">
        <f t="shared" si="106"/>
        <v>0</v>
      </c>
      <c r="L115" s="1942">
        <f t="shared" si="106"/>
        <v>0</v>
      </c>
      <c r="M115" s="1139">
        <f>SUM(F115:K115)</f>
        <v>1443592</v>
      </c>
      <c r="N115" s="1139">
        <f>SUM(G115:L115)</f>
        <v>773744</v>
      </c>
      <c r="O115" s="3224"/>
    </row>
    <row r="116" spans="1:15" hidden="1">
      <c r="A116" s="3209"/>
      <c r="B116" s="1939" t="s">
        <v>294</v>
      </c>
      <c r="C116" s="2866"/>
      <c r="D116" s="1944">
        <f>SUM(E116:L116)</f>
        <v>374677</v>
      </c>
      <c r="E116" s="1942">
        <v>0</v>
      </c>
      <c r="F116" s="1942">
        <v>181163</v>
      </c>
      <c r="G116" s="1942">
        <v>193514</v>
      </c>
      <c r="H116" s="1942"/>
      <c r="I116" s="1942"/>
      <c r="J116" s="1942"/>
      <c r="K116" s="1942"/>
      <c r="L116" s="1942"/>
      <c r="M116" s="1943"/>
      <c r="N116" s="1943"/>
      <c r="O116" s="3224"/>
    </row>
    <row r="117" spans="1:15" hidden="1">
      <c r="A117" s="3209"/>
      <c r="B117" s="1939" t="s">
        <v>314</v>
      </c>
      <c r="C117" s="2866"/>
      <c r="D117" s="1944">
        <f>SUM(E117:L117)</f>
        <v>1068915</v>
      </c>
      <c r="E117" s="1942">
        <v>0</v>
      </c>
      <c r="F117" s="1942">
        <v>488685</v>
      </c>
      <c r="G117" s="1942">
        <v>580230</v>
      </c>
      <c r="H117" s="1942"/>
      <c r="I117" s="1942"/>
      <c r="J117" s="1942"/>
      <c r="K117" s="1942"/>
      <c r="L117" s="1942"/>
      <c r="M117" s="1943"/>
      <c r="N117" s="1943"/>
      <c r="O117" s="3224"/>
    </row>
    <row r="118" spans="1:15">
      <c r="A118" s="3210"/>
      <c r="B118" s="1932" t="s">
        <v>22</v>
      </c>
      <c r="C118" s="1947"/>
      <c r="D118" s="1948">
        <f>D119</f>
        <v>1443592</v>
      </c>
      <c r="E118" s="1948">
        <f>+E119</f>
        <v>0</v>
      </c>
      <c r="F118" s="1948">
        <f>+F119</f>
        <v>669848</v>
      </c>
      <c r="G118" s="1948">
        <f>+G119</f>
        <v>773744</v>
      </c>
      <c r="H118" s="1948">
        <f>+H119</f>
        <v>0</v>
      </c>
      <c r="I118" s="1948">
        <f>I119</f>
        <v>0</v>
      </c>
      <c r="J118" s="1948">
        <f>+J119</f>
        <v>0</v>
      </c>
      <c r="K118" s="1948">
        <f>+K119</f>
        <v>0</v>
      </c>
      <c r="L118" s="1948">
        <f>L119</f>
        <v>0</v>
      </c>
      <c r="M118" s="3203" t="s">
        <v>61</v>
      </c>
      <c r="N118" s="3203" t="s">
        <v>61</v>
      </c>
      <c r="O118" s="3225"/>
    </row>
    <row r="119" spans="1:15">
      <c r="A119" s="3210"/>
      <c r="B119" s="1936" t="s">
        <v>18</v>
      </c>
      <c r="C119" s="3230" t="s">
        <v>396</v>
      </c>
      <c r="D119" s="1945">
        <f t="shared" ref="D119:L119" si="107">+D120</f>
        <v>1443592</v>
      </c>
      <c r="E119" s="1945">
        <f t="shared" si="107"/>
        <v>0</v>
      </c>
      <c r="F119" s="1945">
        <f t="shared" si="107"/>
        <v>669848</v>
      </c>
      <c r="G119" s="1945">
        <f t="shared" si="107"/>
        <v>773744</v>
      </c>
      <c r="H119" s="1945">
        <f t="shared" si="107"/>
        <v>0</v>
      </c>
      <c r="I119" s="1945">
        <f t="shared" si="107"/>
        <v>0</v>
      </c>
      <c r="J119" s="1945">
        <f t="shared" si="107"/>
        <v>0</v>
      </c>
      <c r="K119" s="1945">
        <f t="shared" si="107"/>
        <v>0</v>
      </c>
      <c r="L119" s="1945">
        <f t="shared" si="107"/>
        <v>0</v>
      </c>
      <c r="M119" s="3203"/>
      <c r="N119" s="3203"/>
      <c r="O119" s="3225"/>
    </row>
    <row r="120" spans="1:15" ht="13.5" thickBot="1">
      <c r="A120" s="3212"/>
      <c r="B120" s="709" t="s">
        <v>21</v>
      </c>
      <c r="C120" s="3231"/>
      <c r="D120" s="1009">
        <f>E120+F120+G120+H120+I120+J120+K120+L120</f>
        <v>1443592</v>
      </c>
      <c r="E120" s="1009">
        <v>0</v>
      </c>
      <c r="F120" s="520">
        <v>669848</v>
      </c>
      <c r="G120" s="520">
        <v>773744</v>
      </c>
      <c r="H120" s="520">
        <v>0</v>
      </c>
      <c r="I120" s="520">
        <v>0</v>
      </c>
      <c r="J120" s="520">
        <v>0</v>
      </c>
      <c r="K120" s="520">
        <v>0</v>
      </c>
      <c r="L120" s="520">
        <v>0</v>
      </c>
      <c r="M120" s="3205"/>
      <c r="N120" s="3205"/>
      <c r="O120" s="3226"/>
    </row>
    <row r="121" spans="1:15" ht="37.5" customHeight="1">
      <c r="A121" s="3196" t="s">
        <v>88</v>
      </c>
      <c r="B121" s="1576" t="s">
        <v>501</v>
      </c>
      <c r="C121" s="1577" t="s">
        <v>109</v>
      </c>
      <c r="D121" s="60"/>
      <c r="E121" s="42"/>
      <c r="F121" s="42"/>
      <c r="G121" s="42"/>
      <c r="H121" s="42"/>
      <c r="I121" s="42"/>
      <c r="J121" s="42"/>
      <c r="K121" s="42"/>
      <c r="L121" s="42"/>
      <c r="M121" s="708"/>
      <c r="N121" s="708"/>
      <c r="O121" s="3223" t="s">
        <v>476</v>
      </c>
    </row>
    <row r="122" spans="1:15" ht="16.149999999999999" customHeight="1">
      <c r="A122" s="3197"/>
      <c r="B122" s="2535" t="s">
        <v>10</v>
      </c>
      <c r="C122" s="1578"/>
      <c r="D122" s="2545">
        <f>+D123</f>
        <v>13260221</v>
      </c>
      <c r="E122" s="2102">
        <f t="shared" ref="E122" si="108">+E123</f>
        <v>0</v>
      </c>
      <c r="F122" s="2102">
        <f t="shared" ref="F122:H122" si="109">+F123</f>
        <v>516000</v>
      </c>
      <c r="G122" s="2102">
        <f t="shared" si="109"/>
        <v>7819700</v>
      </c>
      <c r="H122" s="2102">
        <f t="shared" si="109"/>
        <v>4345384</v>
      </c>
      <c r="I122" s="2102">
        <f t="shared" ref="I122" si="110">+I123</f>
        <v>579137</v>
      </c>
      <c r="J122" s="2102">
        <f t="shared" ref="J122" si="111">+J123</f>
        <v>0</v>
      </c>
      <c r="K122" s="2102">
        <f t="shared" ref="K122" si="112">+K123</f>
        <v>0</v>
      </c>
      <c r="L122" s="2102">
        <f t="shared" ref="L122" si="113">+L123</f>
        <v>0</v>
      </c>
      <c r="M122" s="2005">
        <f>+M123</f>
        <v>13260221</v>
      </c>
      <c r="N122" s="2005">
        <f>+N123</f>
        <v>12744221</v>
      </c>
      <c r="O122" s="3224"/>
    </row>
    <row r="123" spans="1:15" ht="19.5" customHeight="1">
      <c r="A123" s="3197"/>
      <c r="B123" s="2546" t="s">
        <v>18</v>
      </c>
      <c r="C123" s="3213" t="s">
        <v>400</v>
      </c>
      <c r="D123" s="2013">
        <f>+D124</f>
        <v>13260221</v>
      </c>
      <c r="E123" s="2013">
        <f>+E124</f>
        <v>0</v>
      </c>
      <c r="F123" s="2013">
        <f>+F124</f>
        <v>516000</v>
      </c>
      <c r="G123" s="2013">
        <f t="shared" ref="G123:L123" si="114">+G124</f>
        <v>7819700</v>
      </c>
      <c r="H123" s="2013">
        <f t="shared" si="114"/>
        <v>4345384</v>
      </c>
      <c r="I123" s="2013">
        <f t="shared" si="114"/>
        <v>579137</v>
      </c>
      <c r="J123" s="2013">
        <f t="shared" si="114"/>
        <v>0</v>
      </c>
      <c r="K123" s="2013">
        <f t="shared" si="114"/>
        <v>0</v>
      </c>
      <c r="L123" s="2013">
        <f t="shared" si="114"/>
        <v>0</v>
      </c>
      <c r="M123" s="2471">
        <f>+M124</f>
        <v>13260221</v>
      </c>
      <c r="N123" s="2471">
        <f>+N124</f>
        <v>12744221</v>
      </c>
      <c r="O123" s="3224"/>
    </row>
    <row r="124" spans="1:15" ht="15.75" customHeight="1">
      <c r="A124" s="3197"/>
      <c r="B124" s="2547" t="s">
        <v>21</v>
      </c>
      <c r="C124" s="3207"/>
      <c r="D124" s="1913">
        <f>E124+F124+G124+H124+I124+J124+K124+L124</f>
        <v>13260221</v>
      </c>
      <c r="E124" s="1977">
        <v>0</v>
      </c>
      <c r="F124" s="2027">
        <f>+F125+F126+F127+F128+F129</f>
        <v>516000</v>
      </c>
      <c r="G124" s="2027">
        <f t="shared" ref="G124:H124" si="115">+G125+G126+G127+G128+G129</f>
        <v>7819700</v>
      </c>
      <c r="H124" s="2027">
        <f t="shared" si="115"/>
        <v>4345384</v>
      </c>
      <c r="I124" s="2027">
        <f t="shared" ref="I124" si="116">+I125+I126+I127+I128+I129</f>
        <v>579137</v>
      </c>
      <c r="J124" s="2027">
        <f t="shared" ref="J124" si="117">+J125+J126+J127+J128+J129</f>
        <v>0</v>
      </c>
      <c r="K124" s="2027">
        <f t="shared" ref="K124" si="118">+K125+K126+K127+K128+K129</f>
        <v>0</v>
      </c>
      <c r="L124" s="2027">
        <f t="shared" ref="L124" si="119">+L125+L126+L127+L128+L129</f>
        <v>0</v>
      </c>
      <c r="M124" s="2469">
        <f>SUM(F124:K124)</f>
        <v>13260221</v>
      </c>
      <c r="N124" s="2469">
        <f>SUM(G124:L124)</f>
        <v>12744221</v>
      </c>
      <c r="O124" s="3224"/>
    </row>
    <row r="125" spans="1:15" hidden="1">
      <c r="A125" s="3197"/>
      <c r="B125" s="2537" t="s">
        <v>398</v>
      </c>
      <c r="C125" s="3207"/>
      <c r="D125" s="2036">
        <f>SUM(E125:L125)</f>
        <v>9406521</v>
      </c>
      <c r="E125" s="2027">
        <v>0</v>
      </c>
      <c r="F125" s="2027">
        <f>2700000-2610000</f>
        <v>90000</v>
      </c>
      <c r="G125" s="2027">
        <f>3169000+2619500</f>
        <v>5788500</v>
      </c>
      <c r="H125" s="2027">
        <f>2044159+946725</f>
        <v>2990884</v>
      </c>
      <c r="I125" s="2027">
        <f>0+537137</f>
        <v>537137</v>
      </c>
      <c r="J125" s="2027">
        <v>0</v>
      </c>
      <c r="K125" s="2027">
        <v>0</v>
      </c>
      <c r="L125" s="2027">
        <v>0</v>
      </c>
      <c r="M125" s="2472"/>
      <c r="N125" s="2472"/>
      <c r="O125" s="3224"/>
    </row>
    <row r="126" spans="1:15" hidden="1">
      <c r="A126" s="3197"/>
      <c r="B126" s="2537" t="s">
        <v>399</v>
      </c>
      <c r="C126" s="3207"/>
      <c r="D126" s="2036">
        <f>SUM(E126:L126)</f>
        <v>858500</v>
      </c>
      <c r="E126" s="2027">
        <v>0</v>
      </c>
      <c r="F126" s="2027">
        <f>293500-190200</f>
        <v>103300</v>
      </c>
      <c r="G126" s="2027">
        <f>483000-13800</f>
        <v>469200</v>
      </c>
      <c r="H126" s="2027">
        <f>378000-92000</f>
        <v>286000</v>
      </c>
      <c r="I126" s="2027">
        <v>0</v>
      </c>
      <c r="J126" s="2027">
        <v>0</v>
      </c>
      <c r="K126" s="2027">
        <v>0</v>
      </c>
      <c r="L126" s="2027">
        <v>0</v>
      </c>
      <c r="M126" s="2472"/>
      <c r="N126" s="2472"/>
      <c r="O126" s="3224"/>
    </row>
    <row r="127" spans="1:15" s="1538" customFormat="1" hidden="1">
      <c r="A127" s="3197"/>
      <c r="B127" s="2537" t="s">
        <v>110</v>
      </c>
      <c r="C127" s="3207"/>
      <c r="D127" s="2036">
        <f>SUM(E127:L127)</f>
        <v>603500</v>
      </c>
      <c r="E127" s="2027">
        <v>0</v>
      </c>
      <c r="F127" s="2027">
        <f>174000-30000-144000</f>
        <v>0</v>
      </c>
      <c r="G127" s="2027">
        <f>453000-110000</f>
        <v>343000</v>
      </c>
      <c r="H127" s="2027">
        <f>228000+32500</f>
        <v>260500</v>
      </c>
      <c r="I127" s="2027">
        <v>0</v>
      </c>
      <c r="J127" s="2027">
        <v>0</v>
      </c>
      <c r="K127" s="2027">
        <v>0</v>
      </c>
      <c r="L127" s="2027">
        <v>0</v>
      </c>
      <c r="M127" s="2472"/>
      <c r="N127" s="2472"/>
      <c r="O127" s="3224"/>
    </row>
    <row r="128" spans="1:15" s="1538" customFormat="1" hidden="1">
      <c r="A128" s="3197"/>
      <c r="B128" s="2537" t="s">
        <v>224</v>
      </c>
      <c r="C128" s="3207"/>
      <c r="D128" s="2036">
        <f>SUM(E128:L128)</f>
        <v>1894000</v>
      </c>
      <c r="E128" s="2027">
        <v>0</v>
      </c>
      <c r="F128" s="2027">
        <f>1015500-784500</f>
        <v>231000</v>
      </c>
      <c r="G128" s="2027">
        <f>926500+110500</f>
        <v>1037000</v>
      </c>
      <c r="H128" s="2027">
        <f>342000+284000</f>
        <v>626000</v>
      </c>
      <c r="I128" s="2027">
        <v>0</v>
      </c>
      <c r="J128" s="2027">
        <v>0</v>
      </c>
      <c r="K128" s="2027">
        <v>0</v>
      </c>
      <c r="L128" s="2027">
        <v>0</v>
      </c>
      <c r="M128" s="2472"/>
      <c r="N128" s="2472"/>
      <c r="O128" s="3224"/>
    </row>
    <row r="129" spans="1:16" s="1538" customFormat="1" hidden="1">
      <c r="A129" s="3197"/>
      <c r="B129" s="2537" t="s">
        <v>294</v>
      </c>
      <c r="C129" s="3227"/>
      <c r="D129" s="2036">
        <f>SUM(E129:L129)</f>
        <v>497700</v>
      </c>
      <c r="E129" s="2027">
        <v>0</v>
      </c>
      <c r="F129" s="2027">
        <f>140000-48300</f>
        <v>91700</v>
      </c>
      <c r="G129" s="2027">
        <f>260000-78000</f>
        <v>182000</v>
      </c>
      <c r="H129" s="2027">
        <f>260000-78000</f>
        <v>182000</v>
      </c>
      <c r="I129" s="2027">
        <f>0+42000</f>
        <v>42000</v>
      </c>
      <c r="J129" s="2027">
        <v>0</v>
      </c>
      <c r="K129" s="2027">
        <v>0</v>
      </c>
      <c r="L129" s="2027">
        <v>0</v>
      </c>
      <c r="M129" s="2472"/>
      <c r="N129" s="2472"/>
      <c r="O129" s="3224"/>
    </row>
    <row r="130" spans="1:16">
      <c r="A130" s="3211"/>
      <c r="B130" s="2535" t="s">
        <v>22</v>
      </c>
      <c r="C130" s="2172"/>
      <c r="D130" s="2470">
        <f>D131</f>
        <v>13260221</v>
      </c>
      <c r="E130" s="2470">
        <f>+E131</f>
        <v>0</v>
      </c>
      <c r="F130" s="2470">
        <f>+F131</f>
        <v>0</v>
      </c>
      <c r="G130" s="2470">
        <f>+G131</f>
        <v>8335700</v>
      </c>
      <c r="H130" s="2470">
        <f>+H131</f>
        <v>4345384</v>
      </c>
      <c r="I130" s="2470">
        <f>I131</f>
        <v>579137</v>
      </c>
      <c r="J130" s="2470">
        <f>+J131</f>
        <v>0</v>
      </c>
      <c r="K130" s="2470">
        <f>+K131</f>
        <v>0</v>
      </c>
      <c r="L130" s="2470">
        <f>L131</f>
        <v>0</v>
      </c>
      <c r="M130" s="3204" t="s">
        <v>61</v>
      </c>
      <c r="N130" s="3204" t="s">
        <v>61</v>
      </c>
      <c r="O130" s="3225"/>
    </row>
    <row r="131" spans="1:16" s="414" customFormat="1" ht="13.5" customHeight="1">
      <c r="A131" s="3211"/>
      <c r="B131" s="2546" t="s">
        <v>18</v>
      </c>
      <c r="C131" s="3213" t="s">
        <v>397</v>
      </c>
      <c r="D131" s="2013">
        <f t="shared" ref="D131:L131" si="120">+D132</f>
        <v>13260221</v>
      </c>
      <c r="E131" s="2013">
        <f t="shared" si="120"/>
        <v>0</v>
      </c>
      <c r="F131" s="2013">
        <f t="shared" si="120"/>
        <v>0</v>
      </c>
      <c r="G131" s="2013">
        <f t="shared" si="120"/>
        <v>8335700</v>
      </c>
      <c r="H131" s="2013">
        <f t="shared" si="120"/>
        <v>4345384</v>
      </c>
      <c r="I131" s="2013">
        <f t="shared" si="120"/>
        <v>579137</v>
      </c>
      <c r="J131" s="2013">
        <f t="shared" si="120"/>
        <v>0</v>
      </c>
      <c r="K131" s="2013">
        <f t="shared" si="120"/>
        <v>0</v>
      </c>
      <c r="L131" s="2013">
        <f t="shared" si="120"/>
        <v>0</v>
      </c>
      <c r="M131" s="3204"/>
      <c r="N131" s="3204"/>
      <c r="O131" s="3225"/>
    </row>
    <row r="132" spans="1:16" s="414" customFormat="1" ht="15" customHeight="1" thickBot="1">
      <c r="A132" s="3212"/>
      <c r="B132" s="2548" t="s">
        <v>21</v>
      </c>
      <c r="C132" s="3208"/>
      <c r="D132" s="2195">
        <f>E132+F132+G132+H132+I132+J132+K132+L132</f>
        <v>13260221</v>
      </c>
      <c r="E132" s="2417">
        <v>0</v>
      </c>
      <c r="F132" s="2526">
        <f>4323000-30000-4293000</f>
        <v>0</v>
      </c>
      <c r="G132" s="2526">
        <f>5291500+3044200</f>
        <v>8335700</v>
      </c>
      <c r="H132" s="2457">
        <f>3252159+1093225</f>
        <v>4345384</v>
      </c>
      <c r="I132" s="2457">
        <f>0+579137</f>
        <v>579137</v>
      </c>
      <c r="J132" s="2457">
        <v>0</v>
      </c>
      <c r="K132" s="2457">
        <v>0</v>
      </c>
      <c r="L132" s="2457">
        <v>0</v>
      </c>
      <c r="M132" s="3221"/>
      <c r="N132" s="3221"/>
      <c r="O132" s="3226"/>
      <c r="P132" s="2874">
        <f>D132-'[2]Tab. 6B Polit społ i rozwój prz'!$D$258</f>
        <v>423562</v>
      </c>
    </row>
    <row r="133" spans="1:16" ht="39" customHeight="1">
      <c r="A133" s="3196" t="s">
        <v>89</v>
      </c>
      <c r="B133" s="1576" t="s">
        <v>502</v>
      </c>
      <c r="C133" s="1577" t="s">
        <v>81</v>
      </c>
      <c r="D133" s="60"/>
      <c r="E133" s="42"/>
      <c r="F133" s="42"/>
      <c r="G133" s="42"/>
      <c r="H133" s="42"/>
      <c r="I133" s="42"/>
      <c r="J133" s="42"/>
      <c r="K133" s="42"/>
      <c r="L133" s="42"/>
      <c r="M133" s="708"/>
      <c r="N133" s="708"/>
      <c r="O133" s="3223" t="s">
        <v>484</v>
      </c>
    </row>
    <row r="134" spans="1:16">
      <c r="A134" s="3209"/>
      <c r="B134" s="1932" t="s">
        <v>10</v>
      </c>
      <c r="C134" s="1578"/>
      <c r="D134" s="1933">
        <f>+D135</f>
        <v>355876</v>
      </c>
      <c r="E134" s="1934">
        <f t="shared" ref="E134" si="121">E135</f>
        <v>0</v>
      </c>
      <c r="F134" s="1934">
        <f t="shared" ref="F134:L134" si="122">F135</f>
        <v>8753</v>
      </c>
      <c r="G134" s="1934">
        <f t="shared" si="122"/>
        <v>259123</v>
      </c>
      <c r="H134" s="1934">
        <f t="shared" si="122"/>
        <v>71000</v>
      </c>
      <c r="I134" s="1934">
        <f t="shared" si="122"/>
        <v>17000</v>
      </c>
      <c r="J134" s="1934">
        <f t="shared" si="122"/>
        <v>0</v>
      </c>
      <c r="K134" s="1934">
        <f t="shared" si="122"/>
        <v>0</v>
      </c>
      <c r="L134" s="1934">
        <f t="shared" si="122"/>
        <v>0</v>
      </c>
      <c r="M134" s="1935">
        <f>M135</f>
        <v>355876</v>
      </c>
      <c r="N134" s="1935">
        <f>N135</f>
        <v>347123</v>
      </c>
      <c r="O134" s="3224"/>
    </row>
    <row r="135" spans="1:16" ht="13.15" customHeight="1">
      <c r="A135" s="3209"/>
      <c r="B135" s="1936" t="s">
        <v>18</v>
      </c>
      <c r="C135" s="3228" t="s">
        <v>401</v>
      </c>
      <c r="D135" s="1945">
        <f>+D136</f>
        <v>355876</v>
      </c>
      <c r="E135" s="1945">
        <f t="shared" ref="E135:L135" si="123">+E136</f>
        <v>0</v>
      </c>
      <c r="F135" s="1945">
        <f t="shared" si="123"/>
        <v>8753</v>
      </c>
      <c r="G135" s="1945">
        <f t="shared" si="123"/>
        <v>259123</v>
      </c>
      <c r="H135" s="1945">
        <f t="shared" si="123"/>
        <v>71000</v>
      </c>
      <c r="I135" s="1945">
        <f t="shared" si="123"/>
        <v>17000</v>
      </c>
      <c r="J135" s="1945">
        <f t="shared" si="123"/>
        <v>0</v>
      </c>
      <c r="K135" s="1945">
        <f t="shared" si="123"/>
        <v>0</v>
      </c>
      <c r="L135" s="1945">
        <f t="shared" si="123"/>
        <v>0</v>
      </c>
      <c r="M135" s="1946">
        <f>+M136</f>
        <v>355876</v>
      </c>
      <c r="N135" s="1946">
        <f>+N136</f>
        <v>347123</v>
      </c>
      <c r="O135" s="3224"/>
    </row>
    <row r="136" spans="1:16">
      <c r="A136" s="3209"/>
      <c r="B136" s="1939" t="s">
        <v>21</v>
      </c>
      <c r="C136" s="3229"/>
      <c r="D136" s="1913">
        <f>E136+F136+G136+H136+I136+J136+K136+L136</f>
        <v>355876</v>
      </c>
      <c r="E136" s="1940">
        <v>0</v>
      </c>
      <c r="F136" s="1942">
        <f>+F137+F138+F139</f>
        <v>8753</v>
      </c>
      <c r="G136" s="1942">
        <f t="shared" ref="G136:K136" si="124">+G137+G138+G139</f>
        <v>259123</v>
      </c>
      <c r="H136" s="1942">
        <f t="shared" si="124"/>
        <v>71000</v>
      </c>
      <c r="I136" s="1942">
        <f t="shared" si="124"/>
        <v>17000</v>
      </c>
      <c r="J136" s="1942">
        <f t="shared" si="124"/>
        <v>0</v>
      </c>
      <c r="K136" s="1942">
        <f t="shared" si="124"/>
        <v>0</v>
      </c>
      <c r="L136" s="1942">
        <f t="shared" ref="L136" si="125">+L137+L138</f>
        <v>0</v>
      </c>
      <c r="M136" s="1139">
        <f>SUM(F136:K136)</f>
        <v>355876</v>
      </c>
      <c r="N136" s="1139">
        <f>SUM(G136:L136)</f>
        <v>347123</v>
      </c>
      <c r="O136" s="3224"/>
    </row>
    <row r="137" spans="1:16" ht="12" hidden="1" customHeight="1">
      <c r="A137" s="3209"/>
      <c r="B137" s="2549" t="s">
        <v>398</v>
      </c>
      <c r="C137" s="2550"/>
      <c r="D137" s="1944">
        <f>SUM(E137:L137)</f>
        <v>170000</v>
      </c>
      <c r="E137" s="1942">
        <v>0</v>
      </c>
      <c r="F137" s="1942">
        <f>30000-30000</f>
        <v>0</v>
      </c>
      <c r="G137" s="1942">
        <f>500000-398000</f>
        <v>102000</v>
      </c>
      <c r="H137" s="1942">
        <f>100000-49000</f>
        <v>51000</v>
      </c>
      <c r="I137" s="1942">
        <f>0+17000</f>
        <v>17000</v>
      </c>
      <c r="J137" s="1942">
        <v>0</v>
      </c>
      <c r="K137" s="1942">
        <v>0</v>
      </c>
      <c r="L137" s="1942">
        <v>0</v>
      </c>
      <c r="M137" s="1943"/>
      <c r="N137" s="1943"/>
      <c r="O137" s="3224"/>
      <c r="P137" s="407">
        <f>D136-D142</f>
        <v>0</v>
      </c>
    </row>
    <row r="138" spans="1:16" ht="12" hidden="1" customHeight="1">
      <c r="A138" s="3209"/>
      <c r="B138" s="2549" t="s">
        <v>399</v>
      </c>
      <c r="C138" s="2866"/>
      <c r="D138" s="1944">
        <f>SUM(E138:L138)</f>
        <v>150000</v>
      </c>
      <c r="E138" s="1942">
        <v>0</v>
      </c>
      <c r="F138" s="1942">
        <f>80000-80000</f>
        <v>0</v>
      </c>
      <c r="G138" s="1942">
        <v>130000</v>
      </c>
      <c r="H138" s="1942">
        <v>20000</v>
      </c>
      <c r="I138" s="1942">
        <v>0</v>
      </c>
      <c r="J138" s="1942">
        <v>0</v>
      </c>
      <c r="K138" s="1942">
        <v>0</v>
      </c>
      <c r="L138" s="1942">
        <v>0</v>
      </c>
      <c r="M138" s="1943"/>
      <c r="N138" s="1943"/>
      <c r="O138" s="3224"/>
    </row>
    <row r="139" spans="1:16" s="2069" customFormat="1" ht="12" hidden="1" customHeight="1">
      <c r="A139" s="3209"/>
      <c r="B139" s="2549" t="s">
        <v>110</v>
      </c>
      <c r="C139" s="2866"/>
      <c r="D139" s="1944">
        <f>SUM(E139:L139)</f>
        <v>35876</v>
      </c>
      <c r="E139" s="1942"/>
      <c r="F139" s="1942">
        <f>30000-21247</f>
        <v>8753</v>
      </c>
      <c r="G139" s="1942">
        <f>0+27123</f>
        <v>27123</v>
      </c>
      <c r="H139" s="1942">
        <v>0</v>
      </c>
      <c r="I139" s="1942">
        <v>0</v>
      </c>
      <c r="J139" s="1942">
        <v>0</v>
      </c>
      <c r="K139" s="1942">
        <v>0</v>
      </c>
      <c r="L139" s="1942">
        <v>0</v>
      </c>
      <c r="M139" s="1943"/>
      <c r="N139" s="1943"/>
      <c r="O139" s="3224"/>
    </row>
    <row r="140" spans="1:16">
      <c r="A140" s="3210"/>
      <c r="B140" s="1932" t="s">
        <v>22</v>
      </c>
      <c r="C140" s="1947"/>
      <c r="D140" s="1948">
        <f>D141</f>
        <v>355876</v>
      </c>
      <c r="E140" s="1948">
        <f>+E141</f>
        <v>0</v>
      </c>
      <c r="F140" s="1948">
        <f>+F141</f>
        <v>0</v>
      </c>
      <c r="G140" s="1948">
        <f>+G141</f>
        <v>267876</v>
      </c>
      <c r="H140" s="1948">
        <f>+H141</f>
        <v>71000</v>
      </c>
      <c r="I140" s="1948">
        <f>I141</f>
        <v>17000</v>
      </c>
      <c r="J140" s="1948">
        <f>+J141</f>
        <v>0</v>
      </c>
      <c r="K140" s="1948">
        <f>+K141</f>
        <v>0</v>
      </c>
      <c r="L140" s="1948">
        <f>L141</f>
        <v>0</v>
      </c>
      <c r="M140" s="3203" t="s">
        <v>61</v>
      </c>
      <c r="N140" s="3203" t="s">
        <v>61</v>
      </c>
      <c r="O140" s="3225"/>
    </row>
    <row r="141" spans="1:16">
      <c r="A141" s="3210"/>
      <c r="B141" s="1936" t="s">
        <v>18</v>
      </c>
      <c r="C141" s="3230" t="s">
        <v>397</v>
      </c>
      <c r="D141" s="1945">
        <f t="shared" ref="D141:L141" si="126">+D142</f>
        <v>355876</v>
      </c>
      <c r="E141" s="1945">
        <f t="shared" si="126"/>
        <v>0</v>
      </c>
      <c r="F141" s="1945">
        <f t="shared" si="126"/>
        <v>0</v>
      </c>
      <c r="G141" s="1945">
        <f t="shared" si="126"/>
        <v>267876</v>
      </c>
      <c r="H141" s="1945">
        <f t="shared" si="126"/>
        <v>71000</v>
      </c>
      <c r="I141" s="1945">
        <f t="shared" si="126"/>
        <v>17000</v>
      </c>
      <c r="J141" s="1945">
        <f t="shared" si="126"/>
        <v>0</v>
      </c>
      <c r="K141" s="1945">
        <f t="shared" si="126"/>
        <v>0</v>
      </c>
      <c r="L141" s="1945">
        <f t="shared" si="126"/>
        <v>0</v>
      </c>
      <c r="M141" s="3203"/>
      <c r="N141" s="3203"/>
      <c r="O141" s="3225"/>
    </row>
    <row r="142" spans="1:16" ht="13.5" thickBot="1">
      <c r="A142" s="3212"/>
      <c r="B142" s="709" t="s">
        <v>21</v>
      </c>
      <c r="C142" s="3231"/>
      <c r="D142" s="1009">
        <f>E142+F142+G142+H142+I142+J142+K142+L142</f>
        <v>355876</v>
      </c>
      <c r="E142" s="1009">
        <v>0</v>
      </c>
      <c r="F142" s="520">
        <f>110000+30000-140000</f>
        <v>0</v>
      </c>
      <c r="G142" s="520">
        <f>520000-252124</f>
        <v>267876</v>
      </c>
      <c r="H142" s="520">
        <f>120000-49000</f>
        <v>71000</v>
      </c>
      <c r="I142" s="520">
        <f>0+17000</f>
        <v>17000</v>
      </c>
      <c r="J142" s="520">
        <v>0</v>
      </c>
      <c r="K142" s="520">
        <v>0</v>
      </c>
      <c r="L142" s="520">
        <v>0</v>
      </c>
      <c r="M142" s="3205"/>
      <c r="N142" s="3205"/>
      <c r="O142" s="3226"/>
      <c r="P142" s="407"/>
    </row>
    <row r="143" spans="1:16" ht="30" customHeight="1">
      <c r="A143" s="3196" t="s">
        <v>90</v>
      </c>
      <c r="B143" s="1576" t="s">
        <v>532</v>
      </c>
      <c r="C143" s="1577" t="s">
        <v>109</v>
      </c>
      <c r="D143" s="60"/>
      <c r="E143" s="42"/>
      <c r="F143" s="42"/>
      <c r="G143" s="42"/>
      <c r="H143" s="42"/>
      <c r="I143" s="42"/>
      <c r="J143" s="42"/>
      <c r="K143" s="42"/>
      <c r="L143" s="42"/>
      <c r="M143" s="708"/>
      <c r="N143" s="708"/>
      <c r="O143" s="3214" t="s">
        <v>320</v>
      </c>
      <c r="P143" s="407">
        <f>D144+D162</f>
        <v>1213780</v>
      </c>
    </row>
    <row r="144" spans="1:16" ht="14.25" customHeight="1">
      <c r="A144" s="3209"/>
      <c r="B144" s="1932" t="s">
        <v>10</v>
      </c>
      <c r="C144" s="1578"/>
      <c r="D144" s="1933">
        <f>+D145+D152</f>
        <v>1154280</v>
      </c>
      <c r="E144" s="2902">
        <f t="shared" ref="E144:N144" si="127">+E145+E152</f>
        <v>0</v>
      </c>
      <c r="F144" s="2902">
        <f t="shared" si="127"/>
        <v>0</v>
      </c>
      <c r="G144" s="1934">
        <f t="shared" si="127"/>
        <v>624754</v>
      </c>
      <c r="H144" s="1934">
        <f t="shared" si="127"/>
        <v>529526</v>
      </c>
      <c r="I144" s="2902">
        <f t="shared" si="127"/>
        <v>0</v>
      </c>
      <c r="J144" s="2902">
        <f t="shared" si="127"/>
        <v>0</v>
      </c>
      <c r="K144" s="2902">
        <f t="shared" si="127"/>
        <v>0</v>
      </c>
      <c r="L144" s="2902">
        <f t="shared" si="127"/>
        <v>0</v>
      </c>
      <c r="M144" s="1935">
        <f t="shared" si="127"/>
        <v>1033852</v>
      </c>
      <c r="N144" s="1935">
        <f t="shared" si="127"/>
        <v>1154280</v>
      </c>
      <c r="O144" s="3215"/>
    </row>
    <row r="145" spans="1:16">
      <c r="A145" s="3209"/>
      <c r="B145" s="1936" t="s">
        <v>24</v>
      </c>
      <c r="C145" s="3200" t="s">
        <v>531</v>
      </c>
      <c r="D145" s="1937">
        <f>+D146+D149</f>
        <v>173142</v>
      </c>
      <c r="E145" s="2903">
        <f t="shared" ref="E145:L145" si="128">+E146+E149</f>
        <v>0</v>
      </c>
      <c r="F145" s="2903">
        <f t="shared" si="128"/>
        <v>0</v>
      </c>
      <c r="G145" s="1937">
        <f t="shared" si="128"/>
        <v>93713</v>
      </c>
      <c r="H145" s="1937">
        <f t="shared" si="128"/>
        <v>79429</v>
      </c>
      <c r="I145" s="2903">
        <f t="shared" si="128"/>
        <v>0</v>
      </c>
      <c r="J145" s="2903">
        <f t="shared" si="128"/>
        <v>0</v>
      </c>
      <c r="K145" s="2903">
        <f t="shared" si="128"/>
        <v>0</v>
      </c>
      <c r="L145" s="2903">
        <f t="shared" si="128"/>
        <v>0</v>
      </c>
      <c r="M145" s="1938">
        <f t="shared" ref="M145" si="129">+M146</f>
        <v>52714</v>
      </c>
      <c r="N145" s="1938">
        <f>+N146+N149</f>
        <v>173142</v>
      </c>
      <c r="O145" s="3215"/>
      <c r="P145" s="406" t="s">
        <v>545</v>
      </c>
    </row>
    <row r="146" spans="1:16">
      <c r="A146" s="3209"/>
      <c r="B146" s="1939" t="s">
        <v>12</v>
      </c>
      <c r="C146" s="3201"/>
      <c r="D146" s="1913">
        <f>E146+F146+G146+H146+I146+J146+K146+L146</f>
        <v>52714</v>
      </c>
      <c r="E146" s="2904">
        <v>0</v>
      </c>
      <c r="F146" s="2905">
        <v>0</v>
      </c>
      <c r="G146" s="1941">
        <f>G147+G148</f>
        <v>28419</v>
      </c>
      <c r="H146" s="1941">
        <f t="shared" ref="H146:L146" si="130">H147+H148</f>
        <v>24295</v>
      </c>
      <c r="I146" s="2905">
        <f t="shared" si="130"/>
        <v>0</v>
      </c>
      <c r="J146" s="2905">
        <f t="shared" si="130"/>
        <v>0</v>
      </c>
      <c r="K146" s="2905">
        <f t="shared" si="130"/>
        <v>0</v>
      </c>
      <c r="L146" s="2905">
        <f t="shared" si="130"/>
        <v>0</v>
      </c>
      <c r="M146" s="1095">
        <f>SUM(F146:K146)</f>
        <v>52714</v>
      </c>
      <c r="N146" s="1095">
        <f>SUM(G146:L146)</f>
        <v>52714</v>
      </c>
      <c r="O146" s="3215"/>
    </row>
    <row r="147" spans="1:16" s="408" customFormat="1" hidden="1">
      <c r="A147" s="3209"/>
      <c r="B147" s="2906" t="s">
        <v>294</v>
      </c>
      <c r="C147" s="3201"/>
      <c r="D147" s="2907">
        <f>SUM(E147:L147)</f>
        <v>28440</v>
      </c>
      <c r="E147" s="2908">
        <v>0</v>
      </c>
      <c r="F147" s="2909">
        <v>0</v>
      </c>
      <c r="G147" s="2910">
        <v>14220</v>
      </c>
      <c r="H147" s="2910">
        <v>14220</v>
      </c>
      <c r="I147" s="2908">
        <v>0</v>
      </c>
      <c r="J147" s="2908">
        <v>0</v>
      </c>
      <c r="K147" s="2908">
        <v>0</v>
      </c>
      <c r="L147" s="2908">
        <v>0</v>
      </c>
      <c r="M147" s="2911"/>
      <c r="N147" s="2912">
        <f>SUM(G147:L147)</f>
        <v>28440</v>
      </c>
      <c r="O147" s="3215"/>
    </row>
    <row r="148" spans="1:16" s="408" customFormat="1" hidden="1">
      <c r="A148" s="3209"/>
      <c r="B148" s="2913" t="s">
        <v>314</v>
      </c>
      <c r="C148" s="3201"/>
      <c r="D148" s="2914">
        <f>SUM(E148:L148)</f>
        <v>24274</v>
      </c>
      <c r="E148" s="2915">
        <v>0</v>
      </c>
      <c r="F148" s="2916">
        <v>0</v>
      </c>
      <c r="G148" s="2917">
        <v>14199</v>
      </c>
      <c r="H148" s="2917">
        <v>10075</v>
      </c>
      <c r="I148" s="2915">
        <v>0</v>
      </c>
      <c r="J148" s="2915">
        <v>0</v>
      </c>
      <c r="K148" s="2915">
        <v>0</v>
      </c>
      <c r="L148" s="2915">
        <v>0</v>
      </c>
      <c r="M148" s="2911"/>
      <c r="N148" s="2912">
        <f>SUM(G148:L148)</f>
        <v>24274</v>
      </c>
      <c r="O148" s="3215"/>
    </row>
    <row r="149" spans="1:16" s="2919" customFormat="1">
      <c r="A149" s="3197"/>
      <c r="B149" s="1066" t="s">
        <v>13</v>
      </c>
      <c r="C149" s="3202"/>
      <c r="D149" s="1913">
        <f>E149+F149+G149+H149+I149+J149+K149+L149</f>
        <v>120428</v>
      </c>
      <c r="E149" s="2904">
        <v>0</v>
      </c>
      <c r="F149" s="2905">
        <v>0</v>
      </c>
      <c r="G149" s="1941">
        <f>G150+G151</f>
        <v>65294</v>
      </c>
      <c r="H149" s="1941">
        <f t="shared" ref="H149:L149" si="131">H150+H151</f>
        <v>55134</v>
      </c>
      <c r="I149" s="2905">
        <f t="shared" si="131"/>
        <v>0</v>
      </c>
      <c r="J149" s="2905">
        <f t="shared" si="131"/>
        <v>0</v>
      </c>
      <c r="K149" s="2905">
        <f t="shared" si="131"/>
        <v>0</v>
      </c>
      <c r="L149" s="2905">
        <f t="shared" si="131"/>
        <v>0</v>
      </c>
      <c r="M149" s="2918"/>
      <c r="N149" s="1095">
        <f t="shared" ref="N149:N151" si="132">SUM(G149:L149)</f>
        <v>120428</v>
      </c>
      <c r="O149" s="3215"/>
    </row>
    <row r="150" spans="1:16" s="2919" customFormat="1" hidden="1">
      <c r="A150" s="3197"/>
      <c r="B150" s="2906" t="s">
        <v>294</v>
      </c>
      <c r="C150" s="3202"/>
      <c r="D150" s="2907">
        <f>SUM(E150:L150)</f>
        <v>71880</v>
      </c>
      <c r="E150" s="2908">
        <v>0</v>
      </c>
      <c r="F150" s="2909">
        <v>0</v>
      </c>
      <c r="G150" s="2910">
        <v>36896</v>
      </c>
      <c r="H150" s="2910">
        <v>34984</v>
      </c>
      <c r="I150" s="2908">
        <v>0</v>
      </c>
      <c r="J150" s="2908">
        <v>0</v>
      </c>
      <c r="K150" s="2908">
        <v>0</v>
      </c>
      <c r="L150" s="2908">
        <v>0</v>
      </c>
      <c r="M150" s="2920"/>
      <c r="N150" s="1139">
        <f t="shared" si="132"/>
        <v>71880</v>
      </c>
      <c r="O150" s="3215"/>
    </row>
    <row r="151" spans="1:16" s="2919" customFormat="1" hidden="1">
      <c r="A151" s="3197"/>
      <c r="B151" s="2913" t="s">
        <v>314</v>
      </c>
      <c r="C151" s="3202"/>
      <c r="D151" s="2914">
        <f>SUM(E151:L151)</f>
        <v>48548</v>
      </c>
      <c r="E151" s="2915">
        <v>0</v>
      </c>
      <c r="F151" s="2916">
        <v>0</v>
      </c>
      <c r="G151" s="2917">
        <v>28398</v>
      </c>
      <c r="H151" s="2917">
        <v>20150</v>
      </c>
      <c r="I151" s="2915">
        <v>0</v>
      </c>
      <c r="J151" s="2915">
        <v>0</v>
      </c>
      <c r="K151" s="2915">
        <v>0</v>
      </c>
      <c r="L151" s="2915">
        <v>0</v>
      </c>
      <c r="M151" s="2920"/>
      <c r="N151" s="1139">
        <f t="shared" si="132"/>
        <v>48548</v>
      </c>
      <c r="O151" s="3215"/>
    </row>
    <row r="152" spans="1:16">
      <c r="A152" s="3209"/>
      <c r="B152" s="1936" t="s">
        <v>18</v>
      </c>
      <c r="C152" s="3201"/>
      <c r="D152" s="1945">
        <f>+D153</f>
        <v>981138</v>
      </c>
      <c r="E152" s="2534">
        <f t="shared" ref="E152:L152" si="133">+E153</f>
        <v>0</v>
      </c>
      <c r="F152" s="2534">
        <f t="shared" si="133"/>
        <v>0</v>
      </c>
      <c r="G152" s="1945">
        <f t="shared" si="133"/>
        <v>531041</v>
      </c>
      <c r="H152" s="1945">
        <f t="shared" si="133"/>
        <v>450097</v>
      </c>
      <c r="I152" s="2534">
        <f t="shared" si="133"/>
        <v>0</v>
      </c>
      <c r="J152" s="2534">
        <f t="shared" si="133"/>
        <v>0</v>
      </c>
      <c r="K152" s="2534">
        <f t="shared" si="133"/>
        <v>0</v>
      </c>
      <c r="L152" s="2534">
        <f t="shared" si="133"/>
        <v>0</v>
      </c>
      <c r="M152" s="1946">
        <f>+M153</f>
        <v>981138</v>
      </c>
      <c r="N152" s="1946">
        <f>+N153</f>
        <v>981138</v>
      </c>
      <c r="O152" s="3215"/>
    </row>
    <row r="153" spans="1:16">
      <c r="A153" s="3209"/>
      <c r="B153" s="1939" t="s">
        <v>21</v>
      </c>
      <c r="C153" s="3201"/>
      <c r="D153" s="1913">
        <f>E153+F153+G153+H153+I153+J153+K153+L153</f>
        <v>981138</v>
      </c>
      <c r="E153" s="2904">
        <v>0</v>
      </c>
      <c r="F153" s="2921">
        <v>0</v>
      </c>
      <c r="G153" s="1942">
        <f>G154+G155</f>
        <v>531041</v>
      </c>
      <c r="H153" s="1942">
        <f t="shared" ref="H153" si="134">H154+H155</f>
        <v>450097</v>
      </c>
      <c r="I153" s="2921">
        <f t="shared" ref="I153" si="135">I154+I155</f>
        <v>0</v>
      </c>
      <c r="J153" s="2921">
        <f t="shared" ref="J153" si="136">J154+J155</f>
        <v>0</v>
      </c>
      <c r="K153" s="2921">
        <f t="shared" ref="K153" si="137">K154+K155</f>
        <v>0</v>
      </c>
      <c r="L153" s="2921">
        <f t="shared" ref="L153" si="138">L154+L155</f>
        <v>0</v>
      </c>
      <c r="M153" s="1139">
        <f>SUM(F153:K153)</f>
        <v>981138</v>
      </c>
      <c r="N153" s="1139">
        <f>SUM(G153:L153)</f>
        <v>981138</v>
      </c>
      <c r="O153" s="3215"/>
    </row>
    <row r="154" spans="1:16" s="408" customFormat="1" hidden="1">
      <c r="A154" s="3209"/>
      <c r="B154" s="2906" t="s">
        <v>294</v>
      </c>
      <c r="C154" s="2922"/>
      <c r="D154" s="2907">
        <f>SUM(E154:L154)</f>
        <v>568480</v>
      </c>
      <c r="E154" s="2908">
        <v>0</v>
      </c>
      <c r="F154" s="2908">
        <v>0</v>
      </c>
      <c r="G154" s="2910">
        <v>289658</v>
      </c>
      <c r="H154" s="2910">
        <v>278822</v>
      </c>
      <c r="I154" s="2908">
        <v>0</v>
      </c>
      <c r="J154" s="2908">
        <v>0</v>
      </c>
      <c r="K154" s="2908">
        <v>0</v>
      </c>
      <c r="L154" s="2908">
        <v>0</v>
      </c>
      <c r="M154" s="2911"/>
      <c r="N154" s="2912">
        <f>SUM(G154:L154)</f>
        <v>568480</v>
      </c>
      <c r="O154" s="3215"/>
    </row>
    <row r="155" spans="1:16" s="408" customFormat="1" hidden="1">
      <c r="A155" s="3209"/>
      <c r="B155" s="2913" t="s">
        <v>314</v>
      </c>
      <c r="C155" s="2923"/>
      <c r="D155" s="2914">
        <f>SUM(E155:L155)</f>
        <v>412658</v>
      </c>
      <c r="E155" s="2915">
        <v>0</v>
      </c>
      <c r="F155" s="2915">
        <v>0</v>
      </c>
      <c r="G155" s="2917">
        <v>241383</v>
      </c>
      <c r="H155" s="2917">
        <v>171275</v>
      </c>
      <c r="I155" s="2915">
        <v>0</v>
      </c>
      <c r="J155" s="2915">
        <v>0</v>
      </c>
      <c r="K155" s="2915">
        <v>0</v>
      </c>
      <c r="L155" s="2915">
        <v>0</v>
      </c>
      <c r="M155" s="2911"/>
      <c r="N155" s="2912">
        <f>SUM(G155:L155)</f>
        <v>412658</v>
      </c>
      <c r="O155" s="3216"/>
    </row>
    <row r="156" spans="1:16">
      <c r="A156" s="3210"/>
      <c r="B156" s="1932" t="s">
        <v>22</v>
      </c>
      <c r="C156" s="1932"/>
      <c r="D156" s="1948">
        <f>D159+D157</f>
        <v>1101566</v>
      </c>
      <c r="E156" s="2924">
        <f t="shared" ref="E156:L156" si="139">E159+E157</f>
        <v>0</v>
      </c>
      <c r="F156" s="2924">
        <f t="shared" si="139"/>
        <v>0</v>
      </c>
      <c r="G156" s="1948">
        <f t="shared" si="139"/>
        <v>596335</v>
      </c>
      <c r="H156" s="1948">
        <f t="shared" si="139"/>
        <v>505231</v>
      </c>
      <c r="I156" s="2924">
        <f t="shared" si="139"/>
        <v>0</v>
      </c>
      <c r="J156" s="2924">
        <f t="shared" si="139"/>
        <v>0</v>
      </c>
      <c r="K156" s="2924">
        <f t="shared" si="139"/>
        <v>0</v>
      </c>
      <c r="L156" s="2924">
        <f t="shared" si="139"/>
        <v>0</v>
      </c>
      <c r="M156" s="3203" t="s">
        <v>61</v>
      </c>
      <c r="N156" s="3203" t="s">
        <v>61</v>
      </c>
      <c r="O156" s="3217" t="s">
        <v>314</v>
      </c>
    </row>
    <row r="157" spans="1:16" s="2925" customFormat="1">
      <c r="A157" s="3211"/>
      <c r="B157" s="2816" t="s">
        <v>24</v>
      </c>
      <c r="C157" s="3213" t="s">
        <v>396</v>
      </c>
      <c r="D157" s="1945">
        <f t="shared" ref="D157:L159" si="140">+D158</f>
        <v>120428</v>
      </c>
      <c r="E157" s="2534">
        <f t="shared" si="140"/>
        <v>0</v>
      </c>
      <c r="F157" s="2534">
        <f t="shared" si="140"/>
        <v>0</v>
      </c>
      <c r="G157" s="1945">
        <f t="shared" si="140"/>
        <v>65294</v>
      </c>
      <c r="H157" s="1945">
        <f t="shared" si="140"/>
        <v>55134</v>
      </c>
      <c r="I157" s="2534">
        <f t="shared" si="140"/>
        <v>0</v>
      </c>
      <c r="J157" s="2534">
        <f t="shared" si="140"/>
        <v>0</v>
      </c>
      <c r="K157" s="2534">
        <f t="shared" si="140"/>
        <v>0</v>
      </c>
      <c r="L157" s="2534">
        <f t="shared" si="140"/>
        <v>0</v>
      </c>
      <c r="M157" s="3204"/>
      <c r="N157" s="3204"/>
      <c r="O157" s="3218"/>
    </row>
    <row r="158" spans="1:16" s="2925" customFormat="1">
      <c r="A158" s="3211"/>
      <c r="B158" s="1066" t="s">
        <v>13</v>
      </c>
      <c r="C158" s="3207"/>
      <c r="D158" s="1984">
        <f>E158+F158+G158+H158+I158+J158+K158+L158</f>
        <v>120428</v>
      </c>
      <c r="E158" s="2926">
        <v>0</v>
      </c>
      <c r="F158" s="2926">
        <v>0</v>
      </c>
      <c r="G158" s="2927">
        <v>65294</v>
      </c>
      <c r="H158" s="2927">
        <v>55134</v>
      </c>
      <c r="I158" s="2926">
        <v>0</v>
      </c>
      <c r="J158" s="2926">
        <v>0</v>
      </c>
      <c r="K158" s="2926">
        <v>0</v>
      </c>
      <c r="L158" s="2926">
        <v>0</v>
      </c>
      <c r="M158" s="3204"/>
      <c r="N158" s="3204"/>
      <c r="O158" s="3218"/>
      <c r="P158" s="2928">
        <f>D158-D149</f>
        <v>0</v>
      </c>
    </row>
    <row r="159" spans="1:16" ht="12.75" customHeight="1">
      <c r="A159" s="3210"/>
      <c r="B159" s="1936" t="s">
        <v>18</v>
      </c>
      <c r="C159" s="3207"/>
      <c r="D159" s="2729">
        <f t="shared" si="140"/>
        <v>981138</v>
      </c>
      <c r="E159" s="2534">
        <f t="shared" si="140"/>
        <v>0</v>
      </c>
      <c r="F159" s="2534">
        <f t="shared" si="140"/>
        <v>0</v>
      </c>
      <c r="G159" s="1945">
        <f t="shared" si="140"/>
        <v>531041</v>
      </c>
      <c r="H159" s="1945">
        <f t="shared" si="140"/>
        <v>450097</v>
      </c>
      <c r="I159" s="2534">
        <f t="shared" si="140"/>
        <v>0</v>
      </c>
      <c r="J159" s="2534">
        <f t="shared" si="140"/>
        <v>0</v>
      </c>
      <c r="K159" s="2534">
        <f t="shared" si="140"/>
        <v>0</v>
      </c>
      <c r="L159" s="2534">
        <f t="shared" si="140"/>
        <v>0</v>
      </c>
      <c r="M159" s="3203"/>
      <c r="N159" s="3203"/>
      <c r="O159" s="3218"/>
    </row>
    <row r="160" spans="1:16" ht="13.5" thickBot="1">
      <c r="A160" s="3212"/>
      <c r="B160" s="709" t="s">
        <v>21</v>
      </c>
      <c r="C160" s="3208"/>
      <c r="D160" s="1009">
        <f>E160+F160+G160+H160+I160+J160+K160+L160</f>
        <v>981138</v>
      </c>
      <c r="E160" s="731">
        <v>0</v>
      </c>
      <c r="F160" s="1058">
        <v>0</v>
      </c>
      <c r="G160" s="520">
        <v>531041</v>
      </c>
      <c r="H160" s="520">
        <v>450097</v>
      </c>
      <c r="I160" s="1058">
        <v>0</v>
      </c>
      <c r="J160" s="1058">
        <v>0</v>
      </c>
      <c r="K160" s="1058">
        <v>0</v>
      </c>
      <c r="L160" s="1058">
        <v>0</v>
      </c>
      <c r="M160" s="3205"/>
      <c r="N160" s="3205"/>
      <c r="O160" s="3219"/>
      <c r="P160" s="407">
        <f>D160-D153</f>
        <v>0</v>
      </c>
    </row>
    <row r="161" spans="1:16" ht="32.25" customHeight="1">
      <c r="A161" s="3196" t="s">
        <v>91</v>
      </c>
      <c r="B161" s="1576" t="s">
        <v>535</v>
      </c>
      <c r="C161" s="1577" t="s">
        <v>81</v>
      </c>
      <c r="D161" s="60"/>
      <c r="E161" s="42"/>
      <c r="F161" s="42"/>
      <c r="G161" s="42"/>
      <c r="H161" s="42"/>
      <c r="I161" s="42"/>
      <c r="J161" s="42"/>
      <c r="K161" s="42"/>
      <c r="L161" s="42"/>
      <c r="M161" s="708"/>
      <c r="N161" s="708"/>
      <c r="O161" s="3198" t="s">
        <v>314</v>
      </c>
      <c r="P161" s="406" t="s">
        <v>545</v>
      </c>
    </row>
    <row r="162" spans="1:16">
      <c r="A162" s="3197"/>
      <c r="B162" s="1932" t="s">
        <v>10</v>
      </c>
      <c r="C162" s="1578"/>
      <c r="D162" s="1933">
        <f t="shared" ref="D162:N162" si="141">+D163+D166</f>
        <v>59500</v>
      </c>
      <c r="E162" s="2902">
        <f t="shared" si="141"/>
        <v>0</v>
      </c>
      <c r="F162" s="2902">
        <f t="shared" si="141"/>
        <v>0</v>
      </c>
      <c r="G162" s="1934">
        <f t="shared" si="141"/>
        <v>59500</v>
      </c>
      <c r="H162" s="2902">
        <f t="shared" si="141"/>
        <v>0</v>
      </c>
      <c r="I162" s="2902">
        <f t="shared" si="141"/>
        <v>0</v>
      </c>
      <c r="J162" s="2902">
        <f t="shared" si="141"/>
        <v>0</v>
      </c>
      <c r="K162" s="2902">
        <f t="shared" si="141"/>
        <v>0</v>
      </c>
      <c r="L162" s="2902">
        <f t="shared" si="141"/>
        <v>0</v>
      </c>
      <c r="M162" s="1935">
        <f t="shared" si="141"/>
        <v>53550</v>
      </c>
      <c r="N162" s="1935">
        <f t="shared" si="141"/>
        <v>59500</v>
      </c>
      <c r="O162" s="3199"/>
    </row>
    <row r="163" spans="1:16">
      <c r="A163" s="3197"/>
      <c r="B163" s="1936" t="s">
        <v>24</v>
      </c>
      <c r="C163" s="3200" t="s">
        <v>536</v>
      </c>
      <c r="D163" s="1937">
        <f t="shared" ref="D163:L163" si="142">+D164+D165</f>
        <v>8925</v>
      </c>
      <c r="E163" s="2903">
        <f t="shared" si="142"/>
        <v>0</v>
      </c>
      <c r="F163" s="2903">
        <f t="shared" si="142"/>
        <v>0</v>
      </c>
      <c r="G163" s="1937">
        <f t="shared" si="142"/>
        <v>8925</v>
      </c>
      <c r="H163" s="2903">
        <f t="shared" si="142"/>
        <v>0</v>
      </c>
      <c r="I163" s="2903">
        <f t="shared" si="142"/>
        <v>0</v>
      </c>
      <c r="J163" s="2903">
        <f t="shared" si="142"/>
        <v>0</v>
      </c>
      <c r="K163" s="2903">
        <f t="shared" si="142"/>
        <v>0</v>
      </c>
      <c r="L163" s="2903">
        <f t="shared" si="142"/>
        <v>0</v>
      </c>
      <c r="M163" s="1938">
        <f t="shared" ref="M163" si="143">+M164</f>
        <v>2975</v>
      </c>
      <c r="N163" s="1938">
        <f>+N164+N165</f>
        <v>8925</v>
      </c>
      <c r="O163" s="3199"/>
    </row>
    <row r="164" spans="1:16">
      <c r="A164" s="3197"/>
      <c r="B164" s="1939" t="s">
        <v>12</v>
      </c>
      <c r="C164" s="3201"/>
      <c r="D164" s="1913">
        <f>E164+F164+G164+H164+I164+J164+K164+L164</f>
        <v>2975</v>
      </c>
      <c r="E164" s="2904">
        <v>0</v>
      </c>
      <c r="F164" s="2905">
        <v>0</v>
      </c>
      <c r="G164" s="1941">
        <v>2975</v>
      </c>
      <c r="H164" s="2905">
        <v>0</v>
      </c>
      <c r="I164" s="2905">
        <v>0</v>
      </c>
      <c r="J164" s="2905">
        <v>0</v>
      </c>
      <c r="K164" s="2905">
        <v>0</v>
      </c>
      <c r="L164" s="2905">
        <v>0</v>
      </c>
      <c r="M164" s="1095">
        <f>SUM(F164:K164)</f>
        <v>2975</v>
      </c>
      <c r="N164" s="1095">
        <f>SUM(G164:L164)</f>
        <v>2975</v>
      </c>
      <c r="O164" s="3199"/>
    </row>
    <row r="165" spans="1:16" s="2919" customFormat="1">
      <c r="A165" s="3197"/>
      <c r="B165" s="1066" t="s">
        <v>13</v>
      </c>
      <c r="C165" s="3202"/>
      <c r="D165" s="1913">
        <f>E165+F165+G165+H165+I165+J165+K165+L165</f>
        <v>5950</v>
      </c>
      <c r="E165" s="2904">
        <v>0</v>
      </c>
      <c r="F165" s="2905">
        <v>0</v>
      </c>
      <c r="G165" s="1941">
        <v>5950</v>
      </c>
      <c r="H165" s="2905">
        <v>0</v>
      </c>
      <c r="I165" s="2905">
        <v>0</v>
      </c>
      <c r="J165" s="2905">
        <v>0</v>
      </c>
      <c r="K165" s="2905">
        <v>0</v>
      </c>
      <c r="L165" s="2905">
        <v>0</v>
      </c>
      <c r="M165" s="2918"/>
      <c r="N165" s="1095">
        <f t="shared" ref="N165" si="144">SUM(G165:L165)</f>
        <v>5950</v>
      </c>
      <c r="O165" s="3199"/>
    </row>
    <row r="166" spans="1:16">
      <c r="A166" s="3197"/>
      <c r="B166" s="1936" t="s">
        <v>18</v>
      </c>
      <c r="C166" s="3201"/>
      <c r="D166" s="1945">
        <f>+D167</f>
        <v>50575</v>
      </c>
      <c r="E166" s="2534">
        <f t="shared" ref="E166:L166" si="145">+E167</f>
        <v>0</v>
      </c>
      <c r="F166" s="2534">
        <f t="shared" si="145"/>
        <v>0</v>
      </c>
      <c r="G166" s="1945">
        <f t="shared" si="145"/>
        <v>50575</v>
      </c>
      <c r="H166" s="2534">
        <f t="shared" si="145"/>
        <v>0</v>
      </c>
      <c r="I166" s="2534">
        <f t="shared" si="145"/>
        <v>0</v>
      </c>
      <c r="J166" s="2534">
        <f t="shared" si="145"/>
        <v>0</v>
      </c>
      <c r="K166" s="2534">
        <f t="shared" si="145"/>
        <v>0</v>
      </c>
      <c r="L166" s="2534">
        <f t="shared" si="145"/>
        <v>0</v>
      </c>
      <c r="M166" s="1946">
        <f>+M167</f>
        <v>50575</v>
      </c>
      <c r="N166" s="1946">
        <f>+N167</f>
        <v>50575</v>
      </c>
      <c r="O166" s="3199"/>
    </row>
    <row r="167" spans="1:16">
      <c r="A167" s="3197"/>
      <c r="B167" s="1939" t="s">
        <v>21</v>
      </c>
      <c r="C167" s="3201"/>
      <c r="D167" s="1913">
        <f>E167+F167+G167+H167+I167+J167+K167+L167</f>
        <v>50575</v>
      </c>
      <c r="E167" s="2904">
        <v>0</v>
      </c>
      <c r="F167" s="2921">
        <v>0</v>
      </c>
      <c r="G167" s="1942">
        <v>50575</v>
      </c>
      <c r="H167" s="2921">
        <v>0</v>
      </c>
      <c r="I167" s="2921">
        <v>0</v>
      </c>
      <c r="J167" s="2921">
        <v>0</v>
      </c>
      <c r="K167" s="2921">
        <v>0</v>
      </c>
      <c r="L167" s="2921">
        <v>0</v>
      </c>
      <c r="M167" s="1139">
        <f>SUM(F167:K167)</f>
        <v>50575</v>
      </c>
      <c r="N167" s="1139">
        <f>SUM(G167:L167)</f>
        <v>50575</v>
      </c>
      <c r="O167" s="3199"/>
    </row>
    <row r="168" spans="1:16">
      <c r="A168" s="3197"/>
      <c r="B168" s="1932" t="s">
        <v>22</v>
      </c>
      <c r="C168" s="1932"/>
      <c r="D168" s="1948">
        <f>D171+D169</f>
        <v>56525</v>
      </c>
      <c r="E168" s="2924">
        <f t="shared" ref="E168" si="146">E171+E169</f>
        <v>0</v>
      </c>
      <c r="F168" s="2924">
        <f t="shared" ref="F168" si="147">F171+F169</f>
        <v>0</v>
      </c>
      <c r="G168" s="1948">
        <f t="shared" ref="G168" si="148">G171+G169</f>
        <v>56525</v>
      </c>
      <c r="H168" s="2924">
        <f t="shared" ref="H168" si="149">H171+H169</f>
        <v>0</v>
      </c>
      <c r="I168" s="2924">
        <f t="shared" ref="I168" si="150">I171+I169</f>
        <v>0</v>
      </c>
      <c r="J168" s="2924">
        <f t="shared" ref="J168" si="151">J171+J169</f>
        <v>0</v>
      </c>
      <c r="K168" s="2924">
        <f t="shared" ref="K168" si="152">K171+K169</f>
        <v>0</v>
      </c>
      <c r="L168" s="2924">
        <f t="shared" ref="L168" si="153">L171+L169</f>
        <v>0</v>
      </c>
      <c r="M168" s="3203" t="s">
        <v>61</v>
      </c>
      <c r="N168" s="3203" t="s">
        <v>61</v>
      </c>
      <c r="O168" s="3199"/>
    </row>
    <row r="169" spans="1:16" s="2925" customFormat="1">
      <c r="A169" s="3197"/>
      <c r="B169" s="2816" t="s">
        <v>24</v>
      </c>
      <c r="C169" s="3206" t="s">
        <v>396</v>
      </c>
      <c r="D169" s="1945">
        <f t="shared" ref="D169:L171" si="154">+D170</f>
        <v>5950</v>
      </c>
      <c r="E169" s="2534">
        <f t="shared" si="154"/>
        <v>0</v>
      </c>
      <c r="F169" s="2534">
        <f t="shared" si="154"/>
        <v>0</v>
      </c>
      <c r="G169" s="1945">
        <f t="shared" si="154"/>
        <v>5950</v>
      </c>
      <c r="H169" s="2534">
        <f t="shared" si="154"/>
        <v>0</v>
      </c>
      <c r="I169" s="2534">
        <f t="shared" si="154"/>
        <v>0</v>
      </c>
      <c r="J169" s="2534">
        <f t="shared" si="154"/>
        <v>0</v>
      </c>
      <c r="K169" s="2534">
        <f t="shared" si="154"/>
        <v>0</v>
      </c>
      <c r="L169" s="2534">
        <f t="shared" si="154"/>
        <v>0</v>
      </c>
      <c r="M169" s="3204"/>
      <c r="N169" s="3204"/>
      <c r="O169" s="3199"/>
    </row>
    <row r="170" spans="1:16" s="2925" customFormat="1">
      <c r="A170" s="3197"/>
      <c r="B170" s="1066" t="s">
        <v>13</v>
      </c>
      <c r="C170" s="3207"/>
      <c r="D170" s="1984">
        <f>E170+F170+G170+H170+I170+J170+K170+L170</f>
        <v>5950</v>
      </c>
      <c r="E170" s="2926">
        <v>0</v>
      </c>
      <c r="F170" s="2926">
        <v>0</v>
      </c>
      <c r="G170" s="2927">
        <v>5950</v>
      </c>
      <c r="H170" s="2929">
        <v>0</v>
      </c>
      <c r="I170" s="2929">
        <v>0</v>
      </c>
      <c r="J170" s="2929">
        <v>0</v>
      </c>
      <c r="K170" s="2929">
        <v>0</v>
      </c>
      <c r="L170" s="2929">
        <v>0</v>
      </c>
      <c r="M170" s="3204"/>
      <c r="N170" s="3204"/>
      <c r="O170" s="3199"/>
      <c r="P170" s="2928">
        <f>D170-D165</f>
        <v>0</v>
      </c>
    </row>
    <row r="171" spans="1:16" ht="12.75" customHeight="1">
      <c r="A171" s="3197"/>
      <c r="B171" s="1936" t="s">
        <v>18</v>
      </c>
      <c r="C171" s="3207"/>
      <c r="D171" s="2729">
        <f t="shared" si="154"/>
        <v>50575</v>
      </c>
      <c r="E171" s="2534">
        <f t="shared" si="154"/>
        <v>0</v>
      </c>
      <c r="F171" s="2534">
        <f t="shared" si="154"/>
        <v>0</v>
      </c>
      <c r="G171" s="1945">
        <f t="shared" si="154"/>
        <v>50575</v>
      </c>
      <c r="H171" s="2534">
        <f t="shared" si="154"/>
        <v>0</v>
      </c>
      <c r="I171" s="2534">
        <f t="shared" si="154"/>
        <v>0</v>
      </c>
      <c r="J171" s="2534">
        <f t="shared" si="154"/>
        <v>0</v>
      </c>
      <c r="K171" s="2534">
        <f t="shared" si="154"/>
        <v>0</v>
      </c>
      <c r="L171" s="2534">
        <f t="shared" si="154"/>
        <v>0</v>
      </c>
      <c r="M171" s="3203"/>
      <c r="N171" s="3203"/>
      <c r="O171" s="3199"/>
    </row>
    <row r="172" spans="1:16" ht="13.5" thickBot="1">
      <c r="A172" s="3197"/>
      <c r="B172" s="709" t="s">
        <v>21</v>
      </c>
      <c r="C172" s="3208"/>
      <c r="D172" s="1009">
        <f>E172+F172+G172+H172+I172+J172+K172+L172</f>
        <v>50575</v>
      </c>
      <c r="E172" s="731">
        <v>0</v>
      </c>
      <c r="F172" s="1058">
        <v>0</v>
      </c>
      <c r="G172" s="520">
        <v>50575</v>
      </c>
      <c r="H172" s="1058">
        <v>0</v>
      </c>
      <c r="I172" s="1058">
        <v>0</v>
      </c>
      <c r="J172" s="1058">
        <v>0</v>
      </c>
      <c r="K172" s="1058">
        <v>0</v>
      </c>
      <c r="L172" s="1058">
        <v>0</v>
      </c>
      <c r="M172" s="3205"/>
      <c r="N172" s="3205"/>
      <c r="O172" s="3199"/>
      <c r="P172" s="407">
        <f>D172-D167</f>
        <v>0</v>
      </c>
    </row>
    <row r="173" spans="1:16" s="2812" customFormat="1">
      <c r="A173" s="2807"/>
      <c r="B173" s="2808"/>
      <c r="C173" s="2863"/>
      <c r="D173" s="1085"/>
      <c r="E173" s="1085"/>
      <c r="F173" s="2809"/>
      <c r="G173" s="2809"/>
      <c r="H173" s="2809"/>
      <c r="I173" s="2809"/>
      <c r="J173" s="2809"/>
      <c r="K173" s="2809"/>
      <c r="L173" s="2809"/>
      <c r="M173" s="2861"/>
      <c r="N173" s="2861"/>
      <c r="O173" s="2810"/>
      <c r="P173" s="2811"/>
    </row>
    <row r="174" spans="1:16" s="2812" customFormat="1" hidden="1">
      <c r="A174" s="2807"/>
      <c r="B174" s="2808"/>
      <c r="C174" s="2863"/>
      <c r="D174" s="1085"/>
      <c r="E174" s="1085"/>
      <c r="F174" s="2809"/>
      <c r="G174" s="2809"/>
      <c r="H174" s="2809"/>
      <c r="I174" s="2809"/>
      <c r="J174" s="2809"/>
      <c r="K174" s="2809"/>
      <c r="L174" s="2809"/>
      <c r="M174" s="2861"/>
      <c r="N174" s="2861"/>
      <c r="O174" s="2810"/>
      <c r="P174" s="2811"/>
    </row>
    <row r="175" spans="1:16" hidden="1">
      <c r="B175" s="1499" t="s">
        <v>408</v>
      </c>
      <c r="C175" s="1499"/>
      <c r="D175" s="1499"/>
      <c r="E175" s="1499"/>
      <c r="F175" s="1499"/>
      <c r="G175" s="1499"/>
      <c r="H175" s="1499"/>
      <c r="I175" s="1499"/>
      <c r="J175" s="1499"/>
      <c r="K175" s="1499"/>
      <c r="L175" s="1499"/>
    </row>
    <row r="176" spans="1:16" hidden="1">
      <c r="B176" s="1499" t="s">
        <v>409</v>
      </c>
      <c r="C176" s="1499"/>
      <c r="D176" s="1539">
        <f t="shared" ref="D176:M176" si="155">D37+D54+D67+D91+D118+D130+D156</f>
        <v>89229506</v>
      </c>
      <c r="E176" s="1539">
        <f t="shared" si="155"/>
        <v>8840348</v>
      </c>
      <c r="F176" s="1539">
        <f t="shared" si="155"/>
        <v>10508216</v>
      </c>
      <c r="G176" s="1539">
        <f t="shared" si="155"/>
        <v>20893573</v>
      </c>
      <c r="H176" s="1539">
        <f t="shared" si="155"/>
        <v>15566867</v>
      </c>
      <c r="I176" s="1539">
        <f t="shared" si="155"/>
        <v>10776416</v>
      </c>
      <c r="J176" s="1539">
        <f t="shared" si="155"/>
        <v>8157684</v>
      </c>
      <c r="K176" s="1539">
        <f t="shared" si="155"/>
        <v>7545683</v>
      </c>
      <c r="L176" s="1539">
        <f t="shared" si="155"/>
        <v>6940719</v>
      </c>
      <c r="M176" s="1539" t="e">
        <f t="shared" si="155"/>
        <v>#VALUE!</v>
      </c>
    </row>
    <row r="177" spans="2:12" hidden="1">
      <c r="B177" s="1499" t="s">
        <v>410</v>
      </c>
      <c r="C177" s="1499"/>
      <c r="D177" s="1539">
        <f>D79+D103+D140+D168</f>
        <v>513929</v>
      </c>
      <c r="E177" s="1539">
        <f t="shared" ref="E177:L177" si="156">E79+E103+E140+E168</f>
        <v>21928</v>
      </c>
      <c r="F177" s="1539">
        <f t="shared" si="156"/>
        <v>79600</v>
      </c>
      <c r="G177" s="1539">
        <f t="shared" si="156"/>
        <v>324401</v>
      </c>
      <c r="H177" s="1539">
        <f t="shared" si="156"/>
        <v>71000</v>
      </c>
      <c r="I177" s="1539">
        <f t="shared" si="156"/>
        <v>17000</v>
      </c>
      <c r="J177" s="1539">
        <f t="shared" si="156"/>
        <v>0</v>
      </c>
      <c r="K177" s="1539">
        <f t="shared" si="156"/>
        <v>0</v>
      </c>
      <c r="L177" s="1539">
        <f t="shared" si="156"/>
        <v>0</v>
      </c>
    </row>
    <row r="178" spans="2:12" hidden="1">
      <c r="B178" s="1499" t="s">
        <v>411</v>
      </c>
      <c r="C178" s="1499"/>
      <c r="D178" s="1540">
        <f>D176+D177</f>
        <v>89743435</v>
      </c>
      <c r="E178" s="1540">
        <f t="shared" ref="E178:L178" si="157">E176+E177</f>
        <v>8862276</v>
      </c>
      <c r="F178" s="1540">
        <f t="shared" si="157"/>
        <v>10587816</v>
      </c>
      <c r="G178" s="1540">
        <f t="shared" si="157"/>
        <v>21217974</v>
      </c>
      <c r="H178" s="1540">
        <f t="shared" si="157"/>
        <v>15637867</v>
      </c>
      <c r="I178" s="1540">
        <f t="shared" si="157"/>
        <v>10793416</v>
      </c>
      <c r="J178" s="1540">
        <f t="shared" si="157"/>
        <v>8157684</v>
      </c>
      <c r="K178" s="1540">
        <f t="shared" si="157"/>
        <v>7545683</v>
      </c>
      <c r="L178" s="1540">
        <f t="shared" si="157"/>
        <v>6940719</v>
      </c>
    </row>
    <row r="179" spans="2:12" hidden="1">
      <c r="B179" s="1541" t="s">
        <v>42</v>
      </c>
      <c r="C179" s="1541"/>
      <c r="D179" s="1542">
        <f t="shared" ref="D179:L179" si="158">D178-D17</f>
        <v>0</v>
      </c>
      <c r="E179" s="1542">
        <f t="shared" si="158"/>
        <v>0</v>
      </c>
      <c r="F179" s="1542">
        <f t="shared" si="158"/>
        <v>0</v>
      </c>
      <c r="G179" s="1542">
        <f t="shared" si="158"/>
        <v>0</v>
      </c>
      <c r="H179" s="1542">
        <f t="shared" si="158"/>
        <v>0</v>
      </c>
      <c r="I179" s="1542">
        <f t="shared" si="158"/>
        <v>0</v>
      </c>
      <c r="J179" s="1542">
        <f t="shared" si="158"/>
        <v>0</v>
      </c>
      <c r="K179" s="1542">
        <f t="shared" si="158"/>
        <v>0</v>
      </c>
      <c r="L179" s="1542">
        <f t="shared" si="158"/>
        <v>0</v>
      </c>
    </row>
    <row r="180" spans="2:12" hidden="1">
      <c r="B180" s="1538"/>
      <c r="C180" s="1538"/>
      <c r="D180" s="1538"/>
      <c r="E180" s="1538"/>
      <c r="F180" s="1538"/>
      <c r="G180" s="1538"/>
      <c r="H180" s="1538"/>
      <c r="I180" s="1538"/>
      <c r="J180" s="1538"/>
      <c r="K180" s="1538"/>
      <c r="L180" s="1538"/>
    </row>
    <row r="181" spans="2:12" hidden="1"/>
  </sheetData>
  <mergeCells count="80">
    <mergeCell ref="O43:O51"/>
    <mergeCell ref="O54:O58"/>
    <mergeCell ref="A60:A71"/>
    <mergeCell ref="O60:O71"/>
    <mergeCell ref="C62:C66"/>
    <mergeCell ref="C68:C71"/>
    <mergeCell ref="N67:N71"/>
    <mergeCell ref="A43:A58"/>
    <mergeCell ref="C45:C51"/>
    <mergeCell ref="C55:C58"/>
    <mergeCell ref="N54:N58"/>
    <mergeCell ref="A72:A83"/>
    <mergeCell ref="O72:O83"/>
    <mergeCell ref="C74:C78"/>
    <mergeCell ref="N79:N83"/>
    <mergeCell ref="C80:C83"/>
    <mergeCell ref="A3:O3"/>
    <mergeCell ref="C4:C5"/>
    <mergeCell ref="D4:D5"/>
    <mergeCell ref="O4:O5"/>
    <mergeCell ref="N4:N5"/>
    <mergeCell ref="B4:B5"/>
    <mergeCell ref="A4:A5"/>
    <mergeCell ref="M4:M5"/>
    <mergeCell ref="A23:A42"/>
    <mergeCell ref="O23:O42"/>
    <mergeCell ref="C25:C36"/>
    <mergeCell ref="C38:C42"/>
    <mergeCell ref="N37:N42"/>
    <mergeCell ref="M17:M22"/>
    <mergeCell ref="M37:M42"/>
    <mergeCell ref="N17:N22"/>
    <mergeCell ref="F4:F5"/>
    <mergeCell ref="G4:L4"/>
    <mergeCell ref="A84:A95"/>
    <mergeCell ref="O84:O95"/>
    <mergeCell ref="C86:C90"/>
    <mergeCell ref="N91:N95"/>
    <mergeCell ref="C92:C95"/>
    <mergeCell ref="A108:A120"/>
    <mergeCell ref="O108:O120"/>
    <mergeCell ref="C110:C115"/>
    <mergeCell ref="N118:N120"/>
    <mergeCell ref="C119:C120"/>
    <mergeCell ref="M118:M120"/>
    <mergeCell ref="A96:A107"/>
    <mergeCell ref="O96:O107"/>
    <mergeCell ref="C98:C102"/>
    <mergeCell ref="N103:N107"/>
    <mergeCell ref="C104:C107"/>
    <mergeCell ref="A133:A142"/>
    <mergeCell ref="O133:O142"/>
    <mergeCell ref="C135:C136"/>
    <mergeCell ref="N140:N142"/>
    <mergeCell ref="C141:C142"/>
    <mergeCell ref="M140:M142"/>
    <mergeCell ref="A121:A132"/>
    <mergeCell ref="O121:O132"/>
    <mergeCell ref="N130:N132"/>
    <mergeCell ref="C131:C132"/>
    <mergeCell ref="C123:C129"/>
    <mergeCell ref="M130:M132"/>
    <mergeCell ref="O143:O155"/>
    <mergeCell ref="O156:O160"/>
    <mergeCell ref="M54:M58"/>
    <mergeCell ref="M67:M71"/>
    <mergeCell ref="M79:M83"/>
    <mergeCell ref="M91:M95"/>
    <mergeCell ref="M103:M107"/>
    <mergeCell ref="A143:A160"/>
    <mergeCell ref="C145:C153"/>
    <mergeCell ref="M156:M160"/>
    <mergeCell ref="N156:N160"/>
    <mergeCell ref="C157:C160"/>
    <mergeCell ref="A161:A172"/>
    <mergeCell ref="O161:O172"/>
    <mergeCell ref="C163:C167"/>
    <mergeCell ref="M168:M172"/>
    <mergeCell ref="N168:N172"/>
    <mergeCell ref="C169:C172"/>
  </mergeCells>
  <printOptions horizontalCentered="1"/>
  <pageMargins left="0.23622047244094491" right="0.27559055118110237" top="0.51181102362204722" bottom="0.35433070866141736" header="0.19685039370078741" footer="0.15748031496062992"/>
  <pageSetup paperSize="9" scale="70" firstPageNumber="24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</oddHeader>
    <oddFooter>&amp;C&amp;P</oddFooter>
  </headerFooter>
  <rowBreaks count="2" manualBreakCount="2">
    <brk id="59" max="14" man="1"/>
    <brk id="120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V469"/>
  <sheetViews>
    <sheetView showGridLines="0" view="pageBreakPreview" zoomScaleSheetLayoutView="100" workbookViewId="0">
      <pane ySplit="8" topLeftCell="A9" activePane="bottomLeft" state="frozen"/>
      <selection activeCell="L250" sqref="L250"/>
      <selection pane="bottomLeft" activeCell="V56" sqref="V56"/>
    </sheetView>
  </sheetViews>
  <sheetFormatPr defaultColWidth="9.140625" defaultRowHeight="12.75"/>
  <cols>
    <col min="1" max="1" width="3.7109375" style="319" customWidth="1"/>
    <col min="2" max="2" width="54.7109375" style="320" customWidth="1"/>
    <col min="3" max="3" width="9.85546875" style="320" customWidth="1"/>
    <col min="4" max="4" width="13.7109375" style="320" customWidth="1"/>
    <col min="5" max="5" width="11.85546875" style="320" customWidth="1"/>
    <col min="6" max="6" width="9.5703125" style="320" customWidth="1"/>
    <col min="7" max="7" width="10.85546875" style="320" customWidth="1"/>
    <col min="8" max="8" width="10.28515625" style="320" customWidth="1"/>
    <col min="9" max="9" width="9.7109375" style="320" customWidth="1"/>
    <col min="10" max="10" width="10.5703125" style="320" customWidth="1"/>
    <col min="11" max="11" width="10" style="320" customWidth="1"/>
    <col min="12" max="12" width="9.7109375" style="320" customWidth="1"/>
    <col min="13" max="13" width="12.140625" style="320" hidden="1" customWidth="1"/>
    <col min="14" max="14" width="13" style="320" customWidth="1"/>
    <col min="15" max="15" width="14.28515625" style="389" customWidth="1"/>
    <col min="16" max="16" width="11.5703125" style="388" hidden="1" customWidth="1"/>
    <col min="17" max="17" width="10.140625" style="388" hidden="1" customWidth="1"/>
    <col min="18" max="18" width="10.7109375" style="388" hidden="1" customWidth="1"/>
    <col min="19" max="19" width="9.140625" style="388"/>
    <col min="20" max="20" width="10.140625" style="388" customWidth="1"/>
    <col min="21" max="21" width="9.140625" style="388"/>
    <col min="22" max="22" width="10.7109375" style="388" hidden="1" customWidth="1"/>
    <col min="23" max="31" width="9.140625" style="388"/>
    <col min="32" max="32" width="8.5703125" style="388" customWidth="1"/>
    <col min="33" max="44" width="9.140625" style="388"/>
    <col min="45" max="45" width="8.7109375" style="388" customWidth="1"/>
    <col min="46" max="55" width="9.140625" style="388"/>
    <col min="56" max="56" width="4.28515625" style="388" customWidth="1"/>
    <col min="57" max="66" width="9.140625" style="388"/>
    <col min="67" max="67" width="5" style="388" customWidth="1"/>
    <col min="68" max="77" width="9.140625" style="388"/>
    <col min="78" max="78" width="3.85546875" style="388" customWidth="1"/>
    <col min="79" max="90" width="9.140625" style="388"/>
    <col min="91" max="91" width="5.28515625" style="388" customWidth="1"/>
    <col min="92" max="103" width="9.140625" style="388"/>
    <col min="104" max="104" width="1.5703125" style="388" customWidth="1"/>
    <col min="105" max="117" width="9.140625" style="388"/>
    <col min="118" max="118" width="0.7109375" style="388" customWidth="1"/>
    <col min="119" max="130" width="9.140625" style="388"/>
    <col min="131" max="131" width="8.28515625" style="388" customWidth="1"/>
    <col min="132" max="140" width="9.140625" style="388"/>
    <col min="141" max="141" width="0.28515625" style="388" customWidth="1"/>
    <col min="142" max="167" width="9.140625" style="388"/>
    <col min="168" max="168" width="0.7109375" style="388" customWidth="1"/>
    <col min="169" max="16384" width="9.140625" style="388"/>
  </cols>
  <sheetData>
    <row r="1" spans="1:18" ht="17.25" customHeight="1">
      <c r="D1" s="323"/>
      <c r="E1" s="323"/>
      <c r="H1" s="325" t="s">
        <v>444</v>
      </c>
      <c r="I1" s="6"/>
      <c r="J1" s="6"/>
      <c r="K1" s="6"/>
      <c r="L1" s="6"/>
      <c r="M1" s="6"/>
      <c r="N1" s="6"/>
      <c r="O1" s="7"/>
    </row>
    <row r="2" spans="1:18" ht="12" customHeight="1">
      <c r="H2" s="6"/>
      <c r="I2" s="6"/>
      <c r="J2" s="6"/>
      <c r="K2" s="6"/>
      <c r="L2" s="6"/>
      <c r="M2" s="6"/>
      <c r="N2" s="6"/>
      <c r="O2" s="7"/>
    </row>
    <row r="3" spans="1:18" ht="12.75" customHeight="1"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7"/>
    </row>
    <row r="4" spans="1:18" ht="8.25" customHeight="1">
      <c r="D4" s="323"/>
      <c r="E4" s="323"/>
      <c r="F4" s="326"/>
      <c r="G4" s="326"/>
      <c r="H4" s="6"/>
      <c r="I4" s="6"/>
      <c r="J4" s="6"/>
      <c r="K4" s="6"/>
      <c r="L4" s="6"/>
      <c r="M4" s="6"/>
      <c r="N4" s="6"/>
      <c r="O4" s="7"/>
    </row>
    <row r="5" spans="1:18" s="327" customFormat="1" ht="18.75" thickBot="1">
      <c r="A5" s="3328" t="s">
        <v>228</v>
      </c>
      <c r="B5" s="3328"/>
      <c r="C5" s="3328"/>
      <c r="D5" s="3328"/>
      <c r="E5" s="3328"/>
      <c r="F5" s="1805"/>
      <c r="G5" s="1805"/>
      <c r="H5" s="1806"/>
      <c r="I5" s="1806"/>
      <c r="J5" s="1806"/>
      <c r="K5" s="1806"/>
      <c r="L5" s="1806"/>
      <c r="M5" s="1806"/>
      <c r="N5" s="1806"/>
      <c r="O5" s="1806"/>
    </row>
    <row r="6" spans="1:18" ht="36.75" customHeight="1">
      <c r="A6" s="1807"/>
      <c r="B6" s="1807"/>
      <c r="C6" s="3129" t="s">
        <v>71</v>
      </c>
      <c r="D6" s="3330" t="s">
        <v>72</v>
      </c>
      <c r="E6" s="3333" t="s">
        <v>477</v>
      </c>
      <c r="F6" s="3149" t="s">
        <v>533</v>
      </c>
      <c r="G6" s="3146" t="s">
        <v>474</v>
      </c>
      <c r="H6" s="3147"/>
      <c r="I6" s="3147"/>
      <c r="J6" s="3147"/>
      <c r="K6" s="3147"/>
      <c r="L6" s="3148"/>
      <c r="M6" s="3138" t="s">
        <v>495</v>
      </c>
      <c r="N6" s="3138" t="s">
        <v>475</v>
      </c>
      <c r="O6" s="3338" t="s">
        <v>73</v>
      </c>
    </row>
    <row r="7" spans="1:18" ht="45.75" customHeight="1">
      <c r="A7" s="2483" t="s">
        <v>74</v>
      </c>
      <c r="B7" s="1808" t="s">
        <v>75</v>
      </c>
      <c r="C7" s="3329"/>
      <c r="D7" s="3331"/>
      <c r="E7" s="3334"/>
      <c r="F7" s="3326"/>
      <c r="G7" s="3321" t="s">
        <v>6</v>
      </c>
      <c r="H7" s="3321" t="s">
        <v>207</v>
      </c>
      <c r="I7" s="3321" t="s">
        <v>209</v>
      </c>
      <c r="J7" s="3321" t="s">
        <v>254</v>
      </c>
      <c r="K7" s="3321" t="s">
        <v>255</v>
      </c>
      <c r="L7" s="3321" t="s">
        <v>253</v>
      </c>
      <c r="M7" s="3322"/>
      <c r="N7" s="3322"/>
      <c r="O7" s="3339"/>
    </row>
    <row r="8" spans="1:18" ht="15.75" customHeight="1" thickBot="1">
      <c r="A8" s="1809"/>
      <c r="B8" s="1810"/>
      <c r="C8" s="3130"/>
      <c r="D8" s="3332"/>
      <c r="E8" s="3335"/>
      <c r="F8" s="3327"/>
      <c r="G8" s="3150"/>
      <c r="H8" s="3150"/>
      <c r="I8" s="3150"/>
      <c r="J8" s="3150"/>
      <c r="K8" s="3150"/>
      <c r="L8" s="3150"/>
      <c r="M8" s="3139"/>
      <c r="N8" s="3139"/>
      <c r="O8" s="3340"/>
    </row>
    <row r="9" spans="1:18" s="328" customFormat="1" ht="12" customHeight="1" thickBot="1">
      <c r="A9" s="1120">
        <v>1</v>
      </c>
      <c r="B9" s="1121">
        <v>2</v>
      </c>
      <c r="C9" s="1122" t="s">
        <v>119</v>
      </c>
      <c r="D9" s="1122" t="s">
        <v>120</v>
      </c>
      <c r="E9" s="1122">
        <v>5</v>
      </c>
      <c r="F9" s="1122">
        <v>6</v>
      </c>
      <c r="G9" s="1122">
        <v>7</v>
      </c>
      <c r="H9" s="1122">
        <v>8</v>
      </c>
      <c r="I9" s="1122">
        <v>9</v>
      </c>
      <c r="J9" s="1122">
        <v>10</v>
      </c>
      <c r="K9" s="1122">
        <v>11</v>
      </c>
      <c r="L9" s="1122">
        <v>12</v>
      </c>
      <c r="M9" s="1123">
        <v>13</v>
      </c>
      <c r="N9" s="1123">
        <v>13</v>
      </c>
      <c r="O9" s="1124">
        <v>14</v>
      </c>
      <c r="Q9" s="1811"/>
    </row>
    <row r="10" spans="1:18" s="2051" customFormat="1" ht="15.75" customHeight="1">
      <c r="A10" s="1812"/>
      <c r="B10" s="238" t="s">
        <v>76</v>
      </c>
      <c r="C10" s="212"/>
      <c r="D10" s="213">
        <f>+D11+D12</f>
        <v>63465125</v>
      </c>
      <c r="E10" s="213">
        <f t="shared" ref="E10" si="0">+E11+E12</f>
        <v>0</v>
      </c>
      <c r="F10" s="213">
        <f t="shared" ref="F10" si="1">+F11+F12</f>
        <v>0</v>
      </c>
      <c r="G10" s="213">
        <f t="shared" ref="G10:N10" si="2">+G11+G12</f>
        <v>4247813</v>
      </c>
      <c r="H10" s="213">
        <f t="shared" si="2"/>
        <v>5225973</v>
      </c>
      <c r="I10" s="213">
        <f t="shared" si="2"/>
        <v>5225973</v>
      </c>
      <c r="J10" s="213">
        <f t="shared" si="2"/>
        <v>5225973</v>
      </c>
      <c r="K10" s="213">
        <f t="shared" si="2"/>
        <v>5085973</v>
      </c>
      <c r="L10" s="1813">
        <f t="shared" si="2"/>
        <v>4145973</v>
      </c>
      <c r="M10" s="1814">
        <f t="shared" ref="M10" si="3">+M11+M12</f>
        <v>63465125</v>
      </c>
      <c r="N10" s="1814">
        <f t="shared" si="2"/>
        <v>63465125</v>
      </c>
      <c r="O10" s="1815"/>
      <c r="Q10" s="331"/>
      <c r="R10" s="331"/>
    </row>
    <row r="11" spans="1:18" s="2051" customFormat="1" ht="15.75" customHeight="1">
      <c r="A11" s="191"/>
      <c r="B11" s="227" t="s">
        <v>77</v>
      </c>
      <c r="C11" s="215"/>
      <c r="D11" s="216">
        <f>+D46+D51+D56</f>
        <v>63465125</v>
      </c>
      <c r="E11" s="2419">
        <f t="shared" ref="E11:N11" si="4">+E46+E51+E56</f>
        <v>0</v>
      </c>
      <c r="F11" s="2420">
        <f t="shared" si="4"/>
        <v>0</v>
      </c>
      <c r="G11" s="2420">
        <f t="shared" si="4"/>
        <v>4247813</v>
      </c>
      <c r="H11" s="2420">
        <f t="shared" si="4"/>
        <v>5225973</v>
      </c>
      <c r="I11" s="2420">
        <f t="shared" si="4"/>
        <v>5225973</v>
      </c>
      <c r="J11" s="2420">
        <f t="shared" si="4"/>
        <v>5225973</v>
      </c>
      <c r="K11" s="2420">
        <f t="shared" si="4"/>
        <v>5085973</v>
      </c>
      <c r="L11" s="2420">
        <f t="shared" si="4"/>
        <v>4145973</v>
      </c>
      <c r="M11" s="2747">
        <f t="shared" si="4"/>
        <v>63465125</v>
      </c>
      <c r="N11" s="2422">
        <f t="shared" si="4"/>
        <v>63465125</v>
      </c>
      <c r="O11" s="1816"/>
    </row>
    <row r="12" spans="1:18" s="2051" customFormat="1" ht="15.75" customHeight="1" thickBot="1">
      <c r="A12" s="191"/>
      <c r="B12" s="228" t="s">
        <v>9</v>
      </c>
      <c r="C12" s="711"/>
      <c r="D12" s="226">
        <f>+D33+D34+D35</f>
        <v>0</v>
      </c>
      <c r="E12" s="2421">
        <f t="shared" ref="E12:N12" si="5">+E33+E34+E35</f>
        <v>0</v>
      </c>
      <c r="F12" s="226">
        <f t="shared" si="5"/>
        <v>0</v>
      </c>
      <c r="G12" s="226">
        <f t="shared" si="5"/>
        <v>0</v>
      </c>
      <c r="H12" s="226">
        <f t="shared" si="5"/>
        <v>0</v>
      </c>
      <c r="I12" s="226">
        <f t="shared" si="5"/>
        <v>0</v>
      </c>
      <c r="J12" s="226">
        <f t="shared" si="5"/>
        <v>0</v>
      </c>
      <c r="K12" s="226">
        <f t="shared" si="5"/>
        <v>0</v>
      </c>
      <c r="L12" s="226">
        <f t="shared" si="5"/>
        <v>0</v>
      </c>
      <c r="M12" s="2746">
        <f t="shared" si="5"/>
        <v>0</v>
      </c>
      <c r="N12" s="1817">
        <f t="shared" si="5"/>
        <v>0</v>
      </c>
      <c r="O12" s="1816"/>
    </row>
    <row r="13" spans="1:18" s="328" customFormat="1" ht="15" customHeight="1">
      <c r="A13" s="191"/>
      <c r="B13" s="1818" t="s">
        <v>10</v>
      </c>
      <c r="C13" s="1819"/>
      <c r="D13" s="1820">
        <f>+D14+D21</f>
        <v>66555124.640000001</v>
      </c>
      <c r="E13" s="1821">
        <f t="shared" ref="E13:L13" si="6">+E14+E21</f>
        <v>1776666.64</v>
      </c>
      <c r="F13" s="1821">
        <f t="shared" si="6"/>
        <v>1313333</v>
      </c>
      <c r="G13" s="1821">
        <f t="shared" si="6"/>
        <v>4247813</v>
      </c>
      <c r="H13" s="1821">
        <f t="shared" si="6"/>
        <v>5225973</v>
      </c>
      <c r="I13" s="1821">
        <f t="shared" si="6"/>
        <v>5225973</v>
      </c>
      <c r="J13" s="1821">
        <f t="shared" si="6"/>
        <v>5225973</v>
      </c>
      <c r="K13" s="1821">
        <f t="shared" si="6"/>
        <v>5085973</v>
      </c>
      <c r="L13" s="1821">
        <f t="shared" si="6"/>
        <v>4145973</v>
      </c>
      <c r="M13" s="1822">
        <f>SUM(M14,M21)</f>
        <v>63465125</v>
      </c>
      <c r="N13" s="1822">
        <f>SUM(N14,N21)</f>
        <v>63465125</v>
      </c>
      <c r="O13" s="712"/>
      <c r="R13" s="181"/>
    </row>
    <row r="14" spans="1:18" s="382" customFormat="1" ht="14.25" customHeight="1">
      <c r="A14" s="191"/>
      <c r="B14" s="1823" t="s">
        <v>11</v>
      </c>
      <c r="C14" s="1824"/>
      <c r="D14" s="1825">
        <f>SUM(D15:D20)</f>
        <v>66555124.640000001</v>
      </c>
      <c r="E14" s="1825">
        <f t="shared" ref="E14:L14" si="7">SUM(E15:E20)</f>
        <v>1776666.64</v>
      </c>
      <c r="F14" s="1825">
        <f t="shared" si="7"/>
        <v>1313333</v>
      </c>
      <c r="G14" s="1825">
        <f t="shared" si="7"/>
        <v>4247813</v>
      </c>
      <c r="H14" s="1825">
        <f t="shared" si="7"/>
        <v>5225973</v>
      </c>
      <c r="I14" s="1825">
        <f t="shared" si="7"/>
        <v>5225973</v>
      </c>
      <c r="J14" s="1825">
        <f t="shared" si="7"/>
        <v>5225973</v>
      </c>
      <c r="K14" s="1825">
        <f t="shared" si="7"/>
        <v>5085973</v>
      </c>
      <c r="L14" s="1825">
        <f t="shared" si="7"/>
        <v>4145973</v>
      </c>
      <c r="M14" s="1826">
        <f>SUM(M15:M20)</f>
        <v>63465125</v>
      </c>
      <c r="N14" s="1826">
        <f>SUM(N15:N20)</f>
        <v>63465125</v>
      </c>
      <c r="O14" s="713"/>
      <c r="Q14" s="383"/>
    </row>
    <row r="15" spans="1:18" s="382" customFormat="1" ht="14.25" customHeight="1">
      <c r="A15" s="191"/>
      <c r="B15" s="1827" t="s">
        <v>12</v>
      </c>
      <c r="C15" s="1824"/>
      <c r="D15" s="1828">
        <f>+D46+D51+D56</f>
        <v>63465125</v>
      </c>
      <c r="E15" s="1828">
        <f t="shared" ref="E15:K15" si="8">+E46+E51+E56</f>
        <v>0</v>
      </c>
      <c r="F15" s="1828">
        <f t="shared" si="8"/>
        <v>0</v>
      </c>
      <c r="G15" s="1828">
        <f t="shared" si="8"/>
        <v>4247813</v>
      </c>
      <c r="H15" s="1828">
        <f t="shared" si="8"/>
        <v>5225973</v>
      </c>
      <c r="I15" s="1828">
        <f t="shared" si="8"/>
        <v>5225973</v>
      </c>
      <c r="J15" s="1828">
        <f t="shared" si="8"/>
        <v>5225973</v>
      </c>
      <c r="K15" s="1828">
        <f t="shared" si="8"/>
        <v>5085973</v>
      </c>
      <c r="L15" s="1828">
        <f>+L46+L51+L56</f>
        <v>4145973</v>
      </c>
      <c r="M15" s="1836">
        <f>+M46+M51+M56</f>
        <v>63465125</v>
      </c>
      <c r="N15" s="1833">
        <f>+N46+N51+N56</f>
        <v>63465125</v>
      </c>
      <c r="O15" s="713"/>
      <c r="Q15" s="383"/>
      <c r="R15" s="383"/>
    </row>
    <row r="16" spans="1:18" s="328" customFormat="1" ht="14.25" customHeight="1" thickBot="1">
      <c r="A16" s="191"/>
      <c r="B16" s="1827" t="s">
        <v>32</v>
      </c>
      <c r="C16" s="1829"/>
      <c r="D16" s="1830">
        <f>+D32+D45+D50+D55</f>
        <v>3089999.64</v>
      </c>
      <c r="E16" s="1830">
        <f t="shared" ref="E16:L16" si="9">+E32+E45+E50+E55</f>
        <v>1776666.64</v>
      </c>
      <c r="F16" s="1830">
        <f t="shared" si="9"/>
        <v>1313333</v>
      </c>
      <c r="G16" s="1830">
        <f t="shared" si="9"/>
        <v>0</v>
      </c>
      <c r="H16" s="1830">
        <f t="shared" si="9"/>
        <v>0</v>
      </c>
      <c r="I16" s="1830">
        <f t="shared" si="9"/>
        <v>0</v>
      </c>
      <c r="J16" s="1830">
        <f t="shared" si="9"/>
        <v>0</v>
      </c>
      <c r="K16" s="1830">
        <f t="shared" si="9"/>
        <v>0</v>
      </c>
      <c r="L16" s="1830">
        <f t="shared" si="9"/>
        <v>0</v>
      </c>
      <c r="M16" s="1831" t="s">
        <v>61</v>
      </c>
      <c r="N16" s="1831" t="s">
        <v>61</v>
      </c>
      <c r="O16" s="712"/>
      <c r="Q16" s="181"/>
      <c r="R16" s="181"/>
    </row>
    <row r="17" spans="1:19" s="328" customFormat="1" ht="14.25" hidden="1" customHeight="1" thickBot="1">
      <c r="A17" s="191"/>
      <c r="B17" s="1827" t="s">
        <v>122</v>
      </c>
      <c r="C17" s="1832"/>
      <c r="D17" s="1830">
        <f>+D33</f>
        <v>0</v>
      </c>
      <c r="E17" s="1830">
        <f t="shared" ref="E17:L17" si="10">+E33</f>
        <v>0</v>
      </c>
      <c r="F17" s="1830">
        <f t="shared" si="10"/>
        <v>0</v>
      </c>
      <c r="G17" s="1830">
        <f t="shared" si="10"/>
        <v>0</v>
      </c>
      <c r="H17" s="1830">
        <f t="shared" si="10"/>
        <v>0</v>
      </c>
      <c r="I17" s="1830">
        <f t="shared" si="10"/>
        <v>0</v>
      </c>
      <c r="J17" s="1830">
        <f t="shared" si="10"/>
        <v>0</v>
      </c>
      <c r="K17" s="1830">
        <f t="shared" si="10"/>
        <v>0</v>
      </c>
      <c r="L17" s="1830">
        <f t="shared" si="10"/>
        <v>0</v>
      </c>
      <c r="M17" s="1833"/>
      <c r="N17" s="1833"/>
      <c r="O17" s="1834"/>
      <c r="Q17" s="181"/>
      <c r="R17" s="181"/>
    </row>
    <row r="18" spans="1:19" s="382" customFormat="1" ht="14.25" hidden="1" customHeight="1">
      <c r="A18" s="714"/>
      <c r="B18" s="1835" t="s">
        <v>13</v>
      </c>
      <c r="C18" s="1829"/>
      <c r="D18" s="1832">
        <f>D34</f>
        <v>0</v>
      </c>
      <c r="E18" s="1832">
        <f t="shared" ref="E18:O18" si="11">E34</f>
        <v>0</v>
      </c>
      <c r="F18" s="1832">
        <f t="shared" si="11"/>
        <v>0</v>
      </c>
      <c r="G18" s="1832">
        <f t="shared" si="11"/>
        <v>0</v>
      </c>
      <c r="H18" s="1832">
        <f t="shared" si="11"/>
        <v>0</v>
      </c>
      <c r="I18" s="1832">
        <f t="shared" si="11"/>
        <v>0</v>
      </c>
      <c r="J18" s="1832">
        <f t="shared" si="11"/>
        <v>0</v>
      </c>
      <c r="K18" s="1832">
        <f t="shared" si="11"/>
        <v>0</v>
      </c>
      <c r="L18" s="1832">
        <f t="shared" si="11"/>
        <v>0</v>
      </c>
      <c r="M18" s="1836">
        <f t="shared" si="11"/>
        <v>0</v>
      </c>
      <c r="N18" s="1833">
        <f t="shared" si="11"/>
        <v>0</v>
      </c>
      <c r="O18" s="1832">
        <f t="shared" si="11"/>
        <v>0</v>
      </c>
      <c r="Q18" s="383"/>
    </row>
    <row r="19" spans="1:19" s="338" customFormat="1" ht="14.25" hidden="1" customHeight="1">
      <c r="A19" s="714"/>
      <c r="B19" s="1835" t="s">
        <v>34</v>
      </c>
      <c r="C19" s="1829"/>
      <c r="D19" s="1832"/>
      <c r="E19" s="1832"/>
      <c r="F19" s="1832"/>
      <c r="G19" s="1832"/>
      <c r="H19" s="1832"/>
      <c r="I19" s="1832"/>
      <c r="J19" s="1832"/>
      <c r="K19" s="1832"/>
      <c r="L19" s="1832"/>
      <c r="M19" s="1838"/>
      <c r="N19" s="1838"/>
      <c r="O19" s="1837"/>
      <c r="Q19" s="1839"/>
    </row>
    <row r="20" spans="1:19" s="328" customFormat="1" ht="14.25" hidden="1" customHeight="1">
      <c r="A20" s="191"/>
      <c r="B20" s="1835" t="s">
        <v>123</v>
      </c>
      <c r="C20" s="1829"/>
      <c r="D20" s="1832">
        <f t="shared" ref="D20" si="12">D35</f>
        <v>0</v>
      </c>
      <c r="E20" s="1832">
        <f t="shared" ref="E20:L20" si="13">E35</f>
        <v>0</v>
      </c>
      <c r="F20" s="1832">
        <f t="shared" si="13"/>
        <v>0</v>
      </c>
      <c r="G20" s="1832">
        <f t="shared" si="13"/>
        <v>0</v>
      </c>
      <c r="H20" s="1832">
        <f t="shared" si="13"/>
        <v>0</v>
      </c>
      <c r="I20" s="1832">
        <f t="shared" si="13"/>
        <v>0</v>
      </c>
      <c r="J20" s="1832">
        <f t="shared" si="13"/>
        <v>0</v>
      </c>
      <c r="K20" s="1832">
        <f t="shared" si="13"/>
        <v>0</v>
      </c>
      <c r="L20" s="1832">
        <f t="shared" si="13"/>
        <v>0</v>
      </c>
      <c r="M20" s="1833">
        <f>M35</f>
        <v>0</v>
      </c>
      <c r="N20" s="1833">
        <f>N35</f>
        <v>0</v>
      </c>
      <c r="O20" s="1834"/>
      <c r="Q20" s="181"/>
    </row>
    <row r="21" spans="1:19" s="382" customFormat="1" ht="14.25" hidden="1" customHeight="1">
      <c r="A21" s="151"/>
      <c r="B21" s="185" t="s">
        <v>18</v>
      </c>
      <c r="C21" s="1840"/>
      <c r="D21" s="1841">
        <f t="shared" ref="D21:L21" si="14">SUM(D22:D22)</f>
        <v>0</v>
      </c>
      <c r="E21" s="1841">
        <f t="shared" si="14"/>
        <v>0</v>
      </c>
      <c r="F21" s="1841">
        <f t="shared" si="14"/>
        <v>0</v>
      </c>
      <c r="G21" s="1841">
        <f t="shared" si="14"/>
        <v>0</v>
      </c>
      <c r="H21" s="1841">
        <f t="shared" si="14"/>
        <v>0</v>
      </c>
      <c r="I21" s="1841">
        <f t="shared" si="14"/>
        <v>0</v>
      </c>
      <c r="J21" s="1841">
        <f t="shared" si="14"/>
        <v>0</v>
      </c>
      <c r="K21" s="1841">
        <f t="shared" si="14"/>
        <v>0</v>
      </c>
      <c r="L21" s="1841">
        <f t="shared" si="14"/>
        <v>0</v>
      </c>
      <c r="M21" s="1831" t="s">
        <v>61</v>
      </c>
      <c r="N21" s="1831" t="s">
        <v>61</v>
      </c>
      <c r="O21" s="713"/>
    </row>
    <row r="22" spans="1:19" s="328" customFormat="1" ht="14.25" hidden="1" customHeight="1">
      <c r="A22" s="167"/>
      <c r="B22" s="1842" t="s">
        <v>35</v>
      </c>
      <c r="C22" s="1843"/>
      <c r="D22" s="1844"/>
      <c r="E22" s="1844"/>
      <c r="F22" s="1844"/>
      <c r="G22" s="1844"/>
      <c r="H22" s="1844"/>
      <c r="I22" s="1844"/>
      <c r="J22" s="1844"/>
      <c r="K22" s="1844"/>
      <c r="L22" s="1844"/>
      <c r="M22" s="1831" t="s">
        <v>61</v>
      </c>
      <c r="N22" s="1831" t="s">
        <v>61</v>
      </c>
      <c r="O22" s="1845"/>
    </row>
    <row r="23" spans="1:19" s="382" customFormat="1" ht="14.25" hidden="1" customHeight="1">
      <c r="A23" s="151"/>
      <c r="B23" s="715" t="s">
        <v>22</v>
      </c>
      <c r="C23" s="190"/>
      <c r="D23" s="732">
        <f>+D24+D27</f>
        <v>0</v>
      </c>
      <c r="E23" s="732">
        <f t="shared" ref="E23:L23" si="15">+E24+E27</f>
        <v>0</v>
      </c>
      <c r="F23" s="732">
        <f t="shared" si="15"/>
        <v>0</v>
      </c>
      <c r="G23" s="732">
        <f t="shared" si="15"/>
        <v>0</v>
      </c>
      <c r="H23" s="732">
        <f t="shared" si="15"/>
        <v>0</v>
      </c>
      <c r="I23" s="732">
        <f t="shared" si="15"/>
        <v>0</v>
      </c>
      <c r="J23" s="732">
        <f t="shared" si="15"/>
        <v>0</v>
      </c>
      <c r="K23" s="732">
        <f t="shared" si="15"/>
        <v>0</v>
      </c>
      <c r="L23" s="732">
        <f t="shared" si="15"/>
        <v>0</v>
      </c>
      <c r="M23" s="3323" t="s">
        <v>23</v>
      </c>
      <c r="N23" s="3323" t="s">
        <v>23</v>
      </c>
      <c r="O23" s="1846"/>
    </row>
    <row r="24" spans="1:19" s="328" customFormat="1" ht="14.25" hidden="1" customHeight="1">
      <c r="A24" s="167"/>
      <c r="B24" s="185" t="s">
        <v>11</v>
      </c>
      <c r="C24" s="1840"/>
      <c r="D24" s="1841">
        <f>+D25+D26</f>
        <v>0</v>
      </c>
      <c r="E24" s="1841">
        <f t="shared" ref="E24:L24" si="16">+E25+E26</f>
        <v>0</v>
      </c>
      <c r="F24" s="1841">
        <f t="shared" si="16"/>
        <v>0</v>
      </c>
      <c r="G24" s="1841">
        <f t="shared" si="16"/>
        <v>0</v>
      </c>
      <c r="H24" s="1841">
        <f t="shared" si="16"/>
        <v>0</v>
      </c>
      <c r="I24" s="1841">
        <f t="shared" si="16"/>
        <v>0</v>
      </c>
      <c r="J24" s="1841">
        <f t="shared" si="16"/>
        <v>0</v>
      </c>
      <c r="K24" s="1841">
        <f t="shared" si="16"/>
        <v>0</v>
      </c>
      <c r="L24" s="1841">
        <f t="shared" si="16"/>
        <v>0</v>
      </c>
      <c r="M24" s="3324"/>
      <c r="N24" s="3324"/>
      <c r="O24" s="1845"/>
    </row>
    <row r="25" spans="1:19" s="328" customFormat="1" ht="14.25" hidden="1" customHeight="1">
      <c r="A25" s="167"/>
      <c r="B25" s="1835" t="s">
        <v>13</v>
      </c>
      <c r="C25" s="1829"/>
      <c r="D25" s="1832">
        <f>D40</f>
        <v>0</v>
      </c>
      <c r="E25" s="1832">
        <f t="shared" ref="E25:L25" si="17">E40</f>
        <v>0</v>
      </c>
      <c r="F25" s="1832">
        <f t="shared" si="17"/>
        <v>0</v>
      </c>
      <c r="G25" s="1832">
        <f t="shared" si="17"/>
        <v>0</v>
      </c>
      <c r="H25" s="1832">
        <f t="shared" si="17"/>
        <v>0</v>
      </c>
      <c r="I25" s="1832">
        <f t="shared" si="17"/>
        <v>0</v>
      </c>
      <c r="J25" s="1832">
        <f t="shared" si="17"/>
        <v>0</v>
      </c>
      <c r="K25" s="1832">
        <f t="shared" si="17"/>
        <v>0</v>
      </c>
      <c r="L25" s="1832">
        <f t="shared" si="17"/>
        <v>0</v>
      </c>
      <c r="M25" s="3324"/>
      <c r="N25" s="3324"/>
      <c r="O25" s="1845"/>
      <c r="Q25" s="181"/>
    </row>
    <row r="26" spans="1:19" s="328" customFormat="1" ht="14.25" hidden="1" customHeight="1">
      <c r="A26" s="167"/>
      <c r="B26" s="1835" t="s">
        <v>445</v>
      </c>
      <c r="C26" s="1829"/>
      <c r="D26" s="1832">
        <f t="shared" ref="D26" si="18">D41</f>
        <v>0</v>
      </c>
      <c r="E26" s="1832">
        <f t="shared" ref="E26:L26" si="19">E41</f>
        <v>0</v>
      </c>
      <c r="F26" s="1832">
        <f t="shared" si="19"/>
        <v>0</v>
      </c>
      <c r="G26" s="1832">
        <f t="shared" si="19"/>
        <v>0</v>
      </c>
      <c r="H26" s="1832">
        <f t="shared" si="19"/>
        <v>0</v>
      </c>
      <c r="I26" s="1832">
        <f t="shared" si="19"/>
        <v>0</v>
      </c>
      <c r="J26" s="1832">
        <f t="shared" si="19"/>
        <v>0</v>
      </c>
      <c r="K26" s="1832">
        <f t="shared" si="19"/>
        <v>0</v>
      </c>
      <c r="L26" s="1832">
        <f t="shared" si="19"/>
        <v>0</v>
      </c>
      <c r="M26" s="3324"/>
      <c r="N26" s="3324"/>
      <c r="O26" s="1845"/>
      <c r="Q26" s="181"/>
    </row>
    <row r="27" spans="1:19" s="328" customFormat="1" ht="14.25" hidden="1" customHeight="1">
      <c r="A27" s="167"/>
      <c r="B27" s="185" t="s">
        <v>18</v>
      </c>
      <c r="C27" s="1840"/>
      <c r="D27" s="1841">
        <f t="shared" ref="D27:L27" si="20">SUM(D28:D28)</f>
        <v>0</v>
      </c>
      <c r="E27" s="1841">
        <f t="shared" si="20"/>
        <v>0</v>
      </c>
      <c r="F27" s="1841">
        <f t="shared" si="20"/>
        <v>0</v>
      </c>
      <c r="G27" s="1841">
        <f t="shared" si="20"/>
        <v>0</v>
      </c>
      <c r="H27" s="1841">
        <f t="shared" si="20"/>
        <v>0</v>
      </c>
      <c r="I27" s="1841">
        <f t="shared" si="20"/>
        <v>0</v>
      </c>
      <c r="J27" s="1841">
        <f t="shared" si="20"/>
        <v>0</v>
      </c>
      <c r="K27" s="1841">
        <f t="shared" si="20"/>
        <v>0</v>
      </c>
      <c r="L27" s="1841">
        <f t="shared" si="20"/>
        <v>0</v>
      </c>
      <c r="M27" s="3324"/>
      <c r="N27" s="3324"/>
      <c r="O27" s="1845"/>
      <c r="Q27" s="181"/>
    </row>
    <row r="28" spans="1:19" s="328" customFormat="1" ht="14.25" hidden="1" customHeight="1" thickBot="1">
      <c r="A28" s="167"/>
      <c r="B28" s="1842" t="s">
        <v>35</v>
      </c>
      <c r="C28" s="1847"/>
      <c r="D28" s="1762"/>
      <c r="E28" s="1762"/>
      <c r="F28" s="1762"/>
      <c r="G28" s="1762"/>
      <c r="H28" s="1762"/>
      <c r="I28" s="1762"/>
      <c r="J28" s="1762"/>
      <c r="K28" s="1762"/>
      <c r="L28" s="1762"/>
      <c r="M28" s="3325"/>
      <c r="N28" s="3325"/>
      <c r="O28" s="1845"/>
      <c r="Q28" s="181"/>
    </row>
    <row r="29" spans="1:19" s="350" customFormat="1" ht="38.25" hidden="1" customHeight="1">
      <c r="A29" s="3314" t="s">
        <v>63</v>
      </c>
      <c r="B29" s="2764"/>
      <c r="C29" s="2765" t="s">
        <v>81</v>
      </c>
      <c r="D29" s="2766"/>
      <c r="E29" s="2767"/>
      <c r="F29" s="2767"/>
      <c r="G29" s="2767"/>
      <c r="H29" s="2767"/>
      <c r="I29" s="2767"/>
      <c r="J29" s="2768"/>
      <c r="K29" s="2767"/>
      <c r="L29" s="2766"/>
      <c r="M29" s="2769"/>
      <c r="N29" s="2769"/>
      <c r="O29" s="3317"/>
      <c r="Q29" s="3304"/>
      <c r="R29" s="3304"/>
      <c r="S29" s="3304"/>
    </row>
    <row r="30" spans="1:19" s="350" customFormat="1" ht="13.5" hidden="1" customHeight="1">
      <c r="A30" s="3315"/>
      <c r="B30" s="2770" t="s">
        <v>10</v>
      </c>
      <c r="C30" s="2771"/>
      <c r="D30" s="2772">
        <f>+D31+D36</f>
        <v>0</v>
      </c>
      <c r="E30" s="2772">
        <f t="shared" ref="E30" si="21">+E31+E36</f>
        <v>0</v>
      </c>
      <c r="F30" s="2772">
        <f t="shared" ref="F30:L30" si="22">+F31</f>
        <v>0</v>
      </c>
      <c r="G30" s="2773">
        <f t="shared" si="22"/>
        <v>0</v>
      </c>
      <c r="H30" s="2773">
        <f t="shared" si="22"/>
        <v>0</v>
      </c>
      <c r="I30" s="2773">
        <f t="shared" si="22"/>
        <v>0</v>
      </c>
      <c r="J30" s="2773">
        <f t="shared" si="22"/>
        <v>0</v>
      </c>
      <c r="K30" s="2773">
        <f t="shared" si="22"/>
        <v>0</v>
      </c>
      <c r="L30" s="2774">
        <f t="shared" si="22"/>
        <v>0</v>
      </c>
      <c r="M30" s="2775">
        <f>+M31+M36</f>
        <v>0</v>
      </c>
      <c r="N30" s="2775">
        <f>+N31+N36</f>
        <v>0</v>
      </c>
      <c r="O30" s="3318"/>
      <c r="P30" s="355"/>
      <c r="Q30" s="3304"/>
      <c r="R30" s="3304"/>
      <c r="S30" s="3304"/>
    </row>
    <row r="31" spans="1:19" s="350" customFormat="1" ht="13.5" hidden="1" customHeight="1">
      <c r="A31" s="3315"/>
      <c r="B31" s="2776" t="s">
        <v>24</v>
      </c>
      <c r="C31" s="3305" t="s">
        <v>124</v>
      </c>
      <c r="D31" s="2777">
        <f>SUM(D32:D35)</f>
        <v>0</v>
      </c>
      <c r="E31" s="2777">
        <f>+E32+E33+E34+E35</f>
        <v>0</v>
      </c>
      <c r="F31" s="2777">
        <f t="shared" ref="F31:L31" si="23">+F32+F33+F34+F35</f>
        <v>0</v>
      </c>
      <c r="G31" s="2778">
        <f t="shared" si="23"/>
        <v>0</v>
      </c>
      <c r="H31" s="2778">
        <f t="shared" si="23"/>
        <v>0</v>
      </c>
      <c r="I31" s="2778">
        <f t="shared" si="23"/>
        <v>0</v>
      </c>
      <c r="J31" s="2778">
        <f t="shared" si="23"/>
        <v>0</v>
      </c>
      <c r="K31" s="2778">
        <f t="shared" si="23"/>
        <v>0</v>
      </c>
      <c r="L31" s="2779">
        <f t="shared" si="23"/>
        <v>0</v>
      </c>
      <c r="M31" s="2780">
        <f>+M33+M34+M35</f>
        <v>0</v>
      </c>
      <c r="N31" s="2780">
        <f>+N33+N34+N35</f>
        <v>0</v>
      </c>
      <c r="O31" s="3318"/>
      <c r="Q31" s="3304"/>
      <c r="R31" s="3304"/>
      <c r="S31" s="3304"/>
    </row>
    <row r="32" spans="1:19" s="350" customFormat="1" ht="13.5" hidden="1" customHeight="1">
      <c r="A32" s="3315"/>
      <c r="B32" s="2781" t="s">
        <v>125</v>
      </c>
      <c r="C32" s="3306"/>
      <c r="D32" s="2763">
        <f>E32+F32+G32+H32+I32+J32+K32+L32</f>
        <v>0</v>
      </c>
      <c r="E32" s="2782">
        <v>0</v>
      </c>
      <c r="F32" s="2783">
        <v>0</v>
      </c>
      <c r="G32" s="2784">
        <v>0</v>
      </c>
      <c r="H32" s="2784">
        <v>0</v>
      </c>
      <c r="I32" s="2784">
        <v>0</v>
      </c>
      <c r="J32" s="2784">
        <v>0</v>
      </c>
      <c r="K32" s="2784">
        <v>0</v>
      </c>
      <c r="L32" s="2785">
        <v>0</v>
      </c>
      <c r="M32" s="2786" t="s">
        <v>61</v>
      </c>
      <c r="N32" s="2786" t="s">
        <v>61</v>
      </c>
      <c r="O32" s="3319"/>
      <c r="Q32" s="3304"/>
      <c r="R32" s="3304"/>
      <c r="S32" s="3304"/>
    </row>
    <row r="33" spans="1:19" s="350" customFormat="1" ht="13.5" hidden="1" customHeight="1">
      <c r="A33" s="3315"/>
      <c r="B33" s="2787" t="s">
        <v>126</v>
      </c>
      <c r="C33" s="3306"/>
      <c r="D33" s="2763">
        <f>E33+F33+G33+H33+I33+J33+K33+L33</f>
        <v>0</v>
      </c>
      <c r="E33" s="2782">
        <v>0</v>
      </c>
      <c r="F33" s="2784">
        <v>0</v>
      </c>
      <c r="G33" s="2784">
        <v>0</v>
      </c>
      <c r="H33" s="2784">
        <v>0</v>
      </c>
      <c r="I33" s="2784">
        <v>0</v>
      </c>
      <c r="J33" s="2784">
        <v>0</v>
      </c>
      <c r="K33" s="2784">
        <v>0</v>
      </c>
      <c r="L33" s="2785">
        <v>0</v>
      </c>
      <c r="M33" s="2788">
        <f t="shared" ref="M33:N35" si="24">SUM(F33:K33)</f>
        <v>0</v>
      </c>
      <c r="N33" s="2788">
        <f t="shared" si="24"/>
        <v>0</v>
      </c>
      <c r="O33" s="3319"/>
      <c r="Q33" s="3304"/>
      <c r="R33" s="3304"/>
      <c r="S33" s="3304"/>
    </row>
    <row r="34" spans="1:19" s="350" customFormat="1" ht="12" hidden="1" customHeight="1">
      <c r="A34" s="3315"/>
      <c r="B34" s="2789" t="s">
        <v>13</v>
      </c>
      <c r="C34" s="3306"/>
      <c r="D34" s="2763">
        <f>E34+F34+G34+H34+I34+J34+K34+L34</f>
        <v>0</v>
      </c>
      <c r="E34" s="2782">
        <v>0</v>
      </c>
      <c r="F34" s="2783">
        <v>0</v>
      </c>
      <c r="G34" s="2790">
        <v>0</v>
      </c>
      <c r="H34" s="2790">
        <v>0</v>
      </c>
      <c r="I34" s="2790">
        <v>0</v>
      </c>
      <c r="J34" s="2790">
        <v>0</v>
      </c>
      <c r="K34" s="2790">
        <v>0</v>
      </c>
      <c r="L34" s="2791">
        <v>0</v>
      </c>
      <c r="M34" s="2788">
        <f>SUM(F34:K34)</f>
        <v>0</v>
      </c>
      <c r="N34" s="2788">
        <f t="shared" si="24"/>
        <v>0</v>
      </c>
      <c r="O34" s="3319"/>
      <c r="Q34" s="3304"/>
      <c r="R34" s="3304"/>
      <c r="S34" s="3304"/>
    </row>
    <row r="35" spans="1:19" s="350" customFormat="1" ht="13.5" hidden="1" customHeight="1">
      <c r="A35" s="3315"/>
      <c r="B35" s="2789" t="s">
        <v>123</v>
      </c>
      <c r="C35" s="3306"/>
      <c r="D35" s="2763">
        <f>E35+F35+G35+H35+I35+J35+K35+L35</f>
        <v>0</v>
      </c>
      <c r="E35" s="2782">
        <v>0</v>
      </c>
      <c r="F35" s="2784">
        <v>0</v>
      </c>
      <c r="G35" s="2806">
        <v>0</v>
      </c>
      <c r="H35" s="2790">
        <v>0</v>
      </c>
      <c r="I35" s="2790">
        <v>0</v>
      </c>
      <c r="J35" s="2790">
        <v>0</v>
      </c>
      <c r="K35" s="2790">
        <v>0</v>
      </c>
      <c r="L35" s="2791">
        <v>0</v>
      </c>
      <c r="M35" s="2788">
        <f t="shared" si="24"/>
        <v>0</v>
      </c>
      <c r="N35" s="2788">
        <f t="shared" si="24"/>
        <v>0</v>
      </c>
      <c r="O35" s="3319"/>
      <c r="Q35" s="3304"/>
      <c r="R35" s="3304"/>
      <c r="S35" s="3304"/>
    </row>
    <row r="36" spans="1:19" s="350" customFormat="1" ht="18.75" hidden="1" customHeight="1">
      <c r="A36" s="3315"/>
      <c r="B36" s="2787" t="s">
        <v>18</v>
      </c>
      <c r="C36" s="3307"/>
      <c r="D36" s="2763">
        <f>+D37</f>
        <v>0</v>
      </c>
      <c r="E36" s="2782"/>
      <c r="F36" s="2783"/>
      <c r="G36" s="2763"/>
      <c r="H36" s="2792"/>
      <c r="I36" s="2793"/>
      <c r="J36" s="2793"/>
      <c r="K36" s="2794"/>
      <c r="L36" s="2793"/>
      <c r="M36" s="2795"/>
      <c r="N36" s="2795"/>
      <c r="O36" s="3319"/>
      <c r="Q36" s="3304"/>
      <c r="R36" s="3304"/>
      <c r="S36" s="3304"/>
    </row>
    <row r="37" spans="1:19" s="350" customFormat="1" ht="16.5" hidden="1" customHeight="1">
      <c r="A37" s="3315"/>
      <c r="B37" s="2789" t="s">
        <v>35</v>
      </c>
      <c r="C37" s="2796"/>
      <c r="D37" s="2763">
        <v>0</v>
      </c>
      <c r="E37" s="2782"/>
      <c r="F37" s="2784"/>
      <c r="G37" s="2763"/>
      <c r="H37" s="2792"/>
      <c r="I37" s="2792"/>
      <c r="J37" s="2793"/>
      <c r="K37" s="2794"/>
      <c r="L37" s="2792"/>
      <c r="M37" s="2797"/>
      <c r="N37" s="2797"/>
      <c r="O37" s="3319"/>
      <c r="Q37" s="3304"/>
      <c r="R37" s="3304"/>
      <c r="S37" s="3304"/>
    </row>
    <row r="38" spans="1:19" s="350" customFormat="1" ht="13.5" hidden="1" customHeight="1">
      <c r="A38" s="3315"/>
      <c r="B38" s="2770" t="s">
        <v>22</v>
      </c>
      <c r="C38" s="2771"/>
      <c r="D38" s="2772">
        <f>D40+D41</f>
        <v>0</v>
      </c>
      <c r="E38" s="2772">
        <f t="shared" ref="E38" si="25">E40+E41</f>
        <v>0</v>
      </c>
      <c r="F38" s="2772">
        <f t="shared" ref="F38:L38" si="26">+F39</f>
        <v>0</v>
      </c>
      <c r="G38" s="2773">
        <f t="shared" si="26"/>
        <v>0</v>
      </c>
      <c r="H38" s="2773">
        <f t="shared" si="26"/>
        <v>0</v>
      </c>
      <c r="I38" s="2773">
        <f t="shared" si="26"/>
        <v>0</v>
      </c>
      <c r="J38" s="2773">
        <f t="shared" si="26"/>
        <v>0</v>
      </c>
      <c r="K38" s="2773">
        <f t="shared" si="26"/>
        <v>0</v>
      </c>
      <c r="L38" s="2774">
        <f t="shared" si="26"/>
        <v>0</v>
      </c>
      <c r="M38" s="3311" t="s">
        <v>61</v>
      </c>
      <c r="N38" s="3311" t="s">
        <v>61</v>
      </c>
      <c r="O38" s="3319"/>
      <c r="Q38" s="3304"/>
      <c r="R38" s="3304"/>
      <c r="S38" s="3304"/>
    </row>
    <row r="39" spans="1:19" s="338" customFormat="1" ht="13.5" hidden="1" customHeight="1">
      <c r="A39" s="3315"/>
      <c r="B39" s="2762" t="s">
        <v>24</v>
      </c>
      <c r="C39" s="3308" t="s">
        <v>124</v>
      </c>
      <c r="D39" s="2798">
        <f>+D40+D41</f>
        <v>0</v>
      </c>
      <c r="E39" s="2798">
        <f t="shared" ref="E39" si="27">+E40+E41</f>
        <v>0</v>
      </c>
      <c r="F39" s="2798">
        <f t="shared" ref="F39:L39" si="28">+F40+F41</f>
        <v>0</v>
      </c>
      <c r="G39" s="2799">
        <f t="shared" si="28"/>
        <v>0</v>
      </c>
      <c r="H39" s="2799">
        <f t="shared" si="28"/>
        <v>0</v>
      </c>
      <c r="I39" s="2799">
        <f t="shared" si="28"/>
        <v>0</v>
      </c>
      <c r="J39" s="2799">
        <f t="shared" si="28"/>
        <v>0</v>
      </c>
      <c r="K39" s="2799">
        <f t="shared" si="28"/>
        <v>0</v>
      </c>
      <c r="L39" s="2800">
        <f t="shared" si="28"/>
        <v>0</v>
      </c>
      <c r="M39" s="3312"/>
      <c r="N39" s="3312"/>
      <c r="O39" s="3319"/>
      <c r="Q39" s="3304"/>
      <c r="R39" s="3304"/>
      <c r="S39" s="3304"/>
    </row>
    <row r="40" spans="1:19" s="350" customFormat="1" ht="13.5" hidden="1" customHeight="1">
      <c r="A40" s="3315"/>
      <c r="B40" s="2789" t="s">
        <v>13</v>
      </c>
      <c r="C40" s="3309"/>
      <c r="D40" s="2763">
        <v>0</v>
      </c>
      <c r="E40" s="2782">
        <v>0</v>
      </c>
      <c r="F40" s="2782">
        <v>0</v>
      </c>
      <c r="G40" s="2790">
        <v>0</v>
      </c>
      <c r="H40" s="2790">
        <v>0</v>
      </c>
      <c r="I40" s="2790">
        <v>0</v>
      </c>
      <c r="J40" s="2790">
        <v>0</v>
      </c>
      <c r="K40" s="2790">
        <v>0</v>
      </c>
      <c r="L40" s="2791">
        <v>0</v>
      </c>
      <c r="M40" s="3312"/>
      <c r="N40" s="3312"/>
      <c r="O40" s="3319"/>
    </row>
    <row r="41" spans="1:19" s="350" customFormat="1" ht="15" hidden="1" customHeight="1" thickBot="1">
      <c r="A41" s="3316"/>
      <c r="B41" s="2801" t="s">
        <v>123</v>
      </c>
      <c r="C41" s="3310"/>
      <c r="D41" s="2802">
        <v>0</v>
      </c>
      <c r="E41" s="2803">
        <v>0</v>
      </c>
      <c r="F41" s="2804">
        <v>0</v>
      </c>
      <c r="G41" s="2804">
        <v>0</v>
      </c>
      <c r="H41" s="2804">
        <v>0</v>
      </c>
      <c r="I41" s="2804">
        <v>0</v>
      </c>
      <c r="J41" s="2804">
        <v>0</v>
      </c>
      <c r="K41" s="2804">
        <v>0</v>
      </c>
      <c r="L41" s="2805">
        <v>0</v>
      </c>
      <c r="M41" s="3313"/>
      <c r="N41" s="3313"/>
      <c r="O41" s="3320"/>
    </row>
    <row r="42" spans="1:19" s="350" customFormat="1" ht="28.5" customHeight="1">
      <c r="A42" s="3297" t="s">
        <v>63</v>
      </c>
      <c r="B42" s="1715" t="s">
        <v>452</v>
      </c>
      <c r="C42" s="718" t="s">
        <v>109</v>
      </c>
      <c r="D42" s="1849"/>
      <c r="E42" s="1879"/>
      <c r="F42" s="1879"/>
      <c r="G42" s="1879"/>
      <c r="H42" s="1879"/>
      <c r="I42" s="1879"/>
      <c r="J42" s="1879"/>
      <c r="K42" s="1879"/>
      <c r="L42" s="1849"/>
      <c r="M42" s="1851"/>
      <c r="N42" s="1851"/>
      <c r="O42" s="3300" t="s">
        <v>485</v>
      </c>
    </row>
    <row r="43" spans="1:19" s="350" customFormat="1" ht="13.5" customHeight="1">
      <c r="A43" s="3298"/>
      <c r="B43" s="525" t="s">
        <v>10</v>
      </c>
      <c r="C43" s="2551"/>
      <c r="D43" s="2552">
        <f>+D44</f>
        <v>8000000</v>
      </c>
      <c r="E43" s="2552">
        <f t="shared" ref="E43:N43" si="29">+E44</f>
        <v>1660000</v>
      </c>
      <c r="F43" s="2552">
        <f t="shared" si="29"/>
        <v>1080000</v>
      </c>
      <c r="G43" s="2552">
        <f t="shared" si="29"/>
        <v>1080000</v>
      </c>
      <c r="H43" s="2552">
        <f t="shared" si="29"/>
        <v>1080000</v>
      </c>
      <c r="I43" s="2552">
        <f t="shared" si="29"/>
        <v>1080000</v>
      </c>
      <c r="J43" s="2552">
        <f t="shared" si="29"/>
        <v>1080000</v>
      </c>
      <c r="K43" s="2552">
        <f t="shared" si="29"/>
        <v>940000</v>
      </c>
      <c r="L43" s="2553">
        <f t="shared" si="29"/>
        <v>0</v>
      </c>
      <c r="M43" s="2554">
        <f t="shared" si="29"/>
        <v>5260000</v>
      </c>
      <c r="N43" s="2554">
        <f t="shared" si="29"/>
        <v>5260000</v>
      </c>
      <c r="O43" s="3301"/>
    </row>
    <row r="44" spans="1:19" s="338" customFormat="1" ht="16.5" customHeight="1">
      <c r="A44" s="3298"/>
      <c r="B44" s="721" t="s">
        <v>24</v>
      </c>
      <c r="C44" s="3303" t="s">
        <v>127</v>
      </c>
      <c r="D44" s="2134">
        <f>+D45+D46</f>
        <v>8000000</v>
      </c>
      <c r="E44" s="2134">
        <f t="shared" ref="E44" si="30">+E45+E46</f>
        <v>1660000</v>
      </c>
      <c r="F44" s="2134">
        <f t="shared" ref="F44:L44" si="31">+F45+F46</f>
        <v>1080000</v>
      </c>
      <c r="G44" s="2134">
        <f t="shared" si="31"/>
        <v>1080000</v>
      </c>
      <c r="H44" s="2134">
        <f t="shared" si="31"/>
        <v>1080000</v>
      </c>
      <c r="I44" s="2134">
        <f t="shared" si="31"/>
        <v>1080000</v>
      </c>
      <c r="J44" s="2134">
        <f t="shared" si="31"/>
        <v>1080000</v>
      </c>
      <c r="K44" s="2134">
        <f t="shared" si="31"/>
        <v>940000</v>
      </c>
      <c r="L44" s="2555">
        <f t="shared" si="31"/>
        <v>0</v>
      </c>
      <c r="M44" s="2556">
        <f>+M46</f>
        <v>5260000</v>
      </c>
      <c r="N44" s="2556">
        <f>+N46</f>
        <v>5260000</v>
      </c>
      <c r="O44" s="3301"/>
    </row>
    <row r="45" spans="1:19" s="338" customFormat="1" ht="13.5" customHeight="1">
      <c r="A45" s="3298"/>
      <c r="B45" s="1854" t="s">
        <v>125</v>
      </c>
      <c r="C45" s="3292"/>
      <c r="D45" s="1016">
        <f>E45+F45+G45+H45+I45+J45+K45+L45</f>
        <v>2740000</v>
      </c>
      <c r="E45" s="2377">
        <v>1660000</v>
      </c>
      <c r="F45" s="2182">
        <v>1080000</v>
      </c>
      <c r="G45" s="2182">
        <v>0</v>
      </c>
      <c r="H45" s="2182">
        <v>0</v>
      </c>
      <c r="I45" s="2182">
        <v>0</v>
      </c>
      <c r="J45" s="2182">
        <v>0</v>
      </c>
      <c r="K45" s="2182">
        <v>0</v>
      </c>
      <c r="L45" s="2557">
        <v>0</v>
      </c>
      <c r="M45" s="2558">
        <f>SUM(F45:K45)</f>
        <v>1080000</v>
      </c>
      <c r="N45" s="2558">
        <f>SUM(G45:L45)</f>
        <v>0</v>
      </c>
      <c r="O45" s="3301"/>
    </row>
    <row r="46" spans="1:19" s="338" customFormat="1" ht="13.5" customHeight="1" thickBot="1">
      <c r="A46" s="3299"/>
      <c r="B46" s="1859" t="s">
        <v>128</v>
      </c>
      <c r="C46" s="3293"/>
      <c r="D46" s="2195">
        <f>E46+F46+G46+H46+I46+J46+K46+L46</f>
        <v>5260000</v>
      </c>
      <c r="E46" s="2418">
        <v>0</v>
      </c>
      <c r="F46" s="2559">
        <v>0</v>
      </c>
      <c r="G46" s="2197">
        <v>1080000</v>
      </c>
      <c r="H46" s="2197">
        <v>1080000</v>
      </c>
      <c r="I46" s="2197">
        <v>1080000</v>
      </c>
      <c r="J46" s="2197">
        <v>1080000</v>
      </c>
      <c r="K46" s="2197">
        <v>940000</v>
      </c>
      <c r="L46" s="2560">
        <v>0</v>
      </c>
      <c r="M46" s="2561">
        <f>SUM(F46:L46)</f>
        <v>5260000</v>
      </c>
      <c r="N46" s="2561">
        <f>SUM(G46:L46)</f>
        <v>5260000</v>
      </c>
      <c r="O46" s="3302"/>
    </row>
    <row r="47" spans="1:19" s="338" customFormat="1" ht="48.75" customHeight="1">
      <c r="A47" s="3297" t="s">
        <v>64</v>
      </c>
      <c r="B47" s="2562" t="s">
        <v>446</v>
      </c>
      <c r="C47" s="718" t="s">
        <v>109</v>
      </c>
      <c r="D47" s="1849"/>
      <c r="E47" s="1879"/>
      <c r="F47" s="1879"/>
      <c r="G47" s="1879"/>
      <c r="H47" s="1879"/>
      <c r="I47" s="1879"/>
      <c r="J47" s="526"/>
      <c r="K47" s="526"/>
      <c r="L47" s="2563"/>
      <c r="M47" s="2564"/>
      <c r="N47" s="2564"/>
      <c r="O47" s="3294" t="s">
        <v>322</v>
      </c>
    </row>
    <row r="48" spans="1:19" s="338" customFormat="1" ht="13.5" customHeight="1">
      <c r="A48" s="3298"/>
      <c r="B48" s="525" t="s">
        <v>10</v>
      </c>
      <c r="C48" s="1848"/>
      <c r="D48" s="2565">
        <f>+D49</f>
        <v>2799999.64</v>
      </c>
      <c r="E48" s="2565">
        <f t="shared" ref="E48" si="32">+E49</f>
        <v>116666.64</v>
      </c>
      <c r="F48" s="2565">
        <f t="shared" ref="F48:L48" si="33">+F49</f>
        <v>233333</v>
      </c>
      <c r="G48" s="2565">
        <f t="shared" si="33"/>
        <v>233333</v>
      </c>
      <c r="H48" s="2565">
        <f t="shared" si="33"/>
        <v>233333</v>
      </c>
      <c r="I48" s="2565">
        <f t="shared" si="33"/>
        <v>233333</v>
      </c>
      <c r="J48" s="2565">
        <f t="shared" si="33"/>
        <v>233333</v>
      </c>
      <c r="K48" s="2565">
        <f t="shared" si="33"/>
        <v>233333</v>
      </c>
      <c r="L48" s="2565">
        <f t="shared" si="33"/>
        <v>233333</v>
      </c>
      <c r="M48" s="2566">
        <f>+M49</f>
        <v>2450000</v>
      </c>
      <c r="N48" s="2566">
        <f>+N49</f>
        <v>2450000</v>
      </c>
      <c r="O48" s="3295"/>
    </row>
    <row r="49" spans="1:22" s="338" customFormat="1" ht="13.5" customHeight="1">
      <c r="A49" s="3298"/>
      <c r="B49" s="721" t="s">
        <v>24</v>
      </c>
      <c r="C49" s="3291" t="s">
        <v>127</v>
      </c>
      <c r="D49" s="1863">
        <f>+D51+D50</f>
        <v>2799999.64</v>
      </c>
      <c r="E49" s="1863">
        <f>+E50</f>
        <v>116666.64</v>
      </c>
      <c r="F49" s="1863">
        <f t="shared" ref="F49:L49" si="34">+F50+F51</f>
        <v>233333</v>
      </c>
      <c r="G49" s="1863">
        <f t="shared" si="34"/>
        <v>233333</v>
      </c>
      <c r="H49" s="1863">
        <f t="shared" si="34"/>
        <v>233333</v>
      </c>
      <c r="I49" s="1863">
        <f t="shared" si="34"/>
        <v>233333</v>
      </c>
      <c r="J49" s="1863">
        <f t="shared" si="34"/>
        <v>233333</v>
      </c>
      <c r="K49" s="1863">
        <f t="shared" si="34"/>
        <v>233333</v>
      </c>
      <c r="L49" s="1863">
        <f t="shared" si="34"/>
        <v>233333</v>
      </c>
      <c r="M49" s="1857">
        <f>+M51</f>
        <v>2450000</v>
      </c>
      <c r="N49" s="1857">
        <f>+N51</f>
        <v>2450000</v>
      </c>
      <c r="O49" s="3295"/>
    </row>
    <row r="50" spans="1:22" s="338" customFormat="1" ht="12.75" customHeight="1">
      <c r="A50" s="3298"/>
      <c r="B50" s="1854" t="s">
        <v>125</v>
      </c>
      <c r="C50" s="3292"/>
      <c r="D50" s="249">
        <f>E50+F50+G50+H50+I50+J50+K50+L50</f>
        <v>349999.64</v>
      </c>
      <c r="E50" s="1856">
        <v>116666.64</v>
      </c>
      <c r="F50" s="1864">
        <v>233333</v>
      </c>
      <c r="G50" s="1864">
        <v>0</v>
      </c>
      <c r="H50" s="1864">
        <v>0</v>
      </c>
      <c r="I50" s="1864">
        <v>0</v>
      </c>
      <c r="J50" s="1864"/>
      <c r="K50" s="1864"/>
      <c r="L50" s="1864"/>
      <c r="M50" s="1855">
        <f>SUM(F50:K50)</f>
        <v>233333</v>
      </c>
      <c r="N50" s="1855">
        <f>SUM(G50:L50)</f>
        <v>0</v>
      </c>
      <c r="O50" s="3295"/>
    </row>
    <row r="51" spans="1:22" s="338" customFormat="1" ht="13.5" customHeight="1" thickBot="1">
      <c r="A51" s="3299"/>
      <c r="B51" s="1859" t="s">
        <v>128</v>
      </c>
      <c r="C51" s="3293"/>
      <c r="D51" s="1008">
        <f>E51+F51+G51+H51+I51+J51+K51+L51+P51</f>
        <v>2450000</v>
      </c>
      <c r="E51" s="1012">
        <v>0</v>
      </c>
      <c r="F51" s="599">
        <v>0</v>
      </c>
      <c r="G51" s="599">
        <v>233333</v>
      </c>
      <c r="H51" s="599">
        <v>233333</v>
      </c>
      <c r="I51" s="599">
        <v>233333</v>
      </c>
      <c r="J51" s="599">
        <v>233333</v>
      </c>
      <c r="K51" s="599">
        <v>233333</v>
      </c>
      <c r="L51" s="599">
        <v>233333</v>
      </c>
      <c r="M51" s="1855">
        <f>SUM(F51:L51)+1050002</f>
        <v>2450000</v>
      </c>
      <c r="N51" s="1855">
        <f>SUM(G51:L51)+1050002</f>
        <v>2450000</v>
      </c>
      <c r="O51" s="3296"/>
      <c r="P51" s="1860">
        <v>1050002</v>
      </c>
      <c r="Q51" s="1839">
        <f>+P51+P56</f>
        <v>34307447</v>
      </c>
    </row>
    <row r="52" spans="1:22" s="350" customFormat="1" ht="42" customHeight="1">
      <c r="A52" s="3297" t="s">
        <v>65</v>
      </c>
      <c r="B52" s="1715" t="s">
        <v>449</v>
      </c>
      <c r="C52" s="718" t="s">
        <v>109</v>
      </c>
      <c r="D52" s="1849"/>
      <c r="E52" s="1879"/>
      <c r="F52" s="1879"/>
      <c r="G52" s="1879"/>
      <c r="H52" s="1879"/>
      <c r="I52" s="1879"/>
      <c r="J52" s="1879"/>
      <c r="K52" s="1850"/>
      <c r="L52" s="1849"/>
      <c r="M52" s="1851"/>
      <c r="N52" s="1851"/>
      <c r="O52" s="3288" t="s">
        <v>388</v>
      </c>
    </row>
    <row r="53" spans="1:22" s="350" customFormat="1" ht="13.5" customHeight="1">
      <c r="A53" s="3298"/>
      <c r="B53" s="525" t="s">
        <v>10</v>
      </c>
      <c r="C53" s="1848"/>
      <c r="D53" s="720">
        <f>+D54</f>
        <v>55755125</v>
      </c>
      <c r="E53" s="720">
        <f t="shared" ref="E53:L53" si="35">+E54</f>
        <v>0</v>
      </c>
      <c r="F53" s="1852">
        <f t="shared" si="35"/>
        <v>0</v>
      </c>
      <c r="G53" s="720">
        <f t="shared" si="35"/>
        <v>2934480</v>
      </c>
      <c r="H53" s="720">
        <f t="shared" si="35"/>
        <v>3912640</v>
      </c>
      <c r="I53" s="720">
        <f t="shared" si="35"/>
        <v>3912640</v>
      </c>
      <c r="J53" s="720">
        <f t="shared" si="35"/>
        <v>3912640</v>
      </c>
      <c r="K53" s="720">
        <f t="shared" si="35"/>
        <v>3912640</v>
      </c>
      <c r="L53" s="720">
        <f t="shared" si="35"/>
        <v>3912640</v>
      </c>
      <c r="M53" s="1853">
        <f>+M54</f>
        <v>55755125</v>
      </c>
      <c r="N53" s="1853">
        <f>+N54</f>
        <v>55755125</v>
      </c>
      <c r="O53" s="3289"/>
    </row>
    <row r="54" spans="1:22" s="338" customFormat="1" ht="13.5" customHeight="1">
      <c r="A54" s="3298"/>
      <c r="B54" s="721" t="s">
        <v>24</v>
      </c>
      <c r="C54" s="3291" t="s">
        <v>127</v>
      </c>
      <c r="D54" s="1858">
        <f>+D55+D56</f>
        <v>55755125</v>
      </c>
      <c r="E54" s="1858">
        <f t="shared" ref="E54" si="36">+E55+E56</f>
        <v>0</v>
      </c>
      <c r="F54" s="1861">
        <f t="shared" ref="F54:L54" si="37">+F55+F56</f>
        <v>0</v>
      </c>
      <c r="G54" s="1858">
        <f t="shared" si="37"/>
        <v>2934480</v>
      </c>
      <c r="H54" s="1858">
        <f t="shared" si="37"/>
        <v>3912640</v>
      </c>
      <c r="I54" s="1858">
        <f t="shared" si="37"/>
        <v>3912640</v>
      </c>
      <c r="J54" s="1858">
        <f t="shared" si="37"/>
        <v>3912640</v>
      </c>
      <c r="K54" s="1858">
        <f t="shared" si="37"/>
        <v>3912640</v>
      </c>
      <c r="L54" s="1858">
        <f t="shared" si="37"/>
        <v>3912640</v>
      </c>
      <c r="M54" s="1857">
        <f>+M55+M56</f>
        <v>55755125</v>
      </c>
      <c r="N54" s="1857">
        <f>+N55+N56</f>
        <v>55755125</v>
      </c>
      <c r="O54" s="3289"/>
      <c r="Q54" s="1839"/>
    </row>
    <row r="55" spans="1:22" s="338" customFormat="1" ht="13.5" hidden="1" customHeight="1">
      <c r="A55" s="3298"/>
      <c r="B55" s="1854" t="s">
        <v>125</v>
      </c>
      <c r="C55" s="3292"/>
      <c r="D55" s="249">
        <f>E55+F55+G55+H55+I55+J55+K55+L55</f>
        <v>0</v>
      </c>
      <c r="E55" s="1856">
        <v>0</v>
      </c>
      <c r="F55" s="727">
        <v>0</v>
      </c>
      <c r="G55" s="727">
        <v>0</v>
      </c>
      <c r="H55" s="727">
        <v>0</v>
      </c>
      <c r="I55" s="727">
        <v>0</v>
      </c>
      <c r="J55" s="727">
        <v>0</v>
      </c>
      <c r="K55" s="728">
        <v>0</v>
      </c>
      <c r="L55" s="728">
        <v>0</v>
      </c>
      <c r="M55" s="1855">
        <f>SUM(F55:K55)</f>
        <v>0</v>
      </c>
      <c r="N55" s="1855">
        <f>SUM(G55:L55)</f>
        <v>0</v>
      </c>
      <c r="O55" s="3289"/>
    </row>
    <row r="56" spans="1:22" s="338" customFormat="1" ht="13.5" customHeight="1" thickBot="1">
      <c r="A56" s="3299"/>
      <c r="B56" s="1859" t="s">
        <v>128</v>
      </c>
      <c r="C56" s="3293"/>
      <c r="D56" s="1008">
        <f>E56+F56+G56+H56+I56+J56+K56+L56+P56</f>
        <v>55755125</v>
      </c>
      <c r="E56" s="1012">
        <v>0</v>
      </c>
      <c r="F56" s="686">
        <v>0</v>
      </c>
      <c r="G56" s="599">
        <v>2934480</v>
      </c>
      <c r="H56" s="599">
        <v>3912640</v>
      </c>
      <c r="I56" s="599">
        <v>3912640</v>
      </c>
      <c r="J56" s="599">
        <v>3912640</v>
      </c>
      <c r="K56" s="599">
        <v>3912640</v>
      </c>
      <c r="L56" s="599">
        <v>3912640</v>
      </c>
      <c r="M56" s="1862">
        <f>+K56+J56+I56+H56+G56+F56+L56+33257445</f>
        <v>55755125</v>
      </c>
      <c r="N56" s="1862">
        <f>+L56+K56+J56+I56+H56+G56+33257445</f>
        <v>55755125</v>
      </c>
      <c r="O56" s="3290"/>
      <c r="P56" s="1860">
        <v>33257445</v>
      </c>
    </row>
    <row r="57" spans="1:22" s="1865" customFormat="1" ht="13.5" customHeight="1">
      <c r="A57" s="3336"/>
      <c r="B57" s="3336"/>
      <c r="C57" s="3336"/>
      <c r="D57" s="3336"/>
      <c r="E57" s="3336"/>
      <c r="F57" s="3336"/>
      <c r="G57" s="3336"/>
      <c r="H57" s="3336"/>
      <c r="I57" s="3336"/>
      <c r="J57" s="3336"/>
      <c r="K57" s="3336"/>
      <c r="L57" s="3336"/>
      <c r="M57" s="3336"/>
      <c r="N57" s="3336"/>
      <c r="O57" s="3336"/>
    </row>
    <row r="58" spans="1:22" s="328" customFormat="1" ht="12.75" customHeight="1">
      <c r="A58" s="3337" t="s">
        <v>447</v>
      </c>
      <c r="B58" s="3337"/>
      <c r="C58" s="3337"/>
      <c r="D58" s="3337"/>
      <c r="E58" s="3337"/>
      <c r="F58" s="3337"/>
      <c r="G58" s="3337"/>
      <c r="H58" s="3337"/>
      <c r="I58" s="3337"/>
      <c r="J58" s="3337"/>
      <c r="K58" s="3337"/>
      <c r="L58" s="3337"/>
    </row>
    <row r="59" spans="1:22" s="328" customFormat="1" ht="12.75" customHeight="1">
      <c r="A59" s="3337" t="s">
        <v>448</v>
      </c>
      <c r="B59" s="3337"/>
      <c r="C59" s="3337"/>
      <c r="D59" s="3337"/>
      <c r="E59" s="3337"/>
      <c r="F59" s="3337"/>
      <c r="G59" s="3337"/>
      <c r="H59" s="3337"/>
      <c r="I59" s="3337"/>
      <c r="J59" s="2482"/>
      <c r="K59" s="2482"/>
      <c r="L59" s="2482"/>
    </row>
    <row r="60" spans="1:22" s="1865" customFormat="1" ht="13.5" customHeight="1">
      <c r="A60" s="3336"/>
      <c r="B60" s="3336"/>
      <c r="C60" s="3336"/>
      <c r="D60" s="3336"/>
      <c r="E60" s="3336"/>
      <c r="F60" s="3336"/>
      <c r="G60" s="3336"/>
      <c r="H60" s="3336"/>
      <c r="I60" s="3336"/>
      <c r="J60" s="3336"/>
      <c r="K60" s="3336"/>
      <c r="L60" s="3336"/>
      <c r="M60" s="3336"/>
      <c r="N60" s="3336"/>
      <c r="O60" s="3336"/>
    </row>
    <row r="61" spans="1:22" s="1866" customFormat="1" ht="12.75" customHeight="1">
      <c r="E61" s="1867"/>
      <c r="F61" s="320"/>
      <c r="G61" s="320"/>
      <c r="H61" s="320"/>
      <c r="I61" s="320"/>
      <c r="J61" s="320"/>
      <c r="K61" s="320"/>
      <c r="L61" s="320"/>
      <c r="M61" s="320"/>
      <c r="N61" s="320"/>
      <c r="O61" s="389"/>
    </row>
    <row r="62" spans="1:22" s="350" customFormat="1" ht="10.5" hidden="1" customHeight="1">
      <c r="A62" s="319"/>
      <c r="B62" s="320"/>
      <c r="C62" s="323"/>
      <c r="D62" s="323"/>
      <c r="E62" s="320"/>
      <c r="F62" s="320"/>
      <c r="G62" s="320"/>
      <c r="H62" s="320"/>
      <c r="I62" s="320"/>
      <c r="J62" s="320"/>
      <c r="K62" s="320"/>
      <c r="L62" s="320"/>
      <c r="M62" s="320"/>
      <c r="N62" s="320"/>
      <c r="O62" s="389"/>
    </row>
    <row r="63" spans="1:22" s="1865" customFormat="1" ht="15.75" hidden="1" customHeight="1">
      <c r="B63" s="320"/>
      <c r="C63" s="320"/>
      <c r="D63" s="320"/>
      <c r="E63" s="320"/>
      <c r="F63" s="1868">
        <v>2017</v>
      </c>
      <c r="G63" s="1868">
        <v>2018</v>
      </c>
      <c r="H63" s="1868">
        <v>2019</v>
      </c>
      <c r="I63" s="1868">
        <v>2020</v>
      </c>
      <c r="J63" s="1868">
        <v>2021</v>
      </c>
      <c r="K63" s="1868">
        <v>2022</v>
      </c>
      <c r="L63" s="1868">
        <v>2023</v>
      </c>
      <c r="M63" s="1868">
        <v>2024</v>
      </c>
      <c r="N63" s="1868">
        <v>2024</v>
      </c>
      <c r="O63" s="1868">
        <v>2025</v>
      </c>
      <c r="P63" s="1868">
        <v>2026</v>
      </c>
      <c r="Q63" s="1868">
        <v>2027</v>
      </c>
      <c r="R63" s="1868">
        <v>2028</v>
      </c>
      <c r="S63" s="1868">
        <v>2029</v>
      </c>
      <c r="T63" s="1868">
        <v>2030</v>
      </c>
      <c r="U63" s="1868">
        <v>2031</v>
      </c>
      <c r="V63" s="1868">
        <v>2032</v>
      </c>
    </row>
    <row r="64" spans="1:22" s="1865" customFormat="1" ht="15.75" hidden="1" customHeight="1">
      <c r="A64" s="319"/>
      <c r="B64" s="1869" t="s">
        <v>242</v>
      </c>
      <c r="C64" s="1869"/>
      <c r="D64" s="1870"/>
      <c r="E64" s="1869"/>
      <c r="F64" s="1871">
        <f>+F46+F51+F56</f>
        <v>0</v>
      </c>
      <c r="G64" s="1871">
        <f t="shared" ref="G64:K64" si="38">+G46+G51+G56</f>
        <v>4247813</v>
      </c>
      <c r="H64" s="1871">
        <f t="shared" si="38"/>
        <v>5225973</v>
      </c>
      <c r="I64" s="1871">
        <f t="shared" si="38"/>
        <v>5225973</v>
      </c>
      <c r="J64" s="1871">
        <f t="shared" si="38"/>
        <v>5225973</v>
      </c>
      <c r="K64" s="1871">
        <f t="shared" si="38"/>
        <v>5085973</v>
      </c>
      <c r="L64" s="1871">
        <f>+L46+L51+L56</f>
        <v>4145973</v>
      </c>
      <c r="M64" s="1871">
        <f>4145973</f>
        <v>4145973</v>
      </c>
      <c r="N64" s="1871"/>
      <c r="O64" s="1871">
        <v>4145973</v>
      </c>
      <c r="P64" s="1871">
        <v>4145973</v>
      </c>
      <c r="Q64" s="1871">
        <v>4145973</v>
      </c>
      <c r="R64" s="1871">
        <v>4029310</v>
      </c>
      <c r="S64" s="1871">
        <v>3912640</v>
      </c>
      <c r="T64" s="1871">
        <v>3912640</v>
      </c>
      <c r="U64" s="1871">
        <v>3912640</v>
      </c>
      <c r="V64" s="1871">
        <v>1956325</v>
      </c>
    </row>
    <row r="65" spans="1:22" s="1865" customFormat="1" ht="15.75" hidden="1" customHeight="1">
      <c r="A65" s="319"/>
      <c r="B65" s="320"/>
      <c r="C65" s="320"/>
      <c r="D65" s="323"/>
      <c r="E65" s="320"/>
      <c r="F65" s="320"/>
      <c r="G65" s="320"/>
      <c r="H65" s="320"/>
      <c r="I65" s="320"/>
      <c r="J65" s="320"/>
      <c r="K65" s="320"/>
      <c r="L65" s="320"/>
      <c r="M65" s="320"/>
      <c r="N65" s="320"/>
      <c r="O65" s="389"/>
      <c r="V65" s="1872">
        <f>SUM(F64:V64)</f>
        <v>63465125</v>
      </c>
    </row>
    <row r="66" spans="1:22" s="1865" customFormat="1" ht="12" customHeight="1">
      <c r="A66" s="319"/>
      <c r="B66" s="320"/>
      <c r="C66" s="320"/>
      <c r="D66" s="323"/>
      <c r="E66" s="320"/>
      <c r="F66" s="320"/>
      <c r="G66" s="320"/>
      <c r="H66" s="320"/>
      <c r="I66" s="320"/>
      <c r="J66" s="320"/>
      <c r="K66" s="320"/>
      <c r="L66" s="320"/>
      <c r="M66" s="320"/>
      <c r="N66" s="320"/>
      <c r="O66" s="389"/>
      <c r="R66" s="1872"/>
      <c r="V66" s="1872">
        <f>M56+M51+M46</f>
        <v>63465125</v>
      </c>
    </row>
    <row r="67" spans="1:22" s="1873" customFormat="1" ht="22.5" customHeight="1">
      <c r="A67" s="319"/>
      <c r="B67" s="320"/>
      <c r="C67" s="320"/>
      <c r="D67" s="320"/>
      <c r="E67" s="320"/>
      <c r="F67" s="320"/>
      <c r="G67" s="320"/>
      <c r="H67" s="320"/>
      <c r="I67" s="320"/>
      <c r="J67" s="320"/>
      <c r="K67" s="320"/>
      <c r="L67" s="320"/>
      <c r="M67" s="320"/>
      <c r="N67" s="320"/>
      <c r="O67" s="389"/>
      <c r="V67" s="1874">
        <f>V65-V66</f>
        <v>0</v>
      </c>
    </row>
    <row r="68" spans="1:22" s="350" customFormat="1" ht="12.75" customHeight="1">
      <c r="A68" s="319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389"/>
    </row>
    <row r="69" spans="1:22" s="350" customFormat="1" ht="12.75" customHeight="1">
      <c r="A69" s="1875"/>
      <c r="B69" s="320"/>
      <c r="C69" s="320"/>
      <c r="D69" s="320"/>
      <c r="E69" s="320"/>
      <c r="F69" s="320"/>
      <c r="G69" s="320"/>
      <c r="H69" s="320"/>
      <c r="I69" s="320"/>
      <c r="J69" s="320"/>
      <c r="K69" s="320"/>
      <c r="L69" s="320"/>
      <c r="M69" s="320"/>
      <c r="N69" s="320"/>
      <c r="O69" s="389"/>
    </row>
    <row r="70" spans="1:22" s="350" customFormat="1">
      <c r="A70" s="319"/>
      <c r="B70" s="320"/>
      <c r="C70" s="320"/>
      <c r="D70" s="320"/>
      <c r="E70" s="320"/>
      <c r="F70" s="320"/>
      <c r="G70" s="320"/>
      <c r="H70" s="320"/>
      <c r="I70" s="320"/>
      <c r="J70" s="320"/>
      <c r="K70" s="320"/>
      <c r="L70" s="320"/>
      <c r="M70" s="320"/>
      <c r="N70" s="320"/>
      <c r="O70" s="389"/>
    </row>
    <row r="71" spans="1:22" s="1873" customFormat="1" ht="14.25" customHeight="1">
      <c r="A71" s="319"/>
      <c r="B71" s="320"/>
      <c r="C71" s="320"/>
      <c r="D71" s="320"/>
      <c r="E71" s="320"/>
      <c r="F71" s="320"/>
      <c r="G71" s="320"/>
      <c r="H71" s="320"/>
      <c r="I71" s="320"/>
      <c r="J71" s="320"/>
      <c r="K71" s="320"/>
      <c r="L71" s="320"/>
      <c r="M71" s="320"/>
      <c r="N71" s="320"/>
      <c r="O71" s="389"/>
    </row>
    <row r="72" spans="1:22" s="350" customFormat="1" ht="12.75" customHeight="1">
      <c r="A72" s="319"/>
      <c r="B72" s="320"/>
      <c r="C72" s="320"/>
      <c r="D72" s="320"/>
      <c r="E72" s="320"/>
      <c r="F72" s="320"/>
      <c r="G72" s="320"/>
      <c r="H72" s="320"/>
      <c r="I72" s="320"/>
      <c r="J72" s="320"/>
      <c r="K72" s="320"/>
      <c r="L72" s="320"/>
      <c r="M72" s="320"/>
      <c r="N72" s="320"/>
      <c r="O72" s="389"/>
    </row>
    <row r="73" spans="1:22" s="350" customFormat="1" ht="12.75" customHeight="1">
      <c r="A73" s="319"/>
      <c r="B73" s="320"/>
      <c r="C73" s="320"/>
      <c r="D73" s="320"/>
      <c r="E73" s="320"/>
      <c r="F73" s="320"/>
      <c r="G73" s="320"/>
      <c r="H73" s="320"/>
      <c r="I73" s="320"/>
      <c r="J73" s="320"/>
      <c r="K73" s="320"/>
      <c r="L73" s="320"/>
      <c r="M73" s="320"/>
      <c r="N73" s="320"/>
      <c r="O73" s="389"/>
    </row>
    <row r="74" spans="1:22" s="350" customFormat="1">
      <c r="A74" s="319"/>
      <c r="B74" s="320"/>
      <c r="C74" s="320"/>
      <c r="D74" s="320"/>
      <c r="E74" s="320"/>
      <c r="F74" s="320"/>
      <c r="G74" s="320"/>
      <c r="H74" s="320"/>
      <c r="I74" s="320"/>
      <c r="J74" s="320"/>
      <c r="K74" s="320"/>
      <c r="L74" s="320"/>
      <c r="M74" s="320"/>
      <c r="N74" s="320"/>
      <c r="O74" s="389"/>
    </row>
    <row r="75" spans="1:22" s="350" customFormat="1">
      <c r="A75" s="319"/>
      <c r="B75" s="320"/>
      <c r="C75" s="320"/>
      <c r="D75" s="320"/>
      <c r="E75" s="320"/>
      <c r="F75" s="320"/>
      <c r="G75" s="320"/>
      <c r="H75" s="320"/>
      <c r="I75" s="320"/>
      <c r="J75" s="320"/>
      <c r="K75" s="320"/>
      <c r="L75" s="320"/>
      <c r="M75" s="320"/>
      <c r="N75" s="320"/>
      <c r="O75" s="389"/>
    </row>
    <row r="76" spans="1:22" s="1873" customFormat="1" ht="33.75" customHeight="1">
      <c r="A76" s="319"/>
      <c r="B76" s="320"/>
      <c r="C76" s="320"/>
      <c r="D76" s="320"/>
      <c r="E76" s="320"/>
      <c r="F76" s="320"/>
      <c r="G76" s="320"/>
      <c r="H76" s="320"/>
      <c r="I76" s="320"/>
      <c r="J76" s="320"/>
      <c r="K76" s="320"/>
      <c r="L76" s="320"/>
      <c r="M76" s="320"/>
      <c r="N76" s="320"/>
      <c r="O76" s="389"/>
    </row>
    <row r="77" spans="1:22" s="350" customFormat="1" ht="12.75" customHeight="1">
      <c r="A77" s="319"/>
      <c r="B77" s="320"/>
      <c r="C77" s="320"/>
      <c r="D77" s="320"/>
      <c r="E77" s="320"/>
      <c r="F77" s="320"/>
      <c r="G77" s="320"/>
      <c r="H77" s="320"/>
      <c r="I77" s="320"/>
      <c r="J77" s="320"/>
      <c r="K77" s="320"/>
      <c r="L77" s="320"/>
      <c r="M77" s="320"/>
      <c r="N77" s="320"/>
      <c r="O77" s="389"/>
    </row>
    <row r="78" spans="1:22" s="350" customFormat="1" ht="12.75" customHeight="1">
      <c r="A78" s="319"/>
      <c r="B78" s="320"/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89"/>
    </row>
    <row r="79" spans="1:22" s="350" customFormat="1" ht="12.75" customHeight="1">
      <c r="A79" s="319"/>
      <c r="B79" s="320"/>
      <c r="C79" s="320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89"/>
    </row>
    <row r="80" spans="1:22" s="350" customFormat="1" ht="12.75" customHeight="1">
      <c r="A80" s="319"/>
      <c r="B80" s="320"/>
      <c r="C80" s="320"/>
      <c r="D80" s="320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89"/>
    </row>
    <row r="81" spans="1:15" s="350" customFormat="1">
      <c r="A81" s="319"/>
      <c r="B81" s="320"/>
      <c r="C81" s="320"/>
      <c r="D81" s="320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89"/>
    </row>
    <row r="82" spans="1:15" s="1873" customFormat="1" ht="12" customHeight="1">
      <c r="A82" s="319"/>
      <c r="B82" s="320"/>
      <c r="C82" s="320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89"/>
    </row>
    <row r="83" spans="1:15" s="350" customFormat="1" ht="12.75" customHeight="1">
      <c r="A83" s="319"/>
      <c r="B83" s="320"/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89"/>
    </row>
    <row r="84" spans="1:15" s="350" customFormat="1" ht="12.75" customHeight="1">
      <c r="A84" s="319"/>
      <c r="B84" s="320"/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89"/>
    </row>
    <row r="85" spans="1:15" s="350" customFormat="1">
      <c r="A85" s="319"/>
      <c r="B85" s="320"/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89"/>
    </row>
    <row r="86" spans="1:15" s="350" customFormat="1">
      <c r="A86" s="319"/>
      <c r="B86" s="320"/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89"/>
    </row>
    <row r="87" spans="1:15" s="1873" customFormat="1" ht="22.5" customHeight="1">
      <c r="A87" s="319"/>
      <c r="B87" s="320"/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89"/>
    </row>
    <row r="88" spans="1:15" s="350" customFormat="1" ht="12.75" customHeight="1">
      <c r="A88" s="319"/>
      <c r="B88" s="320"/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89"/>
    </row>
    <row r="89" spans="1:15" s="350" customFormat="1" ht="12.75" customHeight="1">
      <c r="A89" s="319"/>
      <c r="B89" s="320"/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89"/>
    </row>
    <row r="90" spans="1:15" s="350" customFormat="1">
      <c r="A90" s="319"/>
      <c r="B90" s="320"/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89"/>
    </row>
    <row r="91" spans="1:15" s="350" customFormat="1">
      <c r="A91" s="319"/>
      <c r="B91" s="320"/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89"/>
    </row>
    <row r="92" spans="1:15" s="1873" customFormat="1" ht="15" customHeight="1">
      <c r="A92" s="319"/>
      <c r="B92" s="320"/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89"/>
    </row>
    <row r="93" spans="1:15" s="350" customFormat="1" ht="12.75" customHeight="1">
      <c r="A93" s="319"/>
      <c r="B93" s="320"/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89"/>
    </row>
    <row r="94" spans="1:15" s="350" customFormat="1" ht="12.75" customHeight="1">
      <c r="A94" s="319"/>
      <c r="B94" s="320"/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89"/>
    </row>
    <row r="95" spans="1:15" s="350" customFormat="1">
      <c r="A95" s="319"/>
      <c r="B95" s="320"/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89"/>
    </row>
    <row r="96" spans="1:15" s="350" customFormat="1">
      <c r="A96" s="319"/>
      <c r="B96" s="320"/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89"/>
    </row>
    <row r="97" spans="1:15" s="1873" customFormat="1" ht="13.5" customHeight="1">
      <c r="A97" s="319"/>
      <c r="B97" s="320"/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89"/>
    </row>
    <row r="98" spans="1:15" s="350" customFormat="1" ht="12.75" customHeight="1">
      <c r="A98" s="319"/>
      <c r="B98" s="320"/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89"/>
    </row>
    <row r="99" spans="1:15" s="350" customFormat="1" ht="12.75" customHeight="1">
      <c r="A99" s="319"/>
      <c r="B99" s="320"/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89"/>
    </row>
    <row r="100" spans="1:15" s="350" customFormat="1">
      <c r="A100" s="319"/>
      <c r="B100" s="320"/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89"/>
    </row>
    <row r="101" spans="1:15" s="350" customFormat="1">
      <c r="A101" s="319"/>
      <c r="B101" s="320"/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89"/>
    </row>
    <row r="102" spans="1:15" s="350" customFormat="1">
      <c r="A102" s="319"/>
      <c r="B102" s="320"/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89"/>
    </row>
    <row r="103" spans="1:15" s="1873" customFormat="1" ht="22.5" customHeight="1">
      <c r="A103" s="319"/>
      <c r="B103" s="320"/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89"/>
    </row>
    <row r="104" spans="1:15" s="350" customFormat="1" ht="12.75" customHeight="1">
      <c r="A104" s="319"/>
      <c r="B104" s="320"/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89"/>
    </row>
    <row r="105" spans="1:15" s="350" customFormat="1" ht="12.75" customHeight="1">
      <c r="A105" s="319"/>
      <c r="B105" s="320"/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89"/>
    </row>
    <row r="106" spans="1:15" s="350" customFormat="1">
      <c r="A106" s="319"/>
      <c r="B106" s="320"/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89"/>
    </row>
    <row r="107" spans="1:15" s="350" customFormat="1">
      <c r="A107" s="319"/>
      <c r="B107" s="320"/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89"/>
    </row>
    <row r="108" spans="1:15" s="1873" customFormat="1" ht="12.75" customHeight="1">
      <c r="A108" s="319"/>
      <c r="B108" s="320"/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89"/>
    </row>
    <row r="109" spans="1:15" s="350" customFormat="1" ht="9.75" customHeight="1">
      <c r="A109" s="319"/>
      <c r="B109" s="320"/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89"/>
    </row>
    <row r="110" spans="1:15" s="350" customFormat="1" ht="12.75" customHeight="1">
      <c r="A110" s="319"/>
      <c r="B110" s="320"/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89"/>
    </row>
    <row r="111" spans="1:15" s="350" customFormat="1">
      <c r="A111" s="319"/>
      <c r="B111" s="320"/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89"/>
    </row>
    <row r="112" spans="1:15" s="350" customFormat="1">
      <c r="A112" s="319"/>
      <c r="B112" s="320"/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89"/>
    </row>
    <row r="113" spans="1:15" s="1873" customFormat="1" ht="13.5" customHeight="1">
      <c r="A113" s="319"/>
      <c r="B113" s="320"/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89"/>
    </row>
    <row r="114" spans="1:15" s="350" customFormat="1" ht="9.75" customHeight="1">
      <c r="A114" s="319"/>
      <c r="B114" s="320"/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89"/>
    </row>
    <row r="115" spans="1:15" s="350" customFormat="1" ht="12.75" customHeight="1">
      <c r="A115" s="319"/>
      <c r="B115" s="320"/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89"/>
    </row>
    <row r="116" spans="1:15" s="350" customFormat="1">
      <c r="A116" s="319"/>
      <c r="B116" s="320"/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89"/>
    </row>
    <row r="117" spans="1:15" s="350" customFormat="1">
      <c r="A117" s="319"/>
      <c r="B117" s="320"/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89"/>
    </row>
    <row r="118" spans="1:15" s="350" customFormat="1">
      <c r="A118" s="319"/>
      <c r="B118" s="320"/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89"/>
    </row>
    <row r="119" spans="1:15" s="350" customFormat="1">
      <c r="A119" s="319"/>
      <c r="B119" s="320"/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89"/>
    </row>
    <row r="120" spans="1:15" s="350" customFormat="1">
      <c r="A120" s="319"/>
      <c r="B120" s="320"/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89"/>
    </row>
    <row r="121" spans="1:15" s="1873" customFormat="1" ht="22.5" customHeight="1">
      <c r="A121" s="319"/>
      <c r="B121" s="320"/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89"/>
    </row>
    <row r="122" spans="1:15" s="350" customFormat="1" ht="12.75" customHeight="1">
      <c r="A122" s="319"/>
      <c r="B122" s="320"/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89"/>
    </row>
    <row r="123" spans="1:15" s="350" customFormat="1" ht="12.75" customHeight="1">
      <c r="A123" s="319"/>
      <c r="B123" s="320"/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89"/>
    </row>
    <row r="124" spans="1:15" s="350" customFormat="1">
      <c r="A124" s="319"/>
      <c r="B124" s="320"/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89"/>
    </row>
    <row r="125" spans="1:15" s="350" customFormat="1">
      <c r="A125" s="319"/>
      <c r="B125" s="320"/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89"/>
    </row>
    <row r="126" spans="1:15" s="1873" customFormat="1" ht="34.5" customHeight="1">
      <c r="A126" s="319"/>
      <c r="B126" s="320"/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89"/>
    </row>
    <row r="127" spans="1:15" s="350" customFormat="1" ht="14.25" customHeight="1">
      <c r="A127" s="319"/>
      <c r="B127" s="320"/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89"/>
    </row>
    <row r="128" spans="1:15" s="350" customFormat="1" ht="12.75" customHeight="1">
      <c r="A128" s="319"/>
      <c r="B128" s="320"/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89"/>
    </row>
    <row r="129" spans="1:15" s="350" customFormat="1">
      <c r="A129" s="319"/>
      <c r="B129" s="320"/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89"/>
    </row>
    <row r="130" spans="1:15" s="350" customFormat="1">
      <c r="A130" s="319"/>
      <c r="B130" s="320"/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89"/>
    </row>
    <row r="131" spans="1:15" s="350" customFormat="1">
      <c r="A131" s="319"/>
      <c r="B131" s="320"/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89"/>
    </row>
    <row r="132" spans="1:15" s="1873" customFormat="1" ht="36.75" customHeight="1">
      <c r="A132" s="319"/>
      <c r="B132" s="320"/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89"/>
    </row>
    <row r="133" spans="1:15" s="350" customFormat="1" ht="9.75" customHeight="1">
      <c r="A133" s="319"/>
      <c r="B133" s="320"/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89"/>
    </row>
    <row r="134" spans="1:15" s="350" customFormat="1" ht="12.75" customHeight="1">
      <c r="A134" s="319"/>
      <c r="B134" s="320"/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89"/>
    </row>
    <row r="135" spans="1:15" s="350" customFormat="1">
      <c r="A135" s="319"/>
      <c r="B135" s="320"/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89"/>
    </row>
    <row r="136" spans="1:15" s="350" customFormat="1">
      <c r="A136" s="319"/>
      <c r="B136" s="320"/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89"/>
    </row>
    <row r="137" spans="1:15" s="350" customFormat="1">
      <c r="A137" s="319"/>
      <c r="B137" s="320"/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89"/>
    </row>
    <row r="138" spans="1:15" s="1873" customFormat="1" ht="33.75" customHeight="1">
      <c r="A138" s="319"/>
      <c r="B138" s="320"/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89"/>
    </row>
    <row r="139" spans="1:15" s="350" customFormat="1" ht="9.75" customHeight="1">
      <c r="A139" s="319"/>
      <c r="B139" s="320"/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89"/>
    </row>
    <row r="140" spans="1:15" s="350" customFormat="1" ht="12.75" customHeight="1">
      <c r="A140" s="319"/>
      <c r="B140" s="320"/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89"/>
    </row>
    <row r="141" spans="1:15" s="350" customFormat="1">
      <c r="A141" s="319"/>
      <c r="B141" s="320"/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89"/>
    </row>
    <row r="142" spans="1:15" s="350" customFormat="1">
      <c r="A142" s="319"/>
      <c r="B142" s="320"/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89"/>
    </row>
    <row r="143" spans="1:15" s="350" customFormat="1">
      <c r="A143" s="319"/>
      <c r="B143" s="320"/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89"/>
    </row>
    <row r="144" spans="1:15" s="350" customFormat="1">
      <c r="A144" s="319"/>
      <c r="B144" s="320"/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89"/>
    </row>
    <row r="145" spans="1:15" s="1876" customFormat="1" ht="14.25" customHeight="1">
      <c r="A145" s="319"/>
      <c r="B145" s="320"/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89"/>
    </row>
    <row r="146" spans="1:15" s="350" customFormat="1">
      <c r="A146" s="319"/>
      <c r="B146" s="320"/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89"/>
    </row>
    <row r="147" spans="1:15" s="1866" customFormat="1" ht="23.25" customHeight="1">
      <c r="A147" s="319"/>
      <c r="B147" s="320"/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89"/>
    </row>
    <row r="148" spans="1:15" s="350" customFormat="1">
      <c r="A148" s="319"/>
      <c r="B148" s="320"/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89"/>
    </row>
    <row r="149" spans="1:15" s="1865" customFormat="1" ht="15.75" customHeight="1">
      <c r="A149" s="319"/>
      <c r="B149" s="320"/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89"/>
    </row>
    <row r="150" spans="1:15" s="1865" customFormat="1" ht="12.75" customHeight="1">
      <c r="A150" s="319"/>
      <c r="B150" s="320"/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89"/>
    </row>
    <row r="151" spans="1:15" s="1865" customFormat="1" ht="12.75" customHeight="1">
      <c r="A151" s="319"/>
      <c r="B151" s="320"/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89"/>
    </row>
    <row r="152" spans="1:15" s="1865" customFormat="1" ht="12" customHeight="1">
      <c r="A152" s="319"/>
      <c r="B152" s="320"/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89"/>
    </row>
    <row r="153" spans="1:15" s="1876" customFormat="1" ht="24" customHeight="1">
      <c r="A153" s="319"/>
      <c r="B153" s="320"/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89"/>
    </row>
    <row r="154" spans="1:15" s="350" customFormat="1" ht="11.25" customHeight="1">
      <c r="A154" s="319"/>
      <c r="B154" s="320"/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89"/>
    </row>
    <row r="155" spans="1:15" s="350" customFormat="1" ht="12.75" customHeight="1">
      <c r="A155" s="319"/>
      <c r="B155" s="320"/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89"/>
    </row>
    <row r="156" spans="1:15" s="350" customFormat="1">
      <c r="A156" s="319"/>
      <c r="B156" s="320"/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89"/>
    </row>
    <row r="157" spans="1:15" s="350" customFormat="1">
      <c r="A157" s="319"/>
      <c r="B157" s="320"/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89"/>
    </row>
    <row r="158" spans="1:15" s="350" customFormat="1">
      <c r="A158" s="319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89"/>
    </row>
    <row r="159" spans="1:15" s="350" customFormat="1">
      <c r="A159" s="319"/>
      <c r="B159" s="320"/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89"/>
    </row>
    <row r="160" spans="1:15" s="350" customFormat="1" ht="21.75" customHeight="1">
      <c r="A160" s="319"/>
      <c r="B160" s="320"/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89"/>
    </row>
    <row r="161" spans="1:15" s="350" customFormat="1" ht="12.75" customHeight="1">
      <c r="A161" s="319"/>
      <c r="B161" s="320"/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89"/>
    </row>
    <row r="162" spans="1:15" s="350" customFormat="1">
      <c r="A162" s="319"/>
      <c r="B162" s="320"/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89"/>
    </row>
    <row r="163" spans="1:15" s="350" customFormat="1">
      <c r="A163" s="319"/>
      <c r="B163" s="320"/>
      <c r="C163" s="320"/>
      <c r="D163" s="320"/>
      <c r="E163" s="320"/>
      <c r="F163" s="320"/>
      <c r="G163" s="320"/>
      <c r="H163" s="320"/>
      <c r="I163" s="320"/>
      <c r="J163" s="320"/>
      <c r="K163" s="320"/>
      <c r="L163" s="320"/>
      <c r="M163" s="320"/>
      <c r="N163" s="320"/>
      <c r="O163" s="389"/>
    </row>
    <row r="164" spans="1:15" s="350" customFormat="1">
      <c r="A164" s="319"/>
      <c r="B164" s="320"/>
      <c r="C164" s="320"/>
      <c r="D164" s="320"/>
      <c r="E164" s="320"/>
      <c r="F164" s="320"/>
      <c r="G164" s="320"/>
      <c r="H164" s="320"/>
      <c r="I164" s="320"/>
      <c r="J164" s="320"/>
      <c r="K164" s="320"/>
      <c r="L164" s="320"/>
      <c r="M164" s="320"/>
      <c r="N164" s="320"/>
      <c r="O164" s="389"/>
    </row>
    <row r="165" spans="1:15" s="350" customFormat="1">
      <c r="A165" s="319"/>
      <c r="B165" s="320"/>
      <c r="C165" s="320"/>
      <c r="D165" s="320"/>
      <c r="E165" s="320"/>
      <c r="F165" s="320"/>
      <c r="G165" s="320"/>
      <c r="H165" s="320"/>
      <c r="I165" s="320"/>
      <c r="J165" s="320"/>
      <c r="K165" s="320"/>
      <c r="L165" s="320"/>
      <c r="M165" s="320"/>
      <c r="N165" s="320"/>
      <c r="O165" s="389"/>
    </row>
    <row r="166" spans="1:15" s="350" customFormat="1">
      <c r="A166" s="319"/>
      <c r="B166" s="320"/>
      <c r="C166" s="320"/>
      <c r="D166" s="320"/>
      <c r="E166" s="320"/>
      <c r="F166" s="320"/>
      <c r="G166" s="320"/>
      <c r="H166" s="320"/>
      <c r="I166" s="320"/>
      <c r="J166" s="320"/>
      <c r="K166" s="320"/>
      <c r="L166" s="320"/>
      <c r="M166" s="320"/>
      <c r="N166" s="320"/>
      <c r="O166" s="389"/>
    </row>
    <row r="167" spans="1:15" s="350" customFormat="1" ht="32.25" customHeight="1">
      <c r="A167" s="319"/>
      <c r="B167" s="320"/>
      <c r="C167" s="320"/>
      <c r="D167" s="320"/>
      <c r="E167" s="320"/>
      <c r="F167" s="320"/>
      <c r="G167" s="320"/>
      <c r="H167" s="320"/>
      <c r="I167" s="320"/>
      <c r="J167" s="320"/>
      <c r="K167" s="320"/>
      <c r="L167" s="320"/>
      <c r="M167" s="320"/>
      <c r="N167" s="320"/>
      <c r="O167" s="389"/>
    </row>
    <row r="168" spans="1:15" s="350" customFormat="1" ht="15" customHeight="1">
      <c r="A168" s="319"/>
      <c r="B168" s="320"/>
      <c r="C168" s="320"/>
      <c r="D168" s="320"/>
      <c r="E168" s="320"/>
      <c r="F168" s="320"/>
      <c r="G168" s="320"/>
      <c r="H168" s="320"/>
      <c r="I168" s="320"/>
      <c r="J168" s="320"/>
      <c r="K168" s="320"/>
      <c r="L168" s="320"/>
      <c r="M168" s="320"/>
      <c r="N168" s="320"/>
      <c r="O168" s="389"/>
    </row>
    <row r="169" spans="1:15" s="350" customFormat="1" ht="12.75" customHeight="1">
      <c r="A169" s="319"/>
      <c r="B169" s="320"/>
      <c r="C169" s="320"/>
      <c r="D169" s="320"/>
      <c r="E169" s="320"/>
      <c r="F169" s="320"/>
      <c r="G169" s="320"/>
      <c r="H169" s="320"/>
      <c r="I169" s="320"/>
      <c r="J169" s="320"/>
      <c r="K169" s="320"/>
      <c r="L169" s="320"/>
      <c r="M169" s="320"/>
      <c r="N169" s="320"/>
      <c r="O169" s="389"/>
    </row>
    <row r="170" spans="1:15" s="350" customFormat="1">
      <c r="A170" s="319"/>
      <c r="B170" s="320"/>
      <c r="C170" s="320"/>
      <c r="D170" s="320"/>
      <c r="E170" s="320"/>
      <c r="F170" s="320"/>
      <c r="G170" s="320"/>
      <c r="H170" s="320"/>
      <c r="I170" s="320"/>
      <c r="J170" s="320"/>
      <c r="K170" s="320"/>
      <c r="L170" s="320"/>
      <c r="M170" s="320"/>
      <c r="N170" s="320"/>
      <c r="O170" s="389"/>
    </row>
    <row r="171" spans="1:15" s="350" customFormat="1">
      <c r="A171" s="319"/>
      <c r="B171" s="320"/>
      <c r="C171" s="320"/>
      <c r="D171" s="320"/>
      <c r="E171" s="320"/>
      <c r="F171" s="320"/>
      <c r="G171" s="320"/>
      <c r="H171" s="320"/>
      <c r="I171" s="320"/>
      <c r="J171" s="320"/>
      <c r="K171" s="320"/>
      <c r="L171" s="320"/>
      <c r="M171" s="320"/>
      <c r="N171" s="320"/>
      <c r="O171" s="389"/>
    </row>
    <row r="172" spans="1:15" s="350" customFormat="1">
      <c r="A172" s="319"/>
      <c r="B172" s="320"/>
      <c r="C172" s="320"/>
      <c r="D172" s="320"/>
      <c r="E172" s="320"/>
      <c r="F172" s="320"/>
      <c r="G172" s="320"/>
      <c r="H172" s="320"/>
      <c r="I172" s="320"/>
      <c r="J172" s="320"/>
      <c r="K172" s="320"/>
      <c r="L172" s="320"/>
      <c r="M172" s="320"/>
      <c r="N172" s="320"/>
      <c r="O172" s="389"/>
    </row>
    <row r="173" spans="1:15" s="350" customFormat="1" ht="11.25" customHeight="1">
      <c r="A173" s="319"/>
      <c r="B173" s="320"/>
      <c r="C173" s="320"/>
      <c r="D173" s="320"/>
      <c r="E173" s="320"/>
      <c r="F173" s="320"/>
      <c r="G173" s="320"/>
      <c r="H173" s="320"/>
      <c r="I173" s="320"/>
      <c r="J173" s="320"/>
      <c r="K173" s="320"/>
      <c r="L173" s="320"/>
      <c r="M173" s="320"/>
      <c r="N173" s="320"/>
      <c r="O173" s="389"/>
    </row>
    <row r="174" spans="1:15" s="350" customFormat="1" ht="12.75" customHeight="1">
      <c r="A174" s="319"/>
      <c r="B174" s="320"/>
      <c r="C174" s="320"/>
      <c r="D174" s="320"/>
      <c r="E174" s="320"/>
      <c r="F174" s="320"/>
      <c r="G174" s="320"/>
      <c r="H174" s="320"/>
      <c r="I174" s="320"/>
      <c r="J174" s="320"/>
      <c r="K174" s="320"/>
      <c r="L174" s="320"/>
      <c r="M174" s="320"/>
      <c r="N174" s="320"/>
      <c r="O174" s="389"/>
    </row>
    <row r="175" spans="1:15" s="350" customFormat="1" ht="12.75" customHeight="1">
      <c r="A175" s="319"/>
      <c r="B175" s="320"/>
      <c r="C175" s="320"/>
      <c r="D175" s="320"/>
      <c r="E175" s="320"/>
      <c r="F175" s="320"/>
      <c r="G175" s="320"/>
      <c r="H175" s="320"/>
      <c r="I175" s="320"/>
      <c r="J175" s="320"/>
      <c r="K175" s="320"/>
      <c r="L175" s="320"/>
      <c r="M175" s="320"/>
      <c r="N175" s="320"/>
      <c r="O175" s="389"/>
    </row>
    <row r="176" spans="1:15" s="350" customFormat="1">
      <c r="A176" s="319"/>
      <c r="B176" s="320"/>
      <c r="C176" s="320"/>
      <c r="D176" s="320"/>
      <c r="E176" s="320"/>
      <c r="F176" s="320"/>
      <c r="G176" s="320"/>
      <c r="H176" s="320"/>
      <c r="I176" s="320"/>
      <c r="J176" s="320"/>
      <c r="K176" s="320"/>
      <c r="L176" s="320"/>
      <c r="M176" s="320"/>
      <c r="N176" s="320"/>
      <c r="O176" s="389"/>
    </row>
    <row r="177" spans="1:15" s="350" customFormat="1">
      <c r="A177" s="319"/>
      <c r="B177" s="320"/>
      <c r="C177" s="320"/>
      <c r="D177" s="320"/>
      <c r="E177" s="320"/>
      <c r="F177" s="320"/>
      <c r="G177" s="320"/>
      <c r="H177" s="320"/>
      <c r="I177" s="320"/>
      <c r="J177" s="320"/>
      <c r="K177" s="320"/>
      <c r="L177" s="320"/>
      <c r="M177" s="320"/>
      <c r="N177" s="320"/>
      <c r="O177" s="389"/>
    </row>
    <row r="178" spans="1:15" s="350" customFormat="1">
      <c r="A178" s="319"/>
      <c r="B178" s="320"/>
      <c r="C178" s="320"/>
      <c r="D178" s="320"/>
      <c r="E178" s="320"/>
      <c r="F178" s="320"/>
      <c r="G178" s="320"/>
      <c r="H178" s="320"/>
      <c r="I178" s="320"/>
      <c r="J178" s="320"/>
      <c r="K178" s="320"/>
      <c r="L178" s="320"/>
      <c r="M178" s="320"/>
      <c r="N178" s="320"/>
      <c r="O178" s="389"/>
    </row>
    <row r="179" spans="1:15" s="350" customFormat="1">
      <c r="A179" s="319"/>
      <c r="B179" s="320"/>
      <c r="C179" s="320"/>
      <c r="D179" s="320"/>
      <c r="E179" s="320"/>
      <c r="F179" s="320"/>
      <c r="G179" s="320"/>
      <c r="H179" s="320"/>
      <c r="I179" s="320"/>
      <c r="J179" s="320"/>
      <c r="K179" s="320"/>
      <c r="L179" s="320"/>
      <c r="M179" s="320"/>
      <c r="N179" s="320"/>
      <c r="O179" s="389"/>
    </row>
    <row r="180" spans="1:15" s="1873" customFormat="1" ht="24.75" customHeight="1">
      <c r="A180" s="319"/>
      <c r="B180" s="320"/>
      <c r="C180" s="320"/>
      <c r="D180" s="320"/>
      <c r="E180" s="320"/>
      <c r="F180" s="320"/>
      <c r="G180" s="320"/>
      <c r="H180" s="320"/>
      <c r="I180" s="320"/>
      <c r="J180" s="320"/>
      <c r="K180" s="320"/>
      <c r="L180" s="320"/>
      <c r="M180" s="320"/>
      <c r="N180" s="320"/>
      <c r="O180" s="389"/>
    </row>
    <row r="181" spans="1:15" s="350" customFormat="1" ht="12.75" customHeight="1">
      <c r="A181" s="319"/>
      <c r="B181" s="320"/>
      <c r="C181" s="320"/>
      <c r="D181" s="320"/>
      <c r="E181" s="320"/>
      <c r="F181" s="320"/>
      <c r="G181" s="320"/>
      <c r="H181" s="320"/>
      <c r="I181" s="320"/>
      <c r="J181" s="320"/>
      <c r="K181" s="320"/>
      <c r="L181" s="320"/>
      <c r="M181" s="320"/>
      <c r="N181" s="320"/>
      <c r="O181" s="389"/>
    </row>
    <row r="182" spans="1:15" s="350" customFormat="1" ht="12.75" customHeight="1">
      <c r="A182" s="319"/>
      <c r="B182" s="320"/>
      <c r="C182" s="320"/>
      <c r="D182" s="320"/>
      <c r="E182" s="320"/>
      <c r="F182" s="320"/>
      <c r="G182" s="320"/>
      <c r="H182" s="320"/>
      <c r="I182" s="320"/>
      <c r="J182" s="320"/>
      <c r="K182" s="320"/>
      <c r="L182" s="320"/>
      <c r="M182" s="320"/>
      <c r="N182" s="320"/>
      <c r="O182" s="389"/>
    </row>
    <row r="183" spans="1:15" s="350" customFormat="1">
      <c r="A183" s="319"/>
      <c r="B183" s="320"/>
      <c r="C183" s="320"/>
      <c r="D183" s="320"/>
      <c r="E183" s="320"/>
      <c r="F183" s="320"/>
      <c r="G183" s="320"/>
      <c r="H183" s="320"/>
      <c r="I183" s="320"/>
      <c r="J183" s="320"/>
      <c r="K183" s="320"/>
      <c r="L183" s="320"/>
      <c r="M183" s="320"/>
      <c r="N183" s="320"/>
      <c r="O183" s="389"/>
    </row>
    <row r="184" spans="1:15" s="350" customFormat="1">
      <c r="A184" s="319"/>
      <c r="B184" s="320"/>
      <c r="C184" s="320"/>
      <c r="D184" s="320"/>
      <c r="E184" s="320"/>
      <c r="F184" s="320"/>
      <c r="G184" s="320"/>
      <c r="H184" s="320"/>
      <c r="I184" s="320"/>
      <c r="J184" s="320"/>
      <c r="K184" s="320"/>
      <c r="L184" s="320"/>
      <c r="M184" s="320"/>
      <c r="N184" s="320"/>
      <c r="O184" s="389"/>
    </row>
    <row r="185" spans="1:15" s="350" customFormat="1">
      <c r="A185" s="319"/>
      <c r="B185" s="320"/>
      <c r="C185" s="320"/>
      <c r="D185" s="320"/>
      <c r="E185" s="320"/>
      <c r="F185" s="320"/>
      <c r="G185" s="320"/>
      <c r="H185" s="320"/>
      <c r="I185" s="320"/>
      <c r="J185" s="320"/>
      <c r="K185" s="320"/>
      <c r="L185" s="320"/>
      <c r="M185" s="320"/>
      <c r="N185" s="320"/>
      <c r="O185" s="389"/>
    </row>
    <row r="186" spans="1:15" s="1873" customFormat="1" ht="23.25" customHeight="1">
      <c r="A186" s="319"/>
      <c r="B186" s="320"/>
      <c r="C186" s="320"/>
      <c r="D186" s="320"/>
      <c r="E186" s="320"/>
      <c r="F186" s="320"/>
      <c r="G186" s="320"/>
      <c r="H186" s="320"/>
      <c r="I186" s="320"/>
      <c r="J186" s="320"/>
      <c r="K186" s="320"/>
      <c r="L186" s="320"/>
      <c r="M186" s="320"/>
      <c r="N186" s="320"/>
      <c r="O186" s="389"/>
    </row>
    <row r="187" spans="1:15" s="350" customFormat="1" ht="15" customHeight="1">
      <c r="A187" s="319"/>
      <c r="B187" s="320"/>
      <c r="C187" s="320"/>
      <c r="D187" s="320"/>
      <c r="E187" s="320"/>
      <c r="F187" s="320"/>
      <c r="G187" s="320"/>
      <c r="H187" s="320"/>
      <c r="I187" s="320"/>
      <c r="J187" s="320"/>
      <c r="K187" s="320"/>
      <c r="L187" s="320"/>
      <c r="M187" s="320"/>
      <c r="N187" s="320"/>
      <c r="O187" s="389"/>
    </row>
    <row r="188" spans="1:15" s="350" customFormat="1" ht="12.75" customHeight="1">
      <c r="A188" s="319"/>
      <c r="B188" s="320"/>
      <c r="C188" s="320"/>
      <c r="D188" s="320"/>
      <c r="E188" s="320"/>
      <c r="F188" s="320"/>
      <c r="G188" s="320"/>
      <c r="H188" s="320"/>
      <c r="I188" s="320"/>
      <c r="J188" s="320"/>
      <c r="K188" s="320"/>
      <c r="L188" s="320"/>
      <c r="M188" s="320"/>
      <c r="N188" s="320"/>
      <c r="O188" s="389"/>
    </row>
    <row r="189" spans="1:15" s="350" customFormat="1">
      <c r="A189" s="319"/>
      <c r="B189" s="320"/>
      <c r="C189" s="320"/>
      <c r="D189" s="320"/>
      <c r="E189" s="320"/>
      <c r="F189" s="320"/>
      <c r="G189" s="320"/>
      <c r="H189" s="320"/>
      <c r="I189" s="320"/>
      <c r="J189" s="320"/>
      <c r="K189" s="320"/>
      <c r="L189" s="320"/>
      <c r="M189" s="320"/>
      <c r="N189" s="320"/>
      <c r="O189" s="389"/>
    </row>
    <row r="190" spans="1:15" s="350" customFormat="1">
      <c r="A190" s="319"/>
      <c r="B190" s="320"/>
      <c r="C190" s="320"/>
      <c r="D190" s="320"/>
      <c r="E190" s="320"/>
      <c r="F190" s="320"/>
      <c r="G190" s="320"/>
      <c r="H190" s="320"/>
      <c r="I190" s="320"/>
      <c r="J190" s="320"/>
      <c r="K190" s="320"/>
      <c r="L190" s="320"/>
      <c r="M190" s="320"/>
      <c r="N190" s="320"/>
      <c r="O190" s="389"/>
    </row>
    <row r="191" spans="1:15" s="1873" customFormat="1" ht="12.75" customHeight="1">
      <c r="A191" s="319"/>
      <c r="B191" s="320"/>
      <c r="C191" s="320"/>
      <c r="D191" s="320"/>
      <c r="E191" s="320"/>
      <c r="F191" s="320"/>
      <c r="G191" s="320"/>
      <c r="H191" s="320"/>
      <c r="I191" s="320"/>
      <c r="J191" s="320"/>
      <c r="K191" s="320"/>
      <c r="L191" s="320"/>
      <c r="M191" s="320"/>
      <c r="N191" s="320"/>
      <c r="O191" s="389"/>
    </row>
    <row r="192" spans="1:15" s="350" customFormat="1" ht="9.75" customHeight="1">
      <c r="A192" s="319"/>
      <c r="B192" s="320"/>
      <c r="C192" s="320"/>
      <c r="D192" s="320"/>
      <c r="E192" s="320"/>
      <c r="F192" s="320"/>
      <c r="G192" s="320"/>
      <c r="H192" s="320"/>
      <c r="I192" s="320"/>
      <c r="J192" s="320"/>
      <c r="K192" s="320"/>
      <c r="L192" s="320"/>
      <c r="M192" s="320"/>
      <c r="N192" s="320"/>
      <c r="O192" s="389"/>
    </row>
    <row r="193" spans="1:15" s="350" customFormat="1" ht="12.75" customHeight="1">
      <c r="A193" s="319"/>
      <c r="B193" s="320"/>
      <c r="C193" s="320"/>
      <c r="D193" s="320"/>
      <c r="E193" s="320"/>
      <c r="F193" s="320"/>
      <c r="G193" s="320"/>
      <c r="H193" s="320"/>
      <c r="I193" s="320"/>
      <c r="J193" s="320"/>
      <c r="K193" s="320"/>
      <c r="L193" s="320"/>
      <c r="M193" s="320"/>
      <c r="N193" s="320"/>
      <c r="O193" s="389"/>
    </row>
    <row r="194" spans="1:15" s="350" customFormat="1">
      <c r="A194" s="319"/>
      <c r="B194" s="320"/>
      <c r="C194" s="320"/>
      <c r="D194" s="320"/>
      <c r="E194" s="320"/>
      <c r="F194" s="320"/>
      <c r="G194" s="320"/>
      <c r="H194" s="320"/>
      <c r="I194" s="320"/>
      <c r="J194" s="320"/>
      <c r="K194" s="320"/>
      <c r="L194" s="320"/>
      <c r="M194" s="320"/>
      <c r="N194" s="320"/>
      <c r="O194" s="389"/>
    </row>
    <row r="195" spans="1:15" s="350" customFormat="1">
      <c r="A195" s="319"/>
      <c r="B195" s="320"/>
      <c r="C195" s="320"/>
      <c r="D195" s="320"/>
      <c r="E195" s="320"/>
      <c r="F195" s="320"/>
      <c r="G195" s="320"/>
      <c r="H195" s="320"/>
      <c r="I195" s="320"/>
      <c r="J195" s="320"/>
      <c r="K195" s="320"/>
      <c r="L195" s="320"/>
      <c r="M195" s="320"/>
      <c r="N195" s="320"/>
      <c r="O195" s="389"/>
    </row>
    <row r="196" spans="1:15" s="1876" customFormat="1" ht="24" customHeight="1">
      <c r="A196" s="319"/>
      <c r="B196" s="320"/>
      <c r="C196" s="320"/>
      <c r="D196" s="320"/>
      <c r="E196" s="320"/>
      <c r="F196" s="320"/>
      <c r="G196" s="320"/>
      <c r="H196" s="320"/>
      <c r="I196" s="320"/>
      <c r="J196" s="320"/>
      <c r="K196" s="320"/>
      <c r="L196" s="320"/>
      <c r="M196" s="320"/>
      <c r="N196" s="320"/>
      <c r="O196" s="389"/>
    </row>
    <row r="197" spans="1:15" s="350" customFormat="1" ht="11.25" customHeight="1">
      <c r="A197" s="319"/>
      <c r="B197" s="320"/>
      <c r="C197" s="320"/>
      <c r="D197" s="320"/>
      <c r="E197" s="320"/>
      <c r="F197" s="320"/>
      <c r="G197" s="320"/>
      <c r="H197" s="320"/>
      <c r="I197" s="320"/>
      <c r="J197" s="320"/>
      <c r="K197" s="320"/>
      <c r="L197" s="320"/>
      <c r="M197" s="320"/>
      <c r="N197" s="320"/>
      <c r="O197" s="389"/>
    </row>
    <row r="198" spans="1:15" s="350" customFormat="1" ht="12.75" customHeight="1">
      <c r="A198" s="319"/>
      <c r="B198" s="320"/>
      <c r="C198" s="320"/>
      <c r="D198" s="320"/>
      <c r="E198" s="320"/>
      <c r="F198" s="320"/>
      <c r="G198" s="320"/>
      <c r="H198" s="320"/>
      <c r="I198" s="320"/>
      <c r="J198" s="320"/>
      <c r="K198" s="320"/>
      <c r="L198" s="320"/>
      <c r="M198" s="320"/>
      <c r="N198" s="320"/>
      <c r="O198" s="389"/>
    </row>
    <row r="199" spans="1:15" s="350" customFormat="1">
      <c r="A199" s="319"/>
      <c r="B199" s="320"/>
      <c r="C199" s="320"/>
      <c r="D199" s="320"/>
      <c r="E199" s="320"/>
      <c r="F199" s="320"/>
      <c r="G199" s="320"/>
      <c r="H199" s="320"/>
      <c r="I199" s="320"/>
      <c r="J199" s="320"/>
      <c r="K199" s="320"/>
      <c r="L199" s="320"/>
      <c r="M199" s="320"/>
      <c r="N199" s="320"/>
      <c r="O199" s="389"/>
    </row>
    <row r="200" spans="1:15" s="350" customFormat="1">
      <c r="A200" s="319"/>
      <c r="B200" s="320"/>
      <c r="C200" s="320"/>
      <c r="D200" s="320"/>
      <c r="E200" s="320"/>
      <c r="F200" s="320"/>
      <c r="G200" s="320"/>
      <c r="H200" s="320"/>
      <c r="I200" s="320"/>
      <c r="J200" s="320"/>
      <c r="K200" s="320"/>
      <c r="L200" s="320"/>
      <c r="M200" s="320"/>
      <c r="N200" s="320"/>
      <c r="O200" s="389"/>
    </row>
    <row r="201" spans="1:15" s="350" customFormat="1">
      <c r="A201" s="319"/>
      <c r="B201" s="320"/>
      <c r="C201" s="320"/>
      <c r="D201" s="320"/>
      <c r="E201" s="320"/>
      <c r="F201" s="320"/>
      <c r="G201" s="320"/>
      <c r="H201" s="320"/>
      <c r="I201" s="320"/>
      <c r="J201" s="320"/>
      <c r="K201" s="320"/>
      <c r="L201" s="320"/>
      <c r="M201" s="320"/>
      <c r="N201" s="320"/>
      <c r="O201" s="389"/>
    </row>
    <row r="202" spans="1:15" s="350" customFormat="1">
      <c r="A202" s="319"/>
      <c r="B202" s="320"/>
      <c r="C202" s="320"/>
      <c r="D202" s="320"/>
      <c r="E202" s="320"/>
      <c r="F202" s="320"/>
      <c r="G202" s="320"/>
      <c r="H202" s="320"/>
      <c r="I202" s="320"/>
      <c r="J202" s="320"/>
      <c r="K202" s="320"/>
      <c r="L202" s="320"/>
      <c r="M202" s="320"/>
      <c r="N202" s="320"/>
      <c r="O202" s="389"/>
    </row>
    <row r="203" spans="1:15" s="350" customFormat="1" ht="12" customHeight="1">
      <c r="A203" s="319"/>
      <c r="B203" s="320"/>
      <c r="C203" s="320"/>
      <c r="D203" s="320"/>
      <c r="E203" s="320"/>
      <c r="F203" s="320"/>
      <c r="G203" s="320"/>
      <c r="H203" s="320"/>
      <c r="I203" s="320"/>
      <c r="J203" s="320"/>
      <c r="K203" s="320"/>
      <c r="L203" s="320"/>
      <c r="M203" s="320"/>
      <c r="N203" s="320"/>
      <c r="O203" s="389"/>
    </row>
    <row r="204" spans="1:15" s="350" customFormat="1" ht="10.5" customHeight="1">
      <c r="A204" s="319"/>
      <c r="B204" s="320"/>
      <c r="C204" s="320"/>
      <c r="D204" s="320"/>
      <c r="E204" s="320"/>
      <c r="F204" s="320"/>
      <c r="G204" s="320"/>
      <c r="H204" s="320"/>
      <c r="I204" s="320"/>
      <c r="J204" s="320"/>
      <c r="K204" s="320"/>
      <c r="L204" s="320"/>
      <c r="M204" s="320"/>
      <c r="N204" s="320"/>
      <c r="O204" s="389"/>
    </row>
    <row r="205" spans="1:15" s="350" customFormat="1">
      <c r="A205" s="319"/>
      <c r="B205" s="320"/>
      <c r="C205" s="320"/>
      <c r="D205" s="320"/>
      <c r="E205" s="320"/>
      <c r="F205" s="320"/>
      <c r="G205" s="320"/>
      <c r="H205" s="320"/>
      <c r="I205" s="320"/>
      <c r="J205" s="320"/>
      <c r="K205" s="320"/>
      <c r="L205" s="320"/>
      <c r="M205" s="320"/>
      <c r="N205" s="320"/>
      <c r="O205" s="389"/>
    </row>
    <row r="206" spans="1:15" s="350" customFormat="1">
      <c r="A206" s="319"/>
      <c r="B206" s="320"/>
      <c r="C206" s="320"/>
      <c r="D206" s="320"/>
      <c r="E206" s="320"/>
      <c r="F206" s="320"/>
      <c r="G206" s="320"/>
      <c r="H206" s="320"/>
      <c r="I206" s="320"/>
      <c r="J206" s="320"/>
      <c r="K206" s="320"/>
      <c r="L206" s="320"/>
      <c r="M206" s="320"/>
      <c r="N206" s="320"/>
      <c r="O206" s="389"/>
    </row>
    <row r="207" spans="1:15" s="350" customFormat="1">
      <c r="A207" s="319"/>
      <c r="B207" s="320"/>
      <c r="C207" s="320"/>
      <c r="D207" s="320"/>
      <c r="E207" s="320"/>
      <c r="F207" s="320"/>
      <c r="G207" s="320"/>
      <c r="H207" s="320"/>
      <c r="I207" s="320"/>
      <c r="J207" s="320"/>
      <c r="K207" s="320"/>
      <c r="L207" s="320"/>
      <c r="M207" s="320"/>
      <c r="N207" s="320"/>
      <c r="O207" s="389"/>
    </row>
    <row r="208" spans="1:15" s="350" customFormat="1">
      <c r="A208" s="319"/>
      <c r="B208" s="320"/>
      <c r="C208" s="320"/>
      <c r="D208" s="320"/>
      <c r="E208" s="320"/>
      <c r="F208" s="320"/>
      <c r="G208" s="320"/>
      <c r="H208" s="320"/>
      <c r="I208" s="320"/>
      <c r="J208" s="320"/>
      <c r="K208" s="320"/>
      <c r="L208" s="320"/>
      <c r="M208" s="320"/>
      <c r="N208" s="320"/>
      <c r="O208" s="389"/>
    </row>
    <row r="209" spans="1:15" s="350" customFormat="1">
      <c r="A209" s="319"/>
      <c r="B209" s="320"/>
      <c r="C209" s="320"/>
      <c r="D209" s="320"/>
      <c r="E209" s="320"/>
      <c r="F209" s="320"/>
      <c r="G209" s="320"/>
      <c r="H209" s="320"/>
      <c r="I209" s="320"/>
      <c r="J209" s="320"/>
      <c r="K209" s="320"/>
      <c r="L209" s="320"/>
      <c r="M209" s="320"/>
      <c r="N209" s="320"/>
      <c r="O209" s="389"/>
    </row>
    <row r="210" spans="1:15" s="350" customFormat="1" ht="32.25" customHeight="1">
      <c r="A210" s="319"/>
      <c r="B210" s="320"/>
      <c r="C210" s="320"/>
      <c r="D210" s="320"/>
      <c r="E210" s="320"/>
      <c r="F210" s="320"/>
      <c r="G210" s="320"/>
      <c r="H210" s="320"/>
      <c r="I210" s="320"/>
      <c r="J210" s="320"/>
      <c r="K210" s="320"/>
      <c r="L210" s="320"/>
      <c r="M210" s="320"/>
      <c r="N210" s="320"/>
      <c r="O210" s="389"/>
    </row>
    <row r="211" spans="1:15" s="350" customFormat="1" ht="15" customHeight="1">
      <c r="A211" s="319"/>
      <c r="B211" s="320"/>
      <c r="C211" s="320"/>
      <c r="D211" s="320"/>
      <c r="E211" s="320"/>
      <c r="F211" s="320"/>
      <c r="G211" s="320"/>
      <c r="H211" s="320"/>
      <c r="I211" s="320"/>
      <c r="J211" s="320"/>
      <c r="K211" s="320"/>
      <c r="L211" s="320"/>
      <c r="M211" s="320"/>
      <c r="N211" s="320"/>
      <c r="O211" s="389"/>
    </row>
    <row r="212" spans="1:15" s="350" customFormat="1" ht="12.75" customHeight="1">
      <c r="A212" s="319"/>
      <c r="B212" s="320"/>
      <c r="C212" s="320"/>
      <c r="D212" s="320"/>
      <c r="E212" s="320"/>
      <c r="F212" s="320"/>
      <c r="G212" s="320"/>
      <c r="H212" s="320"/>
      <c r="I212" s="320"/>
      <c r="J212" s="320"/>
      <c r="K212" s="320"/>
      <c r="L212" s="320"/>
      <c r="M212" s="320"/>
      <c r="N212" s="320"/>
      <c r="O212" s="389"/>
    </row>
    <row r="213" spans="1:15" s="350" customFormat="1">
      <c r="A213" s="319"/>
      <c r="B213" s="320"/>
      <c r="C213" s="320"/>
      <c r="D213" s="320"/>
      <c r="E213" s="320"/>
      <c r="F213" s="320"/>
      <c r="G213" s="320"/>
      <c r="H213" s="320"/>
      <c r="I213" s="320"/>
      <c r="J213" s="320"/>
      <c r="K213" s="320"/>
      <c r="L213" s="320"/>
      <c r="M213" s="320"/>
      <c r="N213" s="320"/>
      <c r="O213" s="389"/>
    </row>
    <row r="214" spans="1:15" s="350" customFormat="1">
      <c r="A214" s="319"/>
      <c r="B214" s="320"/>
      <c r="C214" s="320"/>
      <c r="D214" s="320"/>
      <c r="E214" s="320"/>
      <c r="F214" s="320"/>
      <c r="G214" s="320"/>
      <c r="H214" s="320"/>
      <c r="I214" s="320"/>
      <c r="J214" s="320"/>
      <c r="K214" s="320"/>
      <c r="L214" s="320"/>
      <c r="M214" s="320"/>
      <c r="N214" s="320"/>
      <c r="O214" s="1877"/>
    </row>
    <row r="215" spans="1:15" s="350" customFormat="1">
      <c r="A215" s="319"/>
      <c r="B215" s="320"/>
      <c r="C215" s="320"/>
      <c r="D215" s="320"/>
      <c r="E215" s="320"/>
      <c r="F215" s="320"/>
      <c r="G215" s="320"/>
      <c r="H215" s="320"/>
      <c r="I215" s="320"/>
      <c r="J215" s="320"/>
      <c r="K215" s="320"/>
      <c r="L215" s="320"/>
      <c r="M215" s="320"/>
      <c r="N215" s="320"/>
      <c r="O215" s="1877"/>
    </row>
    <row r="216" spans="1:15" s="350" customFormat="1" ht="21.75" customHeight="1">
      <c r="A216" s="319"/>
      <c r="B216" s="320"/>
      <c r="C216" s="320"/>
      <c r="D216" s="320"/>
      <c r="E216" s="320"/>
      <c r="F216" s="320"/>
      <c r="G216" s="320"/>
      <c r="H216" s="320"/>
      <c r="I216" s="320"/>
      <c r="J216" s="320"/>
      <c r="K216" s="320"/>
      <c r="L216" s="320"/>
      <c r="M216" s="320"/>
      <c r="N216" s="320"/>
      <c r="O216" s="1877"/>
    </row>
    <row r="217" spans="1:15" s="350" customFormat="1" ht="12.75" customHeight="1">
      <c r="A217" s="319"/>
      <c r="B217" s="320"/>
      <c r="C217" s="320"/>
      <c r="D217" s="320"/>
      <c r="E217" s="320"/>
      <c r="F217" s="320"/>
      <c r="G217" s="320"/>
      <c r="H217" s="320"/>
      <c r="I217" s="320"/>
      <c r="J217" s="320"/>
      <c r="K217" s="320"/>
      <c r="L217" s="320"/>
      <c r="M217" s="320"/>
      <c r="N217" s="320"/>
      <c r="O217" s="1877"/>
    </row>
    <row r="218" spans="1:15" s="350" customFormat="1" ht="12.75" customHeight="1">
      <c r="A218" s="319"/>
      <c r="B218" s="320"/>
      <c r="C218" s="320"/>
      <c r="D218" s="320"/>
      <c r="E218" s="320"/>
      <c r="F218" s="320"/>
      <c r="G218" s="320"/>
      <c r="H218" s="320"/>
      <c r="I218" s="320"/>
      <c r="J218" s="320"/>
      <c r="K218" s="320"/>
      <c r="L218" s="320"/>
      <c r="M218" s="320"/>
      <c r="N218" s="320"/>
      <c r="O218" s="1877"/>
    </row>
    <row r="219" spans="1:15" s="350" customFormat="1">
      <c r="A219" s="319"/>
      <c r="B219" s="320"/>
      <c r="C219" s="320"/>
      <c r="D219" s="320"/>
      <c r="E219" s="320"/>
      <c r="F219" s="320"/>
      <c r="G219" s="320"/>
      <c r="H219" s="320"/>
      <c r="I219" s="320"/>
      <c r="J219" s="320"/>
      <c r="K219" s="320"/>
      <c r="L219" s="320"/>
      <c r="M219" s="320"/>
      <c r="N219" s="320"/>
      <c r="O219" s="1877"/>
    </row>
    <row r="220" spans="1:15" s="350" customFormat="1">
      <c r="A220" s="319"/>
      <c r="B220" s="320"/>
      <c r="C220" s="320"/>
      <c r="D220" s="320"/>
      <c r="E220" s="320"/>
      <c r="F220" s="320"/>
      <c r="G220" s="320"/>
      <c r="H220" s="320"/>
      <c r="I220" s="320"/>
      <c r="J220" s="320"/>
      <c r="K220" s="320"/>
      <c r="L220" s="320"/>
      <c r="M220" s="320"/>
      <c r="N220" s="320"/>
      <c r="O220" s="1877"/>
    </row>
    <row r="221" spans="1:15" s="350" customFormat="1">
      <c r="A221" s="319"/>
      <c r="B221" s="320"/>
      <c r="C221" s="320"/>
      <c r="D221" s="320"/>
      <c r="E221" s="320"/>
      <c r="F221" s="320"/>
      <c r="G221" s="320"/>
      <c r="H221" s="320"/>
      <c r="I221" s="320"/>
      <c r="J221" s="320"/>
      <c r="K221" s="320"/>
      <c r="L221" s="320"/>
      <c r="M221" s="320"/>
      <c r="N221" s="320"/>
      <c r="O221" s="1877"/>
    </row>
    <row r="222" spans="1:15" s="350" customFormat="1">
      <c r="A222" s="319"/>
      <c r="B222" s="320"/>
      <c r="C222" s="320"/>
      <c r="D222" s="320"/>
      <c r="E222" s="320"/>
      <c r="F222" s="320"/>
      <c r="G222" s="320"/>
      <c r="H222" s="320"/>
      <c r="I222" s="320"/>
      <c r="J222" s="320"/>
      <c r="K222" s="320"/>
      <c r="L222" s="320"/>
      <c r="M222" s="320"/>
      <c r="N222" s="320"/>
      <c r="O222" s="1877"/>
    </row>
    <row r="223" spans="1:15" s="1876" customFormat="1" ht="35.25" customHeight="1">
      <c r="A223" s="319"/>
      <c r="B223" s="320"/>
      <c r="C223" s="320"/>
      <c r="D223" s="320"/>
      <c r="E223" s="320"/>
      <c r="F223" s="320"/>
      <c r="G223" s="320"/>
      <c r="H223" s="320"/>
      <c r="I223" s="320"/>
      <c r="J223" s="320"/>
      <c r="K223" s="320"/>
      <c r="L223" s="320"/>
      <c r="M223" s="320"/>
      <c r="N223" s="320"/>
      <c r="O223" s="1877"/>
    </row>
    <row r="224" spans="1:15" s="350" customFormat="1" ht="11.25" customHeight="1">
      <c r="A224" s="319"/>
      <c r="B224" s="320"/>
      <c r="C224" s="320"/>
      <c r="D224" s="320"/>
      <c r="E224" s="320"/>
      <c r="F224" s="320"/>
      <c r="G224" s="320"/>
      <c r="H224" s="320"/>
      <c r="I224" s="320"/>
      <c r="J224" s="320"/>
      <c r="K224" s="320"/>
      <c r="L224" s="320"/>
      <c r="M224" s="320"/>
      <c r="N224" s="320"/>
      <c r="O224" s="1877"/>
    </row>
    <row r="225" spans="1:15" s="350" customFormat="1" ht="12.75" customHeight="1">
      <c r="A225" s="319"/>
      <c r="B225" s="320"/>
      <c r="C225" s="320"/>
      <c r="D225" s="320"/>
      <c r="E225" s="320"/>
      <c r="F225" s="320"/>
      <c r="G225" s="320"/>
      <c r="H225" s="320"/>
      <c r="I225" s="320"/>
      <c r="J225" s="320"/>
      <c r="K225" s="320"/>
      <c r="L225" s="320"/>
      <c r="M225" s="320"/>
      <c r="N225" s="320"/>
      <c r="O225" s="1877"/>
    </row>
    <row r="226" spans="1:15" s="1876" customFormat="1" ht="14.25" customHeight="1">
      <c r="A226" s="319"/>
      <c r="B226" s="320"/>
      <c r="C226" s="320"/>
      <c r="D226" s="320"/>
      <c r="E226" s="320"/>
      <c r="F226" s="320"/>
      <c r="G226" s="320"/>
      <c r="H226" s="320"/>
      <c r="I226" s="320"/>
      <c r="J226" s="320"/>
      <c r="K226" s="320"/>
      <c r="L226" s="320"/>
      <c r="M226" s="320"/>
      <c r="N226" s="320"/>
      <c r="O226" s="1877"/>
    </row>
    <row r="227" spans="1:15" s="350" customFormat="1" ht="11.25" customHeight="1">
      <c r="A227" s="319"/>
      <c r="B227" s="320"/>
      <c r="C227" s="320"/>
      <c r="D227" s="320"/>
      <c r="E227" s="320"/>
      <c r="F227" s="320"/>
      <c r="G227" s="320"/>
      <c r="H227" s="320"/>
      <c r="I227" s="320"/>
      <c r="J227" s="320"/>
      <c r="K227" s="320"/>
      <c r="L227" s="320"/>
      <c r="M227" s="320"/>
      <c r="N227" s="320"/>
      <c r="O227" s="1877"/>
    </row>
    <row r="228" spans="1:15" s="350" customFormat="1" ht="12.75" customHeight="1">
      <c r="A228" s="319"/>
      <c r="B228" s="320"/>
      <c r="C228" s="320"/>
      <c r="D228" s="320"/>
      <c r="E228" s="320"/>
      <c r="F228" s="320"/>
      <c r="G228" s="320"/>
      <c r="H228" s="320"/>
      <c r="I228" s="320"/>
      <c r="J228" s="320"/>
      <c r="K228" s="320"/>
      <c r="L228" s="320"/>
      <c r="M228" s="320"/>
      <c r="N228" s="320"/>
      <c r="O228" s="1877"/>
    </row>
    <row r="229" spans="1:15" s="1876" customFormat="1" ht="23.25" customHeight="1">
      <c r="A229" s="319"/>
      <c r="B229" s="320"/>
      <c r="C229" s="320"/>
      <c r="D229" s="320"/>
      <c r="E229" s="320"/>
      <c r="F229" s="320"/>
      <c r="G229" s="320"/>
      <c r="H229" s="320"/>
      <c r="I229" s="320"/>
      <c r="J229" s="320"/>
      <c r="K229" s="320"/>
      <c r="L229" s="320"/>
      <c r="M229" s="320"/>
      <c r="N229" s="320"/>
      <c r="O229" s="1877"/>
    </row>
    <row r="230" spans="1:15" s="350" customFormat="1" ht="11.25" customHeight="1">
      <c r="A230" s="319"/>
      <c r="B230" s="320"/>
      <c r="C230" s="320"/>
      <c r="D230" s="320"/>
      <c r="E230" s="320"/>
      <c r="F230" s="320"/>
      <c r="G230" s="320"/>
      <c r="H230" s="320"/>
      <c r="I230" s="320"/>
      <c r="J230" s="320"/>
      <c r="K230" s="320"/>
      <c r="L230" s="320"/>
      <c r="M230" s="320"/>
      <c r="N230" s="320"/>
      <c r="O230" s="1877"/>
    </row>
    <row r="231" spans="1:15" s="350" customFormat="1">
      <c r="A231" s="319"/>
      <c r="B231" s="320"/>
      <c r="C231" s="320"/>
      <c r="D231" s="320"/>
      <c r="E231" s="320"/>
      <c r="F231" s="320"/>
      <c r="G231" s="320"/>
      <c r="H231" s="320"/>
      <c r="I231" s="320"/>
      <c r="J231" s="320"/>
      <c r="K231" s="320"/>
      <c r="L231" s="320"/>
      <c r="M231" s="320"/>
      <c r="N231" s="320"/>
      <c r="O231" s="1877"/>
    </row>
    <row r="232" spans="1:15" s="350" customFormat="1">
      <c r="A232" s="319"/>
      <c r="B232" s="320"/>
      <c r="C232" s="320"/>
      <c r="D232" s="320"/>
      <c r="E232" s="320"/>
      <c r="F232" s="320"/>
      <c r="G232" s="320"/>
      <c r="H232" s="320"/>
      <c r="I232" s="320"/>
      <c r="J232" s="320"/>
      <c r="K232" s="320"/>
      <c r="L232" s="320"/>
      <c r="M232" s="320"/>
      <c r="N232" s="320"/>
      <c r="O232" s="1877"/>
    </row>
    <row r="233" spans="1:15" s="1876" customFormat="1" ht="23.25" customHeight="1">
      <c r="A233" s="319"/>
      <c r="B233" s="320"/>
      <c r="C233" s="320"/>
      <c r="D233" s="320"/>
      <c r="E233" s="320"/>
      <c r="F233" s="320"/>
      <c r="G233" s="320"/>
      <c r="H233" s="320"/>
      <c r="I233" s="320"/>
      <c r="J233" s="320"/>
      <c r="K233" s="320"/>
      <c r="L233" s="320"/>
      <c r="M233" s="320"/>
      <c r="N233" s="320"/>
      <c r="O233" s="1877"/>
    </row>
    <row r="234" spans="1:15" s="350" customFormat="1" ht="11.25" customHeight="1">
      <c r="A234" s="319"/>
      <c r="B234" s="320"/>
      <c r="C234" s="320"/>
      <c r="D234" s="320"/>
      <c r="E234" s="320"/>
      <c r="F234" s="320"/>
      <c r="G234" s="320"/>
      <c r="H234" s="320"/>
      <c r="I234" s="320"/>
      <c r="J234" s="320"/>
      <c r="K234" s="320"/>
      <c r="L234" s="320"/>
      <c r="M234" s="320"/>
      <c r="N234" s="320"/>
      <c r="O234" s="1877"/>
    </row>
    <row r="235" spans="1:15" s="350" customFormat="1">
      <c r="A235" s="319"/>
      <c r="B235" s="320"/>
      <c r="C235" s="320"/>
      <c r="D235" s="320"/>
      <c r="E235" s="320"/>
      <c r="F235" s="320"/>
      <c r="G235" s="320"/>
      <c r="H235" s="320"/>
      <c r="I235" s="320"/>
      <c r="J235" s="320"/>
      <c r="K235" s="320"/>
      <c r="L235" s="320"/>
      <c r="M235" s="320"/>
      <c r="N235" s="320"/>
      <c r="O235" s="1877"/>
    </row>
    <row r="236" spans="1:15">
      <c r="O236" s="1877"/>
    </row>
    <row r="237" spans="1:15">
      <c r="O237" s="1877"/>
    </row>
    <row r="238" spans="1:15">
      <c r="O238" s="1877"/>
    </row>
    <row r="239" spans="1:15">
      <c r="O239" s="1877"/>
    </row>
    <row r="240" spans="1:15">
      <c r="O240" s="1877"/>
    </row>
    <row r="241" spans="15:15">
      <c r="O241" s="1877"/>
    </row>
    <row r="242" spans="15:15">
      <c r="O242" s="1877"/>
    </row>
    <row r="457" spans="1:15" ht="13.5" thickBot="1"/>
    <row r="458" spans="1:15" ht="33.75">
      <c r="A458" s="392"/>
      <c r="B458" s="393" t="s">
        <v>69</v>
      </c>
      <c r="C458" s="393"/>
      <c r="D458" s="394"/>
      <c r="E458" s="394"/>
      <c r="F458" s="394"/>
      <c r="G458" s="394"/>
      <c r="H458" s="394"/>
      <c r="I458" s="394"/>
      <c r="J458" s="394"/>
      <c r="K458" s="394"/>
      <c r="L458" s="394"/>
      <c r="M458" s="394"/>
      <c r="N458" s="394"/>
      <c r="O458" s="395"/>
    </row>
    <row r="459" spans="1:15">
      <c r="A459" s="396"/>
      <c r="O459" s="397"/>
    </row>
    <row r="460" spans="1:15">
      <c r="A460" s="396"/>
      <c r="O460" s="397"/>
    </row>
    <row r="461" spans="1:15">
      <c r="A461" s="396"/>
      <c r="O461" s="397"/>
    </row>
    <row r="462" spans="1:15">
      <c r="A462" s="396"/>
      <c r="O462" s="397"/>
    </row>
    <row r="463" spans="1:15">
      <c r="A463" s="396"/>
      <c r="O463" s="397"/>
    </row>
    <row r="464" spans="1:15">
      <c r="A464" s="396"/>
      <c r="O464" s="397"/>
    </row>
    <row r="465" spans="1:15">
      <c r="A465" s="396"/>
      <c r="O465" s="397"/>
    </row>
    <row r="466" spans="1:15">
      <c r="A466" s="396"/>
      <c r="O466" s="397"/>
    </row>
    <row r="467" spans="1:15">
      <c r="A467" s="396"/>
      <c r="O467" s="397"/>
    </row>
    <row r="468" spans="1:15">
      <c r="A468" s="396"/>
      <c r="O468" s="397"/>
    </row>
    <row r="469" spans="1:15" ht="13.5" thickBot="1">
      <c r="A469" s="398"/>
      <c r="B469" s="399"/>
      <c r="C469" s="399"/>
      <c r="D469" s="399"/>
      <c r="E469" s="399"/>
      <c r="F469" s="399"/>
      <c r="G469" s="399"/>
      <c r="H469" s="399"/>
      <c r="I469" s="399"/>
      <c r="J469" s="399"/>
      <c r="K469" s="399"/>
      <c r="L469" s="399"/>
      <c r="M469" s="399"/>
      <c r="N469" s="399"/>
      <c r="O469" s="400"/>
    </row>
  </sheetData>
  <mergeCells count="37">
    <mergeCell ref="A5:E5"/>
    <mergeCell ref="C6:C8"/>
    <mergeCell ref="D6:D8"/>
    <mergeCell ref="E6:E8"/>
    <mergeCell ref="A60:O60"/>
    <mergeCell ref="A57:O57"/>
    <mergeCell ref="A59:I59"/>
    <mergeCell ref="A58:L58"/>
    <mergeCell ref="C49:C51"/>
    <mergeCell ref="A47:A51"/>
    <mergeCell ref="A52:A56"/>
    <mergeCell ref="O6:O8"/>
    <mergeCell ref="N6:N8"/>
    <mergeCell ref="N23:N28"/>
    <mergeCell ref="G6:L6"/>
    <mergeCell ref="K7:K8"/>
    <mergeCell ref="L7:L8"/>
    <mergeCell ref="M6:M8"/>
    <mergeCell ref="M23:M28"/>
    <mergeCell ref="F6:F8"/>
    <mergeCell ref="G7:G8"/>
    <mergeCell ref="H7:H8"/>
    <mergeCell ref="I7:I8"/>
    <mergeCell ref="J7:J8"/>
    <mergeCell ref="Q29:S39"/>
    <mergeCell ref="C31:C36"/>
    <mergeCell ref="C39:C41"/>
    <mergeCell ref="N38:N41"/>
    <mergeCell ref="A29:A41"/>
    <mergeCell ref="O29:O41"/>
    <mergeCell ref="M38:M41"/>
    <mergeCell ref="O52:O56"/>
    <mergeCell ref="C54:C56"/>
    <mergeCell ref="O47:O51"/>
    <mergeCell ref="A42:A46"/>
    <mergeCell ref="O42:O46"/>
    <mergeCell ref="C44:C46"/>
  </mergeCells>
  <printOptions horizontalCentered="1"/>
  <pageMargins left="7.874015748031496E-2" right="0.15748031496062992" top="0.51181102362204722" bottom="0.31496062992125984" header="0.15748031496062992" footer="0.15748031496062992"/>
  <pageSetup paperSize="9" scale="72" firstPageNumber="27" orientation="landscape" useFirstPageNumber="1" r:id="rId1"/>
  <headerFooter alignWithMargins="0">
    <oddHeader>&amp;C&amp;"Arial,Kursywa"Wieloletnia prognoza finansowa Województwa Zachodniopomorskiego
&amp;"Arial,Normalny"_________________________________________________________________________________________________________________________________</oddHeader>
    <oddFooter>&amp;C&amp;8&amp;P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DE194"/>
  <sheetViews>
    <sheetView showGridLines="0" view="pageBreakPreview" topLeftCell="C1" zoomScale="115" zoomScaleSheetLayoutView="115" workbookViewId="0">
      <pane ySplit="8" topLeftCell="A9" activePane="bottomLeft" state="frozen"/>
      <selection activeCell="L250" sqref="L250"/>
      <selection pane="bottomLeft" activeCell="J129" sqref="J129"/>
    </sheetView>
  </sheetViews>
  <sheetFormatPr defaultColWidth="9.140625" defaultRowHeight="11.25"/>
  <cols>
    <col min="1" max="1" width="2.85546875" style="2198" customWidth="1"/>
    <col min="2" max="2" width="56.28515625" style="2199" customWidth="1"/>
    <col min="3" max="3" width="10" style="2199" customWidth="1"/>
    <col min="4" max="4" width="14.140625" style="2199" customWidth="1"/>
    <col min="5" max="5" width="12" style="2199" customWidth="1"/>
    <col min="6" max="6" width="10.42578125" style="2199" customWidth="1"/>
    <col min="7" max="7" width="10.140625" style="2199" customWidth="1"/>
    <col min="8" max="8" width="9.28515625" style="2199" customWidth="1"/>
    <col min="9" max="12" width="9.5703125" style="2199" customWidth="1"/>
    <col min="13" max="13" width="10.5703125" style="2199" hidden="1" customWidth="1"/>
    <col min="14" max="14" width="11.28515625" style="2199" customWidth="1"/>
    <col min="15" max="15" width="15.7109375" style="2356" customWidth="1"/>
    <col min="16" max="18" width="0" style="2199" hidden="1" customWidth="1"/>
    <col min="19" max="16384" width="9.140625" style="2199"/>
  </cols>
  <sheetData>
    <row r="1" spans="1:15" ht="18" customHeight="1">
      <c r="H1" s="2200" t="s">
        <v>129</v>
      </c>
      <c r="I1" s="2200"/>
      <c r="J1" s="2200"/>
      <c r="K1" s="2200"/>
      <c r="L1" s="2200"/>
      <c r="M1" s="2201"/>
      <c r="N1" s="2201"/>
      <c r="O1" s="2202"/>
    </row>
    <row r="2" spans="1:15" ht="7.5" customHeight="1">
      <c r="I2" s="2201"/>
      <c r="J2" s="2201"/>
      <c r="K2" s="2201"/>
      <c r="L2" s="2201"/>
      <c r="M2" s="2201"/>
      <c r="N2" s="2201"/>
      <c r="O2" s="2202"/>
    </row>
    <row r="3" spans="1:15" ht="14.25" hidden="1" customHeight="1">
      <c r="F3" s="2203"/>
      <c r="G3" s="2203"/>
      <c r="H3" s="2203"/>
      <c r="I3" s="2201"/>
      <c r="J3" s="2201"/>
      <c r="K3" s="2201"/>
      <c r="L3" s="2201"/>
      <c r="M3" s="2201"/>
      <c r="N3" s="2201"/>
      <c r="O3" s="2202"/>
    </row>
    <row r="4" spans="1:15" ht="9" customHeight="1">
      <c r="F4" s="2203"/>
      <c r="G4" s="2203"/>
      <c r="H4" s="2203"/>
      <c r="I4" s="2201"/>
      <c r="J4" s="2201"/>
      <c r="K4" s="2201"/>
      <c r="L4" s="2201"/>
      <c r="M4" s="2201"/>
      <c r="N4" s="2201"/>
      <c r="O4" s="2202"/>
    </row>
    <row r="5" spans="1:15" ht="38.25" customHeight="1" thickBot="1">
      <c r="A5" s="3378" t="s">
        <v>130</v>
      </c>
      <c r="B5" s="3378"/>
      <c r="C5" s="3378"/>
      <c r="D5" s="3378"/>
      <c r="E5" s="3378"/>
      <c r="F5" s="3378"/>
      <c r="G5" s="3378"/>
      <c r="H5" s="3378"/>
      <c r="I5" s="3378"/>
      <c r="J5" s="3378"/>
      <c r="K5" s="3378"/>
      <c r="L5" s="3378"/>
      <c r="M5" s="3378"/>
      <c r="N5" s="3378"/>
      <c r="O5" s="3378"/>
    </row>
    <row r="6" spans="1:15" s="2870" customFormat="1" ht="33.75" customHeight="1">
      <c r="A6" s="2204"/>
      <c r="B6" s="3385" t="s">
        <v>75</v>
      </c>
      <c r="C6" s="3388" t="s">
        <v>71</v>
      </c>
      <c r="D6" s="3391" t="s">
        <v>131</v>
      </c>
      <c r="E6" s="3400" t="s">
        <v>477</v>
      </c>
      <c r="F6" s="3403" t="s">
        <v>533</v>
      </c>
      <c r="G6" s="3406" t="s">
        <v>474</v>
      </c>
      <c r="H6" s="3407"/>
      <c r="I6" s="3407"/>
      <c r="J6" s="3407"/>
      <c r="K6" s="3407"/>
      <c r="L6" s="3408"/>
      <c r="M6" s="3397" t="s">
        <v>495</v>
      </c>
      <c r="N6" s="3397" t="s">
        <v>475</v>
      </c>
      <c r="O6" s="3394" t="s">
        <v>73</v>
      </c>
    </row>
    <row r="7" spans="1:15" s="2870" customFormat="1" ht="25.5" customHeight="1">
      <c r="A7" s="2205" t="s">
        <v>74</v>
      </c>
      <c r="B7" s="3386"/>
      <c r="C7" s="3389"/>
      <c r="D7" s="3392"/>
      <c r="E7" s="3401"/>
      <c r="F7" s="3404"/>
      <c r="G7" s="3409" t="s">
        <v>6</v>
      </c>
      <c r="H7" s="3409" t="s">
        <v>207</v>
      </c>
      <c r="I7" s="3409" t="s">
        <v>209</v>
      </c>
      <c r="J7" s="3409" t="s">
        <v>254</v>
      </c>
      <c r="K7" s="3409" t="s">
        <v>255</v>
      </c>
      <c r="L7" s="3409" t="s">
        <v>253</v>
      </c>
      <c r="M7" s="3398"/>
      <c r="N7" s="3398"/>
      <c r="O7" s="3395"/>
    </row>
    <row r="8" spans="1:15" s="2870" customFormat="1" ht="20.25" customHeight="1" thickBot="1">
      <c r="A8" s="2205"/>
      <c r="B8" s="3387"/>
      <c r="C8" s="3390"/>
      <c r="D8" s="3393"/>
      <c r="E8" s="3402"/>
      <c r="F8" s="3405"/>
      <c r="G8" s="3410"/>
      <c r="H8" s="3410"/>
      <c r="I8" s="3410"/>
      <c r="J8" s="3410"/>
      <c r="K8" s="3410"/>
      <c r="L8" s="3410"/>
      <c r="M8" s="3399"/>
      <c r="N8" s="3399"/>
      <c r="O8" s="3396"/>
    </row>
    <row r="9" spans="1:15" s="2870" customFormat="1" ht="12.75" customHeight="1">
      <c r="A9" s="2380">
        <v>1</v>
      </c>
      <c r="B9" s="2381">
        <v>2</v>
      </c>
      <c r="C9" s="2382" t="s">
        <v>119</v>
      </c>
      <c r="D9" s="2382" t="s">
        <v>120</v>
      </c>
      <c r="E9" s="2382">
        <v>5</v>
      </c>
      <c r="F9" s="2382">
        <v>6</v>
      </c>
      <c r="G9" s="2382">
        <v>7</v>
      </c>
      <c r="H9" s="2382">
        <v>8</v>
      </c>
      <c r="I9" s="2382">
        <v>9</v>
      </c>
      <c r="J9" s="2382">
        <v>10</v>
      </c>
      <c r="K9" s="2382">
        <v>11</v>
      </c>
      <c r="L9" s="2382">
        <v>12</v>
      </c>
      <c r="M9" s="2384">
        <v>13</v>
      </c>
      <c r="N9" s="2384">
        <v>13</v>
      </c>
      <c r="O9" s="2383">
        <v>14</v>
      </c>
    </row>
    <row r="10" spans="1:15" s="2870" customFormat="1" ht="17.25" customHeight="1">
      <c r="A10" s="2206"/>
      <c r="B10" s="2207" t="s">
        <v>76</v>
      </c>
      <c r="C10" s="2208"/>
      <c r="D10" s="224">
        <f>+D11+D12</f>
        <v>1395504</v>
      </c>
      <c r="E10" s="224">
        <f t="shared" ref="E10" si="0">+E11+E12</f>
        <v>594690</v>
      </c>
      <c r="F10" s="224">
        <f t="shared" ref="F10:G10" si="1">+F11+F12</f>
        <v>181692</v>
      </c>
      <c r="G10" s="224">
        <f t="shared" si="1"/>
        <v>220962</v>
      </c>
      <c r="H10" s="224">
        <f t="shared" ref="H10:L10" si="2">+H11+H12</f>
        <v>199080</v>
      </c>
      <c r="I10" s="224">
        <f t="shared" si="2"/>
        <v>199080</v>
      </c>
      <c r="J10" s="224">
        <f t="shared" si="2"/>
        <v>0</v>
      </c>
      <c r="K10" s="224">
        <f t="shared" si="2"/>
        <v>0</v>
      </c>
      <c r="L10" s="224">
        <f t="shared" si="2"/>
        <v>0</v>
      </c>
      <c r="M10" s="152">
        <f>+M11+M12</f>
        <v>800814</v>
      </c>
      <c r="N10" s="152">
        <f>+N11+N12</f>
        <v>619122</v>
      </c>
      <c r="O10" s="2210"/>
    </row>
    <row r="11" spans="1:15" s="2870" customFormat="1" ht="13.5" customHeight="1">
      <c r="A11" s="2206"/>
      <c r="B11" s="2211" t="s">
        <v>77</v>
      </c>
      <c r="C11" s="2212"/>
      <c r="D11" s="216">
        <f>+D22+D33+D44+D51+D58+D65</f>
        <v>1395504</v>
      </c>
      <c r="E11" s="216">
        <f>+E22+E33+E44+E51+E58+E65</f>
        <v>594690</v>
      </c>
      <c r="F11" s="216">
        <f>+F22+F33+F44+F51+F58+F65</f>
        <v>181692</v>
      </c>
      <c r="G11" s="216">
        <f>+G22+G33+G44+G51+G58+G65</f>
        <v>220962</v>
      </c>
      <c r="H11" s="216">
        <f t="shared" ref="H11:L11" si="3">+H22+H33+H44+H51+H58+H65</f>
        <v>199080</v>
      </c>
      <c r="I11" s="216">
        <f t="shared" si="3"/>
        <v>199080</v>
      </c>
      <c r="J11" s="216">
        <f t="shared" si="3"/>
        <v>0</v>
      </c>
      <c r="K11" s="216">
        <f t="shared" si="3"/>
        <v>0</v>
      </c>
      <c r="L11" s="216">
        <f t="shared" si="3"/>
        <v>0</v>
      </c>
      <c r="M11" s="18">
        <f>SUM(F11:K11)</f>
        <v>800814</v>
      </c>
      <c r="N11" s="18">
        <f>SUM(G11:L11)</f>
        <v>619122</v>
      </c>
      <c r="O11" s="2210"/>
    </row>
    <row r="12" spans="1:15" s="2870" customFormat="1" ht="13.5" customHeight="1" thickBot="1">
      <c r="A12" s="2206"/>
      <c r="B12" s="2215" t="s">
        <v>9</v>
      </c>
      <c r="C12" s="2212"/>
      <c r="D12" s="216">
        <v>0</v>
      </c>
      <c r="E12" s="216">
        <v>0</v>
      </c>
      <c r="F12" s="216">
        <v>0</v>
      </c>
      <c r="G12" s="216">
        <v>0</v>
      </c>
      <c r="H12" s="216">
        <v>0</v>
      </c>
      <c r="I12" s="216">
        <v>0</v>
      </c>
      <c r="J12" s="216">
        <v>0</v>
      </c>
      <c r="K12" s="216">
        <v>0</v>
      </c>
      <c r="L12" s="216">
        <v>0</v>
      </c>
      <c r="M12" s="18">
        <f>SUM(E12:K12)</f>
        <v>0</v>
      </c>
      <c r="N12" s="18">
        <f>SUM(F12:L12)</f>
        <v>0</v>
      </c>
      <c r="O12" s="2210"/>
    </row>
    <row r="13" spans="1:15" ht="14.25" customHeight="1">
      <c r="A13" s="2216"/>
      <c r="B13" s="2217" t="s">
        <v>10</v>
      </c>
      <c r="C13" s="2218"/>
      <c r="D13" s="158">
        <f>+D14+D16</f>
        <v>1395504</v>
      </c>
      <c r="E13" s="158">
        <f t="shared" ref="E13" si="4">+E14+E16</f>
        <v>594690</v>
      </c>
      <c r="F13" s="158">
        <f t="shared" ref="F13" si="5">+F14+F16</f>
        <v>181692</v>
      </c>
      <c r="G13" s="158">
        <f t="shared" ref="G13:N13" si="6">+G14+G16</f>
        <v>220962</v>
      </c>
      <c r="H13" s="158">
        <f t="shared" si="6"/>
        <v>199080</v>
      </c>
      <c r="I13" s="158">
        <f t="shared" si="6"/>
        <v>199080</v>
      </c>
      <c r="J13" s="158">
        <f t="shared" si="6"/>
        <v>0</v>
      </c>
      <c r="K13" s="158">
        <f t="shared" si="6"/>
        <v>0</v>
      </c>
      <c r="L13" s="158">
        <f t="shared" si="6"/>
        <v>0</v>
      </c>
      <c r="M13" s="192">
        <f t="shared" ref="M13" si="7">+M14+M16</f>
        <v>800814</v>
      </c>
      <c r="N13" s="192">
        <f t="shared" si="6"/>
        <v>619122</v>
      </c>
      <c r="O13" s="2210"/>
    </row>
    <row r="14" spans="1:15" ht="14.25" customHeight="1">
      <c r="A14" s="2206"/>
      <c r="B14" s="2219" t="s">
        <v>11</v>
      </c>
      <c r="C14" s="2220"/>
      <c r="D14" s="2362">
        <f>+D15</f>
        <v>648035</v>
      </c>
      <c r="E14" s="2362">
        <f t="shared" ref="E14:L14" si="8">+E15</f>
        <v>274500</v>
      </c>
      <c r="F14" s="2362">
        <f t="shared" si="8"/>
        <v>74915</v>
      </c>
      <c r="G14" s="2362">
        <f t="shared" si="8"/>
        <v>99540</v>
      </c>
      <c r="H14" s="2362">
        <f t="shared" si="8"/>
        <v>99540</v>
      </c>
      <c r="I14" s="2362">
        <f t="shared" si="8"/>
        <v>99540</v>
      </c>
      <c r="J14" s="2362">
        <f t="shared" si="8"/>
        <v>0</v>
      </c>
      <c r="K14" s="2362">
        <f t="shared" si="8"/>
        <v>0</v>
      </c>
      <c r="L14" s="2362">
        <f t="shared" si="8"/>
        <v>0</v>
      </c>
      <c r="M14" s="2363">
        <f>+M15</f>
        <v>373535</v>
      </c>
      <c r="N14" s="2363">
        <f>+N15</f>
        <v>298620</v>
      </c>
      <c r="O14" s="2221"/>
    </row>
    <row r="15" spans="1:15" ht="13.5" customHeight="1">
      <c r="A15" s="2222"/>
      <c r="B15" s="2223" t="s">
        <v>12</v>
      </c>
      <c r="C15" s="2224"/>
      <c r="D15" s="2364">
        <f>+D24+D35</f>
        <v>648035</v>
      </c>
      <c r="E15" s="2364">
        <f t="shared" ref="E15" si="9">+E24+E35</f>
        <v>274500</v>
      </c>
      <c r="F15" s="2364">
        <f t="shared" ref="F15" si="10">+F24+F35</f>
        <v>74915</v>
      </c>
      <c r="G15" s="2364">
        <f t="shared" ref="G15:L15" si="11">+G24+G35</f>
        <v>99540</v>
      </c>
      <c r="H15" s="2364">
        <f t="shared" si="11"/>
        <v>99540</v>
      </c>
      <c r="I15" s="2364">
        <f t="shared" si="11"/>
        <v>99540</v>
      </c>
      <c r="J15" s="2364">
        <f t="shared" si="11"/>
        <v>0</v>
      </c>
      <c r="K15" s="2364">
        <f t="shared" si="11"/>
        <v>0</v>
      </c>
      <c r="L15" s="2364">
        <f t="shared" si="11"/>
        <v>0</v>
      </c>
      <c r="M15" s="2131">
        <f>+H15+G15+F15+I15+J15+K15</f>
        <v>373535</v>
      </c>
      <c r="N15" s="2131">
        <f>+I15+H15+G15+J15+K15+L15</f>
        <v>298620</v>
      </c>
      <c r="O15" s="2210"/>
    </row>
    <row r="16" spans="1:15" ht="14.25" customHeight="1">
      <c r="A16" s="2206"/>
      <c r="B16" s="2225" t="s">
        <v>18</v>
      </c>
      <c r="C16" s="2226"/>
      <c r="D16" s="166">
        <f>SUM(D17)</f>
        <v>747469</v>
      </c>
      <c r="E16" s="166">
        <f t="shared" ref="E16" si="12">SUM(E17)</f>
        <v>320190</v>
      </c>
      <c r="F16" s="166">
        <f t="shared" ref="F16:N16" si="13">SUM(F17)</f>
        <v>106777</v>
      </c>
      <c r="G16" s="2362">
        <f t="shared" si="13"/>
        <v>121422</v>
      </c>
      <c r="H16" s="2362">
        <f t="shared" si="13"/>
        <v>99540</v>
      </c>
      <c r="I16" s="2362">
        <f t="shared" si="13"/>
        <v>99540</v>
      </c>
      <c r="J16" s="2362">
        <f t="shared" si="13"/>
        <v>0</v>
      </c>
      <c r="K16" s="2362">
        <f t="shared" si="13"/>
        <v>0</v>
      </c>
      <c r="L16" s="2362">
        <f t="shared" si="13"/>
        <v>0</v>
      </c>
      <c r="M16" s="2363">
        <f t="shared" si="13"/>
        <v>427279</v>
      </c>
      <c r="N16" s="2363">
        <f t="shared" si="13"/>
        <v>320502</v>
      </c>
      <c r="O16" s="2221"/>
    </row>
    <row r="17" spans="1:16" ht="12" customHeight="1">
      <c r="A17" s="2227"/>
      <c r="B17" s="2228" t="s">
        <v>20</v>
      </c>
      <c r="C17" s="2229"/>
      <c r="D17" s="2364">
        <f>+D26+D37+D46+D53+D60+D67</f>
        <v>747469</v>
      </c>
      <c r="E17" s="2364">
        <f t="shared" ref="E17" si="14">+E26+E37+E46+E53+E60+E67</f>
        <v>320190</v>
      </c>
      <c r="F17" s="2364">
        <f t="shared" ref="F17:L17" si="15">+F26+F37+F46+F53+F60+F67</f>
        <v>106777</v>
      </c>
      <c r="G17" s="2364">
        <f t="shared" si="15"/>
        <v>121422</v>
      </c>
      <c r="H17" s="2364">
        <f t="shared" si="15"/>
        <v>99540</v>
      </c>
      <c r="I17" s="2364">
        <f t="shared" si="15"/>
        <v>99540</v>
      </c>
      <c r="J17" s="2364">
        <f t="shared" si="15"/>
        <v>0</v>
      </c>
      <c r="K17" s="2364">
        <f t="shared" si="15"/>
        <v>0</v>
      </c>
      <c r="L17" s="2364">
        <f t="shared" si="15"/>
        <v>0</v>
      </c>
      <c r="M17" s="2131">
        <f>+H17+G17+F17+I17+J17+K17</f>
        <v>427279</v>
      </c>
      <c r="N17" s="2131">
        <f>+I17+H17+G17+J17+K17+L17</f>
        <v>320502</v>
      </c>
      <c r="O17" s="2230"/>
    </row>
    <row r="18" spans="1:16" s="2234" customFormat="1" ht="14.25" customHeight="1">
      <c r="A18" s="2206"/>
      <c r="B18" s="2231" t="s">
        <v>22</v>
      </c>
      <c r="C18" s="2232"/>
      <c r="D18" s="421">
        <f>+D19</f>
        <v>747469</v>
      </c>
      <c r="E18" s="421">
        <f t="shared" ref="E18:J19" si="16">+E19</f>
        <v>292115</v>
      </c>
      <c r="F18" s="421">
        <f t="shared" si="16"/>
        <v>109775</v>
      </c>
      <c r="G18" s="2365">
        <f t="shared" si="16"/>
        <v>116637</v>
      </c>
      <c r="H18" s="2365">
        <f t="shared" si="16"/>
        <v>99540</v>
      </c>
      <c r="I18" s="2365">
        <f t="shared" si="16"/>
        <v>99540</v>
      </c>
      <c r="J18" s="2365">
        <f t="shared" si="16"/>
        <v>29862</v>
      </c>
      <c r="K18" s="2365">
        <f t="shared" ref="J18:L19" si="17">+K19</f>
        <v>0</v>
      </c>
      <c r="L18" s="2365">
        <f t="shared" si="17"/>
        <v>0</v>
      </c>
      <c r="M18" s="3341" t="s">
        <v>61</v>
      </c>
      <c r="N18" s="3341" t="s">
        <v>61</v>
      </c>
      <c r="O18" s="2233"/>
    </row>
    <row r="19" spans="1:16" s="2234" customFormat="1" ht="14.25" customHeight="1">
      <c r="A19" s="2206"/>
      <c r="B19" s="2225" t="s">
        <v>18</v>
      </c>
      <c r="C19" s="2226"/>
      <c r="D19" s="166">
        <f>+D20</f>
        <v>747469</v>
      </c>
      <c r="E19" s="166">
        <f t="shared" si="16"/>
        <v>292115</v>
      </c>
      <c r="F19" s="166">
        <f t="shared" si="16"/>
        <v>109775</v>
      </c>
      <c r="G19" s="2362">
        <f t="shared" si="16"/>
        <v>116637</v>
      </c>
      <c r="H19" s="2362">
        <f t="shared" si="16"/>
        <v>99540</v>
      </c>
      <c r="I19" s="2362">
        <f t="shared" si="16"/>
        <v>99540</v>
      </c>
      <c r="J19" s="2362">
        <f t="shared" si="17"/>
        <v>29862</v>
      </c>
      <c r="K19" s="2362">
        <f t="shared" si="17"/>
        <v>0</v>
      </c>
      <c r="L19" s="2362">
        <f t="shared" si="17"/>
        <v>0</v>
      </c>
      <c r="M19" s="3342"/>
      <c r="N19" s="3342"/>
      <c r="O19" s="2221"/>
    </row>
    <row r="20" spans="1:16" s="2234" customFormat="1" ht="12.75" customHeight="1" thickBot="1">
      <c r="A20" s="2235"/>
      <c r="B20" s="2236" t="s">
        <v>20</v>
      </c>
      <c r="C20" s="2237"/>
      <c r="D20" s="2366">
        <f>+D31+D42+D49+D56+D63+D70</f>
        <v>747469</v>
      </c>
      <c r="E20" s="2366">
        <f t="shared" ref="E20" si="18">+E31+E42+E49+E56+E63+E70</f>
        <v>292115</v>
      </c>
      <c r="F20" s="2366">
        <f t="shared" ref="F20:L20" si="19">+F31+F42+F49+F56+F63+F70</f>
        <v>109775</v>
      </c>
      <c r="G20" s="2366">
        <f t="shared" si="19"/>
        <v>116637</v>
      </c>
      <c r="H20" s="2366">
        <f t="shared" si="19"/>
        <v>99540</v>
      </c>
      <c r="I20" s="2366">
        <f t="shared" si="19"/>
        <v>99540</v>
      </c>
      <c r="J20" s="2366">
        <f t="shared" si="19"/>
        <v>29862</v>
      </c>
      <c r="K20" s="2366">
        <f t="shared" si="19"/>
        <v>0</v>
      </c>
      <c r="L20" s="2366">
        <f t="shared" si="19"/>
        <v>0</v>
      </c>
      <c r="M20" s="3343"/>
      <c r="N20" s="3343"/>
      <c r="O20" s="2238"/>
      <c r="P20" s="2234">
        <f>D20-D17</f>
        <v>0</v>
      </c>
    </row>
    <row r="21" spans="1:16" ht="39" hidden="1" customHeight="1">
      <c r="A21" s="3355" t="s">
        <v>63</v>
      </c>
      <c r="B21" s="2239" t="s">
        <v>234</v>
      </c>
      <c r="C21" s="2240" t="s">
        <v>109</v>
      </c>
      <c r="D21" s="2367"/>
      <c r="E21" s="2368"/>
      <c r="F21" s="2368"/>
      <c r="G21" s="2368"/>
      <c r="H21" s="2368"/>
      <c r="I21" s="2368"/>
      <c r="J21" s="2368"/>
      <c r="K21" s="2368"/>
      <c r="L21" s="2368"/>
      <c r="M21" s="2369"/>
      <c r="N21" s="2369"/>
      <c r="O21" s="3411"/>
    </row>
    <row r="22" spans="1:16" ht="15" hidden="1" customHeight="1">
      <c r="A22" s="3356"/>
      <c r="B22" s="2242" t="s">
        <v>10</v>
      </c>
      <c r="C22" s="2243"/>
      <c r="D22" s="1962"/>
      <c r="E22" s="1962">
        <f t="shared" ref="E22" si="20">+E23+E25</f>
        <v>0</v>
      </c>
      <c r="F22" s="1962">
        <f>+F23+F25</f>
        <v>0</v>
      </c>
      <c r="G22" s="1962">
        <f>+G23+G25</f>
        <v>0</v>
      </c>
      <c r="H22" s="1962">
        <f>+H23+H25</f>
        <v>0</v>
      </c>
      <c r="I22" s="1962">
        <f>+I23+I25</f>
        <v>0</v>
      </c>
      <c r="J22" s="1962"/>
      <c r="K22" s="1962"/>
      <c r="L22" s="1962"/>
      <c r="M22" s="2174">
        <f>M23+M25</f>
        <v>0</v>
      </c>
      <c r="N22" s="2174" t="e">
        <f>N23+N25</f>
        <v>#REF!</v>
      </c>
      <c r="O22" s="3412"/>
    </row>
    <row r="23" spans="1:16" ht="12.75" hidden="1" customHeight="1">
      <c r="A23" s="3356"/>
      <c r="B23" s="2244" t="s">
        <v>24</v>
      </c>
      <c r="C23" s="3373" t="s">
        <v>133</v>
      </c>
      <c r="D23" s="1951"/>
      <c r="E23" s="1951">
        <f t="shared" ref="E23:I23" si="21">+E24</f>
        <v>0</v>
      </c>
      <c r="F23" s="1951">
        <f t="shared" si="21"/>
        <v>0</v>
      </c>
      <c r="G23" s="1951">
        <f t="shared" si="21"/>
        <v>0</v>
      </c>
      <c r="H23" s="1951">
        <f t="shared" si="21"/>
        <v>0</v>
      </c>
      <c r="I23" s="1951">
        <f t="shared" si="21"/>
        <v>0</v>
      </c>
      <c r="J23" s="1951"/>
      <c r="K23" s="1951"/>
      <c r="L23" s="1951"/>
      <c r="M23" s="1953">
        <f>+M24</f>
        <v>0</v>
      </c>
      <c r="N23" s="1953" t="e">
        <f>+N24</f>
        <v>#REF!</v>
      </c>
      <c r="O23" s="3412"/>
    </row>
    <row r="24" spans="1:16" ht="12.75" hidden="1" customHeight="1">
      <c r="A24" s="3356"/>
      <c r="B24" s="2245" t="s">
        <v>12</v>
      </c>
      <c r="C24" s="3374"/>
      <c r="D24" s="1955"/>
      <c r="E24" s="1955">
        <v>0</v>
      </c>
      <c r="F24" s="175">
        <v>0</v>
      </c>
      <c r="G24" s="175">
        <v>0</v>
      </c>
      <c r="H24" s="175">
        <v>0</v>
      </c>
      <c r="I24" s="175">
        <v>0</v>
      </c>
      <c r="J24" s="175"/>
      <c r="K24" s="175"/>
      <c r="L24" s="175"/>
      <c r="M24" s="2370">
        <f>SUM(F24:K24)</f>
        <v>0</v>
      </c>
      <c r="N24" s="2370" t="e">
        <f>+#REF!+I24+H24+G24+F24+#REF!</f>
        <v>#REF!</v>
      </c>
      <c r="O24" s="3412"/>
    </row>
    <row r="25" spans="1:16" ht="12.75" hidden="1" customHeight="1">
      <c r="A25" s="3356"/>
      <c r="B25" s="2247" t="s">
        <v>18</v>
      </c>
      <c r="C25" s="3374"/>
      <c r="D25" s="1957"/>
      <c r="E25" s="1957">
        <f t="shared" ref="E25:I25" si="22">E26</f>
        <v>0</v>
      </c>
      <c r="F25" s="1957">
        <f t="shared" si="22"/>
        <v>0</v>
      </c>
      <c r="G25" s="1957">
        <f t="shared" si="22"/>
        <v>0</v>
      </c>
      <c r="H25" s="1957">
        <f t="shared" si="22"/>
        <v>0</v>
      </c>
      <c r="I25" s="1957">
        <f t="shared" si="22"/>
        <v>0</v>
      </c>
      <c r="J25" s="1957"/>
      <c r="K25" s="1957"/>
      <c r="L25" s="1957"/>
      <c r="M25" s="1953">
        <f>+M26</f>
        <v>0</v>
      </c>
      <c r="N25" s="1953" t="e">
        <f>+N26</f>
        <v>#REF!</v>
      </c>
      <c r="O25" s="3412"/>
    </row>
    <row r="26" spans="1:16" ht="12" hidden="1">
      <c r="A26" s="3356"/>
      <c r="B26" s="2248" t="s">
        <v>20</v>
      </c>
      <c r="C26" s="3359"/>
      <c r="D26" s="2371"/>
      <c r="E26" s="2372">
        <v>0</v>
      </c>
      <c r="F26" s="137">
        <v>0</v>
      </c>
      <c r="G26" s="137">
        <v>0</v>
      </c>
      <c r="H26" s="137">
        <v>0</v>
      </c>
      <c r="I26" s="137">
        <v>0</v>
      </c>
      <c r="J26" s="137"/>
      <c r="K26" s="137"/>
      <c r="L26" s="137"/>
      <c r="M26" s="2370">
        <f>SUM(F26:K26)</f>
        <v>0</v>
      </c>
      <c r="N26" s="2370" t="e">
        <f>+#REF!+I26+H26+G26+F26+#REF!</f>
        <v>#REF!</v>
      </c>
      <c r="O26" s="3412"/>
    </row>
    <row r="27" spans="1:16" ht="12.75" hidden="1" customHeight="1">
      <c r="A27" s="3372"/>
      <c r="B27" s="2242" t="s">
        <v>22</v>
      </c>
      <c r="C27" s="2249"/>
      <c r="D27" s="1962"/>
      <c r="E27" s="1962">
        <f t="shared" ref="E27" si="23">E28+E30</f>
        <v>0</v>
      </c>
      <c r="F27" s="1962">
        <f>F28+F30</f>
        <v>0</v>
      </c>
      <c r="G27" s="1999">
        <f>G28+G30</f>
        <v>0</v>
      </c>
      <c r="H27" s="1999">
        <f>H28+H30</f>
        <v>0</v>
      </c>
      <c r="I27" s="1999">
        <f>I28+I30</f>
        <v>0</v>
      </c>
      <c r="J27" s="2373"/>
      <c r="K27" s="2373"/>
      <c r="L27" s="2373"/>
      <c r="M27" s="3344" t="s">
        <v>61</v>
      </c>
      <c r="N27" s="3344" t="s">
        <v>61</v>
      </c>
      <c r="O27" s="3412"/>
    </row>
    <row r="28" spans="1:16" ht="12" hidden="1" customHeight="1">
      <c r="A28" s="3372"/>
      <c r="B28" s="2250" t="s">
        <v>24</v>
      </c>
      <c r="C28" s="3373" t="s">
        <v>133</v>
      </c>
      <c r="D28" s="1951"/>
      <c r="E28" s="1951"/>
      <c r="F28" s="1951">
        <f t="shared" ref="F28:I28" si="24">F29</f>
        <v>0</v>
      </c>
      <c r="G28" s="2000">
        <f t="shared" si="24"/>
        <v>0</v>
      </c>
      <c r="H28" s="2000">
        <f t="shared" si="24"/>
        <v>0</v>
      </c>
      <c r="I28" s="2000">
        <f t="shared" si="24"/>
        <v>0</v>
      </c>
      <c r="J28" s="2374"/>
      <c r="K28" s="2374"/>
      <c r="L28" s="2374"/>
      <c r="M28" s="3345"/>
      <c r="N28" s="3345"/>
      <c r="O28" s="3412"/>
    </row>
    <row r="29" spans="1:16" ht="12" hidden="1" customHeight="1">
      <c r="A29" s="3372"/>
      <c r="B29" s="2251" t="s">
        <v>13</v>
      </c>
      <c r="C29" s="3374"/>
      <c r="D29" s="1955"/>
      <c r="E29" s="1964"/>
      <c r="F29" s="1964">
        <v>0</v>
      </c>
      <c r="G29" s="1964">
        <v>0</v>
      </c>
      <c r="H29" s="1964">
        <v>0</v>
      </c>
      <c r="I29" s="1964">
        <v>0</v>
      </c>
      <c r="J29" s="231"/>
      <c r="K29" s="231"/>
      <c r="L29" s="231"/>
      <c r="M29" s="3345"/>
      <c r="N29" s="3345"/>
      <c r="O29" s="3412"/>
    </row>
    <row r="30" spans="1:16" ht="13.5" hidden="1" customHeight="1">
      <c r="A30" s="3372"/>
      <c r="B30" s="2253" t="s">
        <v>18</v>
      </c>
      <c r="C30" s="3374"/>
      <c r="D30" s="1957"/>
      <c r="E30" s="1957">
        <f t="shared" ref="E30:I30" si="25">E31</f>
        <v>0</v>
      </c>
      <c r="F30" s="1957">
        <f t="shared" si="25"/>
        <v>0</v>
      </c>
      <c r="G30" s="1983">
        <f t="shared" si="25"/>
        <v>0</v>
      </c>
      <c r="H30" s="1983">
        <f t="shared" si="25"/>
        <v>0</v>
      </c>
      <c r="I30" s="1983">
        <f t="shared" si="25"/>
        <v>0</v>
      </c>
      <c r="J30" s="726"/>
      <c r="K30" s="726"/>
      <c r="L30" s="726"/>
      <c r="M30" s="3345"/>
      <c r="N30" s="3345"/>
      <c r="O30" s="3412"/>
    </row>
    <row r="31" spans="1:16" ht="13.5" hidden="1" customHeight="1" thickBot="1">
      <c r="A31" s="3357"/>
      <c r="B31" s="2254" t="s">
        <v>20</v>
      </c>
      <c r="C31" s="3360"/>
      <c r="D31" s="2375"/>
      <c r="E31" s="2376">
        <v>0</v>
      </c>
      <c r="F31" s="2376">
        <v>0</v>
      </c>
      <c r="G31" s="2376">
        <v>0</v>
      </c>
      <c r="H31" s="2376">
        <v>0</v>
      </c>
      <c r="I31" s="2376">
        <v>0</v>
      </c>
      <c r="J31" s="115"/>
      <c r="K31" s="115"/>
      <c r="L31" s="115"/>
      <c r="M31" s="3346"/>
      <c r="N31" s="3346"/>
      <c r="O31" s="3413"/>
    </row>
    <row r="32" spans="1:16" ht="24.75" customHeight="1">
      <c r="A32" s="3355" t="s">
        <v>63</v>
      </c>
      <c r="B32" s="2239" t="s">
        <v>566</v>
      </c>
      <c r="C32" s="2240" t="s">
        <v>109</v>
      </c>
      <c r="D32" s="2367"/>
      <c r="E32" s="2368"/>
      <c r="F32" s="2368"/>
      <c r="G32" s="2368"/>
      <c r="H32" s="2368"/>
      <c r="I32" s="2368"/>
      <c r="J32" s="2368"/>
      <c r="K32" s="2368"/>
      <c r="L32" s="2368"/>
      <c r="M32" s="2369"/>
      <c r="N32" s="2369"/>
      <c r="O32" s="3411" t="s">
        <v>132</v>
      </c>
    </row>
    <row r="33" spans="1:15" ht="13.5" customHeight="1">
      <c r="A33" s="3356"/>
      <c r="B33" s="2242" t="s">
        <v>10</v>
      </c>
      <c r="C33" s="2243"/>
      <c r="D33" s="1962">
        <f>+D34+D36</f>
        <v>1343340</v>
      </c>
      <c r="E33" s="1962">
        <f t="shared" ref="E33" si="26">+E34+E36</f>
        <v>593887</v>
      </c>
      <c r="F33" s="1962">
        <f t="shared" ref="F33" si="27">+F34+F36</f>
        <v>152213</v>
      </c>
      <c r="G33" s="1962">
        <f t="shared" ref="G33:L33" si="28">+G34+G36</f>
        <v>199080</v>
      </c>
      <c r="H33" s="2930">
        <f t="shared" si="28"/>
        <v>199080</v>
      </c>
      <c r="I33" s="2930">
        <f t="shared" si="28"/>
        <v>199080</v>
      </c>
      <c r="J33" s="2930">
        <f t="shared" si="28"/>
        <v>0</v>
      </c>
      <c r="K33" s="2930">
        <f t="shared" si="28"/>
        <v>0</v>
      </c>
      <c r="L33" s="2930">
        <f t="shared" si="28"/>
        <v>0</v>
      </c>
      <c r="M33" s="2174">
        <f>M34+M36</f>
        <v>749453</v>
      </c>
      <c r="N33" s="2174">
        <f>N34+N36</f>
        <v>597240</v>
      </c>
      <c r="O33" s="3412"/>
    </row>
    <row r="34" spans="1:15" ht="11.25" customHeight="1">
      <c r="A34" s="3356"/>
      <c r="B34" s="2244" t="s">
        <v>24</v>
      </c>
      <c r="C34" s="3373" t="s">
        <v>133</v>
      </c>
      <c r="D34" s="1951">
        <f>+D35</f>
        <v>648035</v>
      </c>
      <c r="E34" s="1951">
        <f t="shared" ref="E34:L34" si="29">+E35</f>
        <v>274500</v>
      </c>
      <c r="F34" s="1951">
        <f t="shared" si="29"/>
        <v>74915</v>
      </c>
      <c r="G34" s="1951">
        <f t="shared" si="29"/>
        <v>99540</v>
      </c>
      <c r="H34" s="2931">
        <f t="shared" si="29"/>
        <v>99540</v>
      </c>
      <c r="I34" s="2931">
        <f t="shared" si="29"/>
        <v>99540</v>
      </c>
      <c r="J34" s="2931">
        <f t="shared" si="29"/>
        <v>0</v>
      </c>
      <c r="K34" s="2931">
        <f t="shared" si="29"/>
        <v>0</v>
      </c>
      <c r="L34" s="2931">
        <f t="shared" si="29"/>
        <v>0</v>
      </c>
      <c r="M34" s="1953">
        <f>+M35</f>
        <v>373535</v>
      </c>
      <c r="N34" s="1953">
        <f>+N35</f>
        <v>298620</v>
      </c>
      <c r="O34" s="3412"/>
    </row>
    <row r="35" spans="1:15" ht="13.5" customHeight="1">
      <c r="A35" s="3356"/>
      <c r="B35" s="2245" t="s">
        <v>12</v>
      </c>
      <c r="C35" s="3374"/>
      <c r="D35" s="1016">
        <f>E35+F35+G35+H35+I35+J35+K35+L35</f>
        <v>648035</v>
      </c>
      <c r="E35" s="2377">
        <f>274500</f>
        <v>274500</v>
      </c>
      <c r="F35" s="175">
        <f>69883+5032</f>
        <v>74915</v>
      </c>
      <c r="G35" s="175">
        <v>99540</v>
      </c>
      <c r="H35" s="2932">
        <v>99540</v>
      </c>
      <c r="I35" s="2932">
        <v>99540</v>
      </c>
      <c r="J35" s="2932">
        <v>0</v>
      </c>
      <c r="K35" s="2932">
        <v>0</v>
      </c>
      <c r="L35" s="2932">
        <v>0</v>
      </c>
      <c r="M35" s="2370">
        <f>SUM(F35:K35)</f>
        <v>373535</v>
      </c>
      <c r="N35" s="2370">
        <f>SUM(G35:L35)</f>
        <v>298620</v>
      </c>
      <c r="O35" s="3412"/>
    </row>
    <row r="36" spans="1:15" ht="13.5" customHeight="1">
      <c r="A36" s="3356"/>
      <c r="B36" s="2247" t="s">
        <v>18</v>
      </c>
      <c r="C36" s="3374"/>
      <c r="D36" s="1957">
        <f>+D37</f>
        <v>695305</v>
      </c>
      <c r="E36" s="1957">
        <f t="shared" ref="E36:L36" si="30">E37</f>
        <v>319387</v>
      </c>
      <c r="F36" s="1957">
        <f t="shared" si="30"/>
        <v>77298</v>
      </c>
      <c r="G36" s="1957">
        <f t="shared" si="30"/>
        <v>99540</v>
      </c>
      <c r="H36" s="2933">
        <f t="shared" si="30"/>
        <v>99540</v>
      </c>
      <c r="I36" s="2933">
        <f t="shared" si="30"/>
        <v>99540</v>
      </c>
      <c r="J36" s="2933">
        <f t="shared" si="30"/>
        <v>0</v>
      </c>
      <c r="K36" s="2933">
        <f t="shared" si="30"/>
        <v>0</v>
      </c>
      <c r="L36" s="2933">
        <f t="shared" si="30"/>
        <v>0</v>
      </c>
      <c r="M36" s="1953">
        <f>+M37</f>
        <v>375918</v>
      </c>
      <c r="N36" s="1953">
        <f>+N37</f>
        <v>298620</v>
      </c>
      <c r="O36" s="3412"/>
    </row>
    <row r="37" spans="1:15" ht="12">
      <c r="A37" s="3356"/>
      <c r="B37" s="2248" t="s">
        <v>20</v>
      </c>
      <c r="C37" s="3359"/>
      <c r="D37" s="1016">
        <f>E37+F37+G37+H37+I37+J37+K37+L37</f>
        <v>695305</v>
      </c>
      <c r="E37" s="2377">
        <f>319387</f>
        <v>319387</v>
      </c>
      <c r="F37" s="137">
        <f>75707+1591</f>
        <v>77298</v>
      </c>
      <c r="G37" s="137">
        <v>99540</v>
      </c>
      <c r="H37" s="2934">
        <v>99540</v>
      </c>
      <c r="I37" s="2934">
        <v>99540</v>
      </c>
      <c r="J37" s="2934">
        <v>0</v>
      </c>
      <c r="K37" s="2934">
        <v>0</v>
      </c>
      <c r="L37" s="2934">
        <v>0</v>
      </c>
      <c r="M37" s="2370">
        <f>SUM(F37:K37)</f>
        <v>375918</v>
      </c>
      <c r="N37" s="2370">
        <f>SUM(G37:L37)</f>
        <v>298620</v>
      </c>
      <c r="O37" s="3412"/>
    </row>
    <row r="38" spans="1:15" ht="13.5" customHeight="1">
      <c r="A38" s="3372"/>
      <c r="B38" s="2242" t="s">
        <v>22</v>
      </c>
      <c r="C38" s="2249"/>
      <c r="D38" s="1962">
        <f>+D41</f>
        <v>695305</v>
      </c>
      <c r="E38" s="1962">
        <f t="shared" ref="E38" si="31">E39+E41</f>
        <v>291312</v>
      </c>
      <c r="F38" s="1962">
        <f t="shared" ref="F38:L38" si="32">F39+F41</f>
        <v>80296</v>
      </c>
      <c r="G38" s="1962">
        <f t="shared" si="32"/>
        <v>94755</v>
      </c>
      <c r="H38" s="2930">
        <f t="shared" si="32"/>
        <v>99540</v>
      </c>
      <c r="I38" s="2930">
        <f t="shared" si="32"/>
        <v>99540</v>
      </c>
      <c r="J38" s="2930">
        <f t="shared" si="32"/>
        <v>29862</v>
      </c>
      <c r="K38" s="2930">
        <f t="shared" si="32"/>
        <v>0</v>
      </c>
      <c r="L38" s="2930">
        <f t="shared" si="32"/>
        <v>0</v>
      </c>
      <c r="M38" s="3344" t="s">
        <v>61</v>
      </c>
      <c r="N38" s="3344" t="s">
        <v>61</v>
      </c>
      <c r="O38" s="3412"/>
    </row>
    <row r="39" spans="1:15" ht="12" hidden="1" customHeight="1">
      <c r="A39" s="3372"/>
      <c r="B39" s="2250" t="s">
        <v>24</v>
      </c>
      <c r="C39" s="3373" t="s">
        <v>133</v>
      </c>
      <c r="D39" s="1951">
        <f t="shared" ref="D39:G39" si="33">D40</f>
        <v>0</v>
      </c>
      <c r="E39" s="1951">
        <f t="shared" si="33"/>
        <v>0</v>
      </c>
      <c r="F39" s="1951">
        <f t="shared" si="33"/>
        <v>0</v>
      </c>
      <c r="G39" s="1951">
        <f t="shared" si="33"/>
        <v>0</v>
      </c>
      <c r="H39" s="2931"/>
      <c r="I39" s="2931"/>
      <c r="J39" s="2931"/>
      <c r="K39" s="2931"/>
      <c r="L39" s="2931"/>
      <c r="M39" s="3345"/>
      <c r="N39" s="3345"/>
      <c r="O39" s="3412"/>
    </row>
    <row r="40" spans="1:15" ht="12" hidden="1" customHeight="1">
      <c r="A40" s="3372"/>
      <c r="B40" s="2251" t="s">
        <v>13</v>
      </c>
      <c r="C40" s="3374"/>
      <c r="D40" s="1016">
        <f>E40+F40+G40+H40+I40+J40+K40+L40</f>
        <v>0</v>
      </c>
      <c r="E40" s="1964"/>
      <c r="F40" s="1964">
        <v>0</v>
      </c>
      <c r="G40" s="175">
        <v>0</v>
      </c>
      <c r="H40" s="2932"/>
      <c r="I40" s="2932"/>
      <c r="J40" s="2932"/>
      <c r="K40" s="2932"/>
      <c r="L40" s="2932"/>
      <c r="M40" s="3345"/>
      <c r="N40" s="3345"/>
      <c r="O40" s="3412"/>
    </row>
    <row r="41" spans="1:15" ht="13.5" customHeight="1">
      <c r="A41" s="3372"/>
      <c r="B41" s="2253" t="s">
        <v>18</v>
      </c>
      <c r="C41" s="3374"/>
      <c r="D41" s="1957">
        <f>+D42</f>
        <v>695305</v>
      </c>
      <c r="E41" s="1957">
        <f t="shared" ref="E41:L41" si="34">E42</f>
        <v>291312</v>
      </c>
      <c r="F41" s="1957">
        <f t="shared" si="34"/>
        <v>80296</v>
      </c>
      <c r="G41" s="1957">
        <f t="shared" si="34"/>
        <v>94755</v>
      </c>
      <c r="H41" s="2933">
        <f t="shared" si="34"/>
        <v>99540</v>
      </c>
      <c r="I41" s="2933">
        <f t="shared" si="34"/>
        <v>99540</v>
      </c>
      <c r="J41" s="2933">
        <f t="shared" si="34"/>
        <v>29862</v>
      </c>
      <c r="K41" s="2933">
        <f t="shared" si="34"/>
        <v>0</v>
      </c>
      <c r="L41" s="2933">
        <f t="shared" si="34"/>
        <v>0</v>
      </c>
      <c r="M41" s="3345"/>
      <c r="N41" s="3345"/>
      <c r="O41" s="3412"/>
    </row>
    <row r="42" spans="1:15" ht="12.75" customHeight="1" thickBot="1">
      <c r="A42" s="3357"/>
      <c r="B42" s="2254" t="s">
        <v>20</v>
      </c>
      <c r="C42" s="3360"/>
      <c r="D42" s="1016">
        <f>E42+F42+G42+H42+I42+J42+K42+L42</f>
        <v>695305</v>
      </c>
      <c r="E42" s="2377">
        <f>291312</f>
        <v>291312</v>
      </c>
      <c r="F42" s="2376">
        <f>79186+1110</f>
        <v>80296</v>
      </c>
      <c r="G42" s="2376">
        <f>24105-909+1881+69678</f>
        <v>94755</v>
      </c>
      <c r="H42" s="2935">
        <v>99540</v>
      </c>
      <c r="I42" s="2935">
        <v>99540</v>
      </c>
      <c r="J42" s="2935">
        <v>29862</v>
      </c>
      <c r="K42" s="2935">
        <v>0</v>
      </c>
      <c r="L42" s="2935">
        <v>0</v>
      </c>
      <c r="M42" s="3346"/>
      <c r="N42" s="3346"/>
      <c r="O42" s="3413"/>
    </row>
    <row r="43" spans="1:15" ht="36" hidden="1" customHeight="1">
      <c r="A43" s="3355" t="s">
        <v>64</v>
      </c>
      <c r="B43" s="2239" t="s">
        <v>298</v>
      </c>
      <c r="C43" s="2240" t="s">
        <v>109</v>
      </c>
      <c r="D43" s="2367"/>
      <c r="E43" s="2368"/>
      <c r="F43" s="2368"/>
      <c r="G43" s="2368"/>
      <c r="H43" s="2368"/>
      <c r="I43" s="2368"/>
      <c r="J43" s="2368"/>
      <c r="K43" s="2368"/>
      <c r="L43" s="2368"/>
      <c r="M43" s="2369"/>
      <c r="N43" s="2369"/>
      <c r="O43" s="3350" t="s">
        <v>134</v>
      </c>
    </row>
    <row r="44" spans="1:15" ht="15" hidden="1" customHeight="1">
      <c r="A44" s="3356"/>
      <c r="B44" s="2242" t="s">
        <v>10</v>
      </c>
      <c r="C44" s="2243"/>
      <c r="D44" s="1962"/>
      <c r="E44" s="1962">
        <v>0</v>
      </c>
      <c r="F44" s="1962">
        <f t="shared" ref="F44:J45" si="35">F45</f>
        <v>0</v>
      </c>
      <c r="G44" s="1962">
        <f t="shared" ref="G44:L44" si="36">+G45+G47</f>
        <v>0</v>
      </c>
      <c r="H44" s="1962">
        <f t="shared" si="36"/>
        <v>0</v>
      </c>
      <c r="I44" s="1962">
        <f t="shared" si="36"/>
        <v>0</v>
      </c>
      <c r="J44" s="1962">
        <f t="shared" si="36"/>
        <v>0</v>
      </c>
      <c r="K44" s="1962">
        <f t="shared" si="36"/>
        <v>0</v>
      </c>
      <c r="L44" s="1962">
        <f t="shared" si="36"/>
        <v>0</v>
      </c>
      <c r="M44" s="2174">
        <f>M45</f>
        <v>0</v>
      </c>
      <c r="N44" s="2174" t="e">
        <f>N45</f>
        <v>#REF!</v>
      </c>
      <c r="O44" s="3351"/>
    </row>
    <row r="45" spans="1:15" ht="12" hidden="1">
      <c r="A45" s="3356"/>
      <c r="B45" s="2255" t="s">
        <v>18</v>
      </c>
      <c r="C45" s="3358" t="s">
        <v>135</v>
      </c>
      <c r="D45" s="1957"/>
      <c r="E45" s="1957">
        <v>0</v>
      </c>
      <c r="F45" s="1957">
        <f t="shared" si="35"/>
        <v>0</v>
      </c>
      <c r="G45" s="1957">
        <f t="shared" si="35"/>
        <v>0</v>
      </c>
      <c r="H45" s="1957">
        <f t="shared" si="35"/>
        <v>0</v>
      </c>
      <c r="I45" s="1957">
        <f t="shared" si="35"/>
        <v>0</v>
      </c>
      <c r="J45" s="1957">
        <f t="shared" si="35"/>
        <v>0</v>
      </c>
      <c r="K45" s="1957">
        <f>K46</f>
        <v>0</v>
      </c>
      <c r="L45" s="1957">
        <f>L46</f>
        <v>0</v>
      </c>
      <c r="M45" s="1953">
        <f>+M46</f>
        <v>0</v>
      </c>
      <c r="N45" s="1953" t="e">
        <f>+N46</f>
        <v>#REF!</v>
      </c>
      <c r="O45" s="3351"/>
    </row>
    <row r="46" spans="1:15" ht="12" hidden="1">
      <c r="A46" s="3356"/>
      <c r="B46" s="2256" t="s">
        <v>20</v>
      </c>
      <c r="C46" s="3359"/>
      <c r="D46" s="1955"/>
      <c r="E46" s="1955">
        <v>0</v>
      </c>
      <c r="F46" s="137">
        <v>0</v>
      </c>
      <c r="G46" s="137">
        <v>0</v>
      </c>
      <c r="H46" s="137">
        <v>0</v>
      </c>
      <c r="I46" s="137">
        <v>0</v>
      </c>
      <c r="J46" s="137">
        <v>0</v>
      </c>
      <c r="K46" s="137">
        <v>0</v>
      </c>
      <c r="L46" s="137">
        <v>0</v>
      </c>
      <c r="M46" s="2370">
        <f>SUM(F46:K46)</f>
        <v>0</v>
      </c>
      <c r="N46" s="2370" t="e">
        <f>+I46+H46+G46+F46+#REF!</f>
        <v>#REF!</v>
      </c>
      <c r="O46" s="3351"/>
    </row>
    <row r="47" spans="1:15" ht="15" hidden="1" customHeight="1">
      <c r="A47" s="3356"/>
      <c r="B47" s="2257" t="s">
        <v>22</v>
      </c>
      <c r="C47" s="2258"/>
      <c r="D47" s="1962"/>
      <c r="E47" s="1962">
        <v>0</v>
      </c>
      <c r="F47" s="1962">
        <f t="shared" ref="F47:L47" si="37">F48+F72</f>
        <v>0</v>
      </c>
      <c r="G47" s="1962">
        <f t="shared" si="37"/>
        <v>0</v>
      </c>
      <c r="H47" s="1962">
        <f t="shared" si="37"/>
        <v>0</v>
      </c>
      <c r="I47" s="1962">
        <f t="shared" si="37"/>
        <v>0</v>
      </c>
      <c r="J47" s="1962">
        <f t="shared" si="37"/>
        <v>0</v>
      </c>
      <c r="K47" s="1962">
        <f t="shared" si="37"/>
        <v>0</v>
      </c>
      <c r="L47" s="1962">
        <f t="shared" si="37"/>
        <v>0</v>
      </c>
      <c r="M47" s="3344" t="s">
        <v>61</v>
      </c>
      <c r="N47" s="3344" t="s">
        <v>61</v>
      </c>
      <c r="O47" s="3351"/>
    </row>
    <row r="48" spans="1:15" ht="12" hidden="1">
      <c r="A48" s="3356"/>
      <c r="B48" s="2255" t="s">
        <v>18</v>
      </c>
      <c r="C48" s="3358" t="s">
        <v>135</v>
      </c>
      <c r="D48" s="1957"/>
      <c r="E48" s="1957">
        <v>0</v>
      </c>
      <c r="F48" s="1957">
        <f t="shared" ref="F48:L48" si="38">F49</f>
        <v>0</v>
      </c>
      <c r="G48" s="1957">
        <f t="shared" si="38"/>
        <v>0</v>
      </c>
      <c r="H48" s="1957">
        <f t="shared" si="38"/>
        <v>0</v>
      </c>
      <c r="I48" s="1957">
        <f t="shared" si="38"/>
        <v>0</v>
      </c>
      <c r="J48" s="1957">
        <f t="shared" si="38"/>
        <v>0</v>
      </c>
      <c r="K48" s="1957">
        <f t="shared" si="38"/>
        <v>0</v>
      </c>
      <c r="L48" s="1957">
        <f t="shared" si="38"/>
        <v>0</v>
      </c>
      <c r="M48" s="3345"/>
      <c r="N48" s="3345"/>
      <c r="O48" s="3351"/>
    </row>
    <row r="49" spans="1:15" ht="12.75" hidden="1" thickBot="1">
      <c r="A49" s="3357"/>
      <c r="B49" s="2259" t="s">
        <v>20</v>
      </c>
      <c r="C49" s="3360"/>
      <c r="D49" s="1955"/>
      <c r="E49" s="1955">
        <v>0</v>
      </c>
      <c r="F49" s="2376">
        <v>0</v>
      </c>
      <c r="G49" s="2376">
        <v>0</v>
      </c>
      <c r="H49" s="2376">
        <v>0</v>
      </c>
      <c r="I49" s="2376">
        <v>0</v>
      </c>
      <c r="J49" s="2376">
        <v>0</v>
      </c>
      <c r="K49" s="2376">
        <v>0</v>
      </c>
      <c r="L49" s="2376">
        <v>0</v>
      </c>
      <c r="M49" s="3346"/>
      <c r="N49" s="3346"/>
      <c r="O49" s="3352"/>
    </row>
    <row r="50" spans="1:15" ht="42.75" hidden="1" customHeight="1">
      <c r="A50" s="3355" t="s">
        <v>64</v>
      </c>
      <c r="B50" s="2239" t="s">
        <v>567</v>
      </c>
      <c r="C50" s="2240" t="s">
        <v>109</v>
      </c>
      <c r="D50" s="2367"/>
      <c r="E50" s="2368"/>
      <c r="F50" s="2368"/>
      <c r="G50" s="2368"/>
      <c r="H50" s="2368"/>
      <c r="I50" s="2368"/>
      <c r="J50" s="2368"/>
      <c r="K50" s="2368"/>
      <c r="L50" s="2368"/>
      <c r="M50" s="2369"/>
      <c r="N50" s="2369"/>
      <c r="O50" s="3350" t="s">
        <v>134</v>
      </c>
    </row>
    <row r="51" spans="1:15" ht="15" hidden="1" customHeight="1">
      <c r="A51" s="3356"/>
      <c r="B51" s="2242" t="s">
        <v>10</v>
      </c>
      <c r="C51" s="2243"/>
      <c r="D51" s="1962">
        <f>D52</f>
        <v>0</v>
      </c>
      <c r="E51" s="1962">
        <f t="shared" ref="E51:J52" si="39">E52</f>
        <v>0</v>
      </c>
      <c r="F51" s="1962">
        <f t="shared" si="39"/>
        <v>0</v>
      </c>
      <c r="G51" s="1962">
        <f t="shared" ref="G51:L51" si="40">+G52+G54</f>
        <v>0</v>
      </c>
      <c r="H51" s="1962">
        <f t="shared" si="40"/>
        <v>0</v>
      </c>
      <c r="I51" s="1962">
        <f t="shared" si="40"/>
        <v>0</v>
      </c>
      <c r="J51" s="1962">
        <f t="shared" si="40"/>
        <v>0</v>
      </c>
      <c r="K51" s="1962">
        <f t="shared" si="40"/>
        <v>0</v>
      </c>
      <c r="L51" s="1962">
        <f t="shared" si="40"/>
        <v>0</v>
      </c>
      <c r="M51" s="2174">
        <f>M52</f>
        <v>0</v>
      </c>
      <c r="N51" s="2174">
        <f>N52</f>
        <v>0</v>
      </c>
      <c r="O51" s="3351"/>
    </row>
    <row r="52" spans="1:15" ht="12" hidden="1">
      <c r="A52" s="3356"/>
      <c r="B52" s="2255" t="s">
        <v>18</v>
      </c>
      <c r="C52" s="3358" t="s">
        <v>135</v>
      </c>
      <c r="D52" s="1957">
        <f>+D53</f>
        <v>0</v>
      </c>
      <c r="E52" s="1957">
        <f t="shared" si="39"/>
        <v>0</v>
      </c>
      <c r="F52" s="1957">
        <f t="shared" si="39"/>
        <v>0</v>
      </c>
      <c r="G52" s="1957">
        <f t="shared" si="39"/>
        <v>0</v>
      </c>
      <c r="H52" s="1957">
        <f t="shared" si="39"/>
        <v>0</v>
      </c>
      <c r="I52" s="1957">
        <f t="shared" si="39"/>
        <v>0</v>
      </c>
      <c r="J52" s="1957">
        <f t="shared" si="39"/>
        <v>0</v>
      </c>
      <c r="K52" s="1957">
        <f>K53</f>
        <v>0</v>
      </c>
      <c r="L52" s="1957">
        <f>L53</f>
        <v>0</v>
      </c>
      <c r="M52" s="1953">
        <f>+M53</f>
        <v>0</v>
      </c>
      <c r="N52" s="1953">
        <f>+N53</f>
        <v>0</v>
      </c>
      <c r="O52" s="3351"/>
    </row>
    <row r="53" spans="1:15" ht="12" hidden="1">
      <c r="A53" s="3356"/>
      <c r="B53" s="2256" t="s">
        <v>20</v>
      </c>
      <c r="C53" s="3359"/>
      <c r="D53" s="1016">
        <v>0</v>
      </c>
      <c r="E53" s="2377">
        <v>0</v>
      </c>
      <c r="F53" s="137">
        <v>0</v>
      </c>
      <c r="G53" s="137">
        <v>0</v>
      </c>
      <c r="H53" s="137">
        <v>0</v>
      </c>
      <c r="I53" s="137">
        <v>0</v>
      </c>
      <c r="J53" s="137">
        <v>0</v>
      </c>
      <c r="K53" s="137">
        <v>0</v>
      </c>
      <c r="L53" s="137">
        <v>0</v>
      </c>
      <c r="M53" s="2370">
        <f>SUM(F53:K53)</f>
        <v>0</v>
      </c>
      <c r="N53" s="2370">
        <f>SUM(G53:L53)</f>
        <v>0</v>
      </c>
      <c r="O53" s="3351"/>
    </row>
    <row r="54" spans="1:15" ht="15" hidden="1" customHeight="1">
      <c r="A54" s="3356"/>
      <c r="B54" s="2257" t="s">
        <v>22</v>
      </c>
      <c r="C54" s="2258"/>
      <c r="D54" s="1962">
        <f>+D55</f>
        <v>0</v>
      </c>
      <c r="E54" s="1962">
        <f t="shared" ref="E54" si="41">+E55</f>
        <v>0</v>
      </c>
      <c r="F54" s="1962">
        <f t="shared" ref="F54:I54" si="42">F55</f>
        <v>0</v>
      </c>
      <c r="G54" s="1962">
        <f t="shared" si="42"/>
        <v>0</v>
      </c>
      <c r="H54" s="1962">
        <f t="shared" si="42"/>
        <v>0</v>
      </c>
      <c r="I54" s="1962">
        <f t="shared" si="42"/>
        <v>0</v>
      </c>
      <c r="J54" s="1962"/>
      <c r="K54" s="1962"/>
      <c r="L54" s="1962"/>
      <c r="M54" s="3344" t="s">
        <v>61</v>
      </c>
      <c r="N54" s="3344" t="s">
        <v>61</v>
      </c>
      <c r="O54" s="3351"/>
    </row>
    <row r="55" spans="1:15" ht="12" hidden="1">
      <c r="A55" s="3356"/>
      <c r="B55" s="2255" t="s">
        <v>18</v>
      </c>
      <c r="C55" s="3358" t="s">
        <v>135</v>
      </c>
      <c r="D55" s="1957">
        <f>+D56</f>
        <v>0</v>
      </c>
      <c r="E55" s="1957">
        <f t="shared" ref="E55:L55" si="43">E56</f>
        <v>0</v>
      </c>
      <c r="F55" s="1957">
        <f t="shared" si="43"/>
        <v>0</v>
      </c>
      <c r="G55" s="1957">
        <f t="shared" si="43"/>
        <v>0</v>
      </c>
      <c r="H55" s="1957">
        <f t="shared" si="43"/>
        <v>0</v>
      </c>
      <c r="I55" s="1957">
        <f t="shared" si="43"/>
        <v>0</v>
      </c>
      <c r="J55" s="1957">
        <f t="shared" si="43"/>
        <v>0</v>
      </c>
      <c r="K55" s="1957">
        <f t="shared" si="43"/>
        <v>0</v>
      </c>
      <c r="L55" s="1957">
        <f t="shared" si="43"/>
        <v>0</v>
      </c>
      <c r="M55" s="3345"/>
      <c r="N55" s="3345"/>
      <c r="O55" s="3351"/>
    </row>
    <row r="56" spans="1:15" ht="12.75" hidden="1" thickBot="1">
      <c r="A56" s="3357"/>
      <c r="B56" s="2259" t="s">
        <v>20</v>
      </c>
      <c r="C56" s="3360"/>
      <c r="D56" s="1016">
        <f>E56+F56+G56+H56+I56+J56+K56+L56</f>
        <v>0</v>
      </c>
      <c r="E56" s="2377">
        <v>0</v>
      </c>
      <c r="F56" s="2376">
        <v>0</v>
      </c>
      <c r="G56" s="2376">
        <v>0</v>
      </c>
      <c r="H56" s="2376">
        <v>0</v>
      </c>
      <c r="I56" s="2376">
        <v>0</v>
      </c>
      <c r="J56" s="2376">
        <v>0</v>
      </c>
      <c r="K56" s="2376">
        <v>0</v>
      </c>
      <c r="L56" s="2376">
        <v>0</v>
      </c>
      <c r="M56" s="3346"/>
      <c r="N56" s="3346"/>
      <c r="O56" s="3352"/>
    </row>
    <row r="57" spans="1:15" ht="26.25" hidden="1" customHeight="1">
      <c r="A57" s="3355" t="s">
        <v>65</v>
      </c>
      <c r="B57" s="2239" t="s">
        <v>354</v>
      </c>
      <c r="C57" s="2240" t="s">
        <v>109</v>
      </c>
      <c r="D57" s="2367"/>
      <c r="E57" s="2368"/>
      <c r="F57" s="2368"/>
      <c r="G57" s="2368"/>
      <c r="H57" s="2368"/>
      <c r="I57" s="2368"/>
      <c r="J57" s="2368"/>
      <c r="K57" s="2368"/>
      <c r="L57" s="2368"/>
      <c r="M57" s="2369"/>
      <c r="N57" s="2369"/>
      <c r="O57" s="3350" t="s">
        <v>261</v>
      </c>
    </row>
    <row r="58" spans="1:15" ht="15" hidden="1" customHeight="1">
      <c r="A58" s="3356"/>
      <c r="B58" s="2242" t="s">
        <v>10</v>
      </c>
      <c r="C58" s="2243"/>
      <c r="D58" s="1962"/>
      <c r="E58" s="1962">
        <v>0</v>
      </c>
      <c r="F58" s="1962">
        <f t="shared" ref="F58:J59" si="44">F59</f>
        <v>0</v>
      </c>
      <c r="G58" s="1962">
        <f t="shared" ref="G58:L58" si="45">+G59+G61</f>
        <v>0</v>
      </c>
      <c r="H58" s="1962">
        <f t="shared" si="45"/>
        <v>0</v>
      </c>
      <c r="I58" s="1962">
        <f t="shared" si="45"/>
        <v>0</v>
      </c>
      <c r="J58" s="1962">
        <f t="shared" si="45"/>
        <v>0</v>
      </c>
      <c r="K58" s="1962">
        <f t="shared" si="45"/>
        <v>0</v>
      </c>
      <c r="L58" s="1962">
        <f t="shared" si="45"/>
        <v>0</v>
      </c>
      <c r="M58" s="2174">
        <f>M59</f>
        <v>0</v>
      </c>
      <c r="N58" s="2174">
        <f>N59</f>
        <v>0</v>
      </c>
      <c r="O58" s="3351"/>
    </row>
    <row r="59" spans="1:15" ht="12.75" hidden="1" thickBot="1">
      <c r="A59" s="3356"/>
      <c r="B59" s="2255" t="s">
        <v>18</v>
      </c>
      <c r="C59" s="3358" t="s">
        <v>262</v>
      </c>
      <c r="D59" s="1957"/>
      <c r="E59" s="1957">
        <v>0</v>
      </c>
      <c r="F59" s="1957">
        <f t="shared" si="44"/>
        <v>0</v>
      </c>
      <c r="G59" s="1957">
        <f t="shared" si="44"/>
        <v>0</v>
      </c>
      <c r="H59" s="1957">
        <f t="shared" si="44"/>
        <v>0</v>
      </c>
      <c r="I59" s="1957">
        <f t="shared" si="44"/>
        <v>0</v>
      </c>
      <c r="J59" s="1957">
        <f t="shared" si="44"/>
        <v>0</v>
      </c>
      <c r="K59" s="1957">
        <f>K60</f>
        <v>0</v>
      </c>
      <c r="L59" s="1957">
        <f>L60</f>
        <v>0</v>
      </c>
      <c r="M59" s="1953">
        <f>+M60</f>
        <v>0</v>
      </c>
      <c r="N59" s="1953">
        <f>+N60</f>
        <v>0</v>
      </c>
      <c r="O59" s="3351"/>
    </row>
    <row r="60" spans="1:15" ht="12.75" hidden="1" thickBot="1">
      <c r="A60" s="3356"/>
      <c r="B60" s="2256" t="s">
        <v>20</v>
      </c>
      <c r="C60" s="3359"/>
      <c r="D60" s="2378"/>
      <c r="E60" s="2377">
        <v>0</v>
      </c>
      <c r="F60" s="137">
        <v>0</v>
      </c>
      <c r="G60" s="137">
        <v>0</v>
      </c>
      <c r="H60" s="137">
        <v>0</v>
      </c>
      <c r="I60" s="137">
        <v>0</v>
      </c>
      <c r="J60" s="137">
        <v>0</v>
      </c>
      <c r="K60" s="137">
        <v>0</v>
      </c>
      <c r="L60" s="137">
        <v>0</v>
      </c>
      <c r="M60" s="2370">
        <f>SUM(E60:K60)</f>
        <v>0</v>
      </c>
      <c r="N60" s="2370">
        <f>SUM(F60:L60)</f>
        <v>0</v>
      </c>
      <c r="O60" s="3351"/>
    </row>
    <row r="61" spans="1:15" ht="15" hidden="1" customHeight="1">
      <c r="A61" s="3356"/>
      <c r="B61" s="2257" t="s">
        <v>22</v>
      </c>
      <c r="C61" s="2258"/>
      <c r="D61" s="2379"/>
      <c r="E61" s="1962">
        <v>0</v>
      </c>
      <c r="F61" s="1962">
        <f t="shared" ref="F61:L61" si="46">F62+F86</f>
        <v>0</v>
      </c>
      <c r="G61" s="1962">
        <f t="shared" si="46"/>
        <v>0</v>
      </c>
      <c r="H61" s="1962">
        <f t="shared" si="46"/>
        <v>0</v>
      </c>
      <c r="I61" s="1962">
        <f t="shared" si="46"/>
        <v>0</v>
      </c>
      <c r="J61" s="1962">
        <f t="shared" si="46"/>
        <v>0</v>
      </c>
      <c r="K61" s="1962">
        <f t="shared" si="46"/>
        <v>0</v>
      </c>
      <c r="L61" s="1962">
        <f t="shared" si="46"/>
        <v>0</v>
      </c>
      <c r="M61" s="3344" t="s">
        <v>61</v>
      </c>
      <c r="N61" s="3344" t="s">
        <v>61</v>
      </c>
      <c r="O61" s="3351"/>
    </row>
    <row r="62" spans="1:15" ht="12.75" hidden="1" thickBot="1">
      <c r="A62" s="3356"/>
      <c r="B62" s="2255" t="s">
        <v>18</v>
      </c>
      <c r="C62" s="3358" t="s">
        <v>262</v>
      </c>
      <c r="D62" s="1957"/>
      <c r="E62" s="1957">
        <v>0</v>
      </c>
      <c r="F62" s="1957">
        <f t="shared" ref="F62:L62" si="47">F63</f>
        <v>0</v>
      </c>
      <c r="G62" s="1957">
        <f t="shared" si="47"/>
        <v>0</v>
      </c>
      <c r="H62" s="1957">
        <f t="shared" si="47"/>
        <v>0</v>
      </c>
      <c r="I62" s="1957">
        <f t="shared" si="47"/>
        <v>0</v>
      </c>
      <c r="J62" s="1957">
        <f t="shared" si="47"/>
        <v>0</v>
      </c>
      <c r="K62" s="1957">
        <f t="shared" si="47"/>
        <v>0</v>
      </c>
      <c r="L62" s="1957">
        <f t="shared" si="47"/>
        <v>0</v>
      </c>
      <c r="M62" s="3345"/>
      <c r="N62" s="3345"/>
      <c r="O62" s="3351"/>
    </row>
    <row r="63" spans="1:15" ht="12.75" hidden="1" thickBot="1">
      <c r="A63" s="3357"/>
      <c r="B63" s="2259" t="s">
        <v>20</v>
      </c>
      <c r="C63" s="3360"/>
      <c r="D63" s="2378"/>
      <c r="E63" s="2377">
        <v>0</v>
      </c>
      <c r="F63" s="2376">
        <v>0</v>
      </c>
      <c r="G63" s="2376">
        <v>0</v>
      </c>
      <c r="H63" s="2376">
        <v>0</v>
      </c>
      <c r="I63" s="2376">
        <v>0</v>
      </c>
      <c r="J63" s="2376">
        <v>0</v>
      </c>
      <c r="K63" s="2376">
        <v>0</v>
      </c>
      <c r="L63" s="2376">
        <v>0</v>
      </c>
      <c r="M63" s="3346"/>
      <c r="N63" s="3346"/>
      <c r="O63" s="3352"/>
    </row>
    <row r="64" spans="1:15" ht="26.25" customHeight="1">
      <c r="A64" s="3355" t="s">
        <v>64</v>
      </c>
      <c r="B64" s="2239" t="s">
        <v>525</v>
      </c>
      <c r="C64" s="2240" t="s">
        <v>109</v>
      </c>
      <c r="D64" s="2367"/>
      <c r="E64" s="2368"/>
      <c r="F64" s="2368"/>
      <c r="G64" s="2368"/>
      <c r="H64" s="2368"/>
      <c r="I64" s="2368"/>
      <c r="J64" s="2368"/>
      <c r="K64" s="2368"/>
      <c r="L64" s="2368"/>
      <c r="M64" s="2369"/>
      <c r="N64" s="2369"/>
      <c r="O64" s="3350" t="s">
        <v>132</v>
      </c>
    </row>
    <row r="65" spans="1:109" ht="15" customHeight="1">
      <c r="A65" s="3356"/>
      <c r="B65" s="2242" t="s">
        <v>10</v>
      </c>
      <c r="C65" s="2243"/>
      <c r="D65" s="1962">
        <f>+D66</f>
        <v>52164</v>
      </c>
      <c r="E65" s="1962">
        <f t="shared" ref="E65:E66" si="48">+E66</f>
        <v>803</v>
      </c>
      <c r="F65" s="1962">
        <f>+F66</f>
        <v>29479</v>
      </c>
      <c r="G65" s="1962">
        <f>+G66</f>
        <v>21882</v>
      </c>
      <c r="H65" s="1962"/>
      <c r="I65" s="1962"/>
      <c r="J65" s="1962"/>
      <c r="K65" s="1962"/>
      <c r="L65" s="1962"/>
      <c r="M65" s="2174">
        <f>+M66</f>
        <v>51361</v>
      </c>
      <c r="N65" s="2174">
        <f>+N66</f>
        <v>21882</v>
      </c>
      <c r="O65" s="3351"/>
    </row>
    <row r="66" spans="1:109" ht="12">
      <c r="A66" s="3356"/>
      <c r="B66" s="2255" t="s">
        <v>18</v>
      </c>
      <c r="C66" s="3358" t="s">
        <v>133</v>
      </c>
      <c r="D66" s="1957">
        <f>+D67</f>
        <v>52164</v>
      </c>
      <c r="E66" s="1957">
        <f t="shared" si="48"/>
        <v>803</v>
      </c>
      <c r="F66" s="1957">
        <f>+F67</f>
        <v>29479</v>
      </c>
      <c r="G66" s="1957">
        <f>+G67</f>
        <v>21882</v>
      </c>
      <c r="H66" s="1957"/>
      <c r="I66" s="1957"/>
      <c r="J66" s="1957"/>
      <c r="K66" s="1957"/>
      <c r="L66" s="1957"/>
      <c r="M66" s="1953">
        <f>+M67</f>
        <v>51361</v>
      </c>
      <c r="N66" s="1953">
        <f>+N67</f>
        <v>21882</v>
      </c>
      <c r="O66" s="3351"/>
    </row>
    <row r="67" spans="1:109" ht="12">
      <c r="A67" s="3356"/>
      <c r="B67" s="2256" t="s">
        <v>20</v>
      </c>
      <c r="C67" s="3359"/>
      <c r="D67" s="1984">
        <f>E67+F67+G67+H67+I67+J67+K67+L67</f>
        <v>52164</v>
      </c>
      <c r="E67" s="2377">
        <f>803</f>
        <v>803</v>
      </c>
      <c r="F67" s="137">
        <f>4200+3397+21882</f>
        <v>29479</v>
      </c>
      <c r="G67" s="137">
        <v>21882</v>
      </c>
      <c r="H67" s="137"/>
      <c r="I67" s="137"/>
      <c r="J67" s="137"/>
      <c r="K67" s="137"/>
      <c r="L67" s="137"/>
      <c r="M67" s="2370">
        <f>SUM(F67:K67)</f>
        <v>51361</v>
      </c>
      <c r="N67" s="2370">
        <f>SUM(G67:L67)</f>
        <v>21882</v>
      </c>
      <c r="O67" s="3351"/>
    </row>
    <row r="68" spans="1:109" ht="15" customHeight="1">
      <c r="A68" s="3356"/>
      <c r="B68" s="2257" t="s">
        <v>22</v>
      </c>
      <c r="C68" s="2258"/>
      <c r="D68" s="2379">
        <f>+D69</f>
        <v>52164</v>
      </c>
      <c r="E68" s="2379">
        <f t="shared" ref="E68:E69" si="49">+E69</f>
        <v>803</v>
      </c>
      <c r="F68" s="1962">
        <f>+F69</f>
        <v>29479</v>
      </c>
      <c r="G68" s="1962">
        <f>+G69</f>
        <v>21882</v>
      </c>
      <c r="H68" s="1962"/>
      <c r="I68" s="1962"/>
      <c r="J68" s="1962"/>
      <c r="K68" s="1962"/>
      <c r="L68" s="1962"/>
      <c r="M68" s="3344"/>
      <c r="N68" s="3344"/>
      <c r="O68" s="3351"/>
    </row>
    <row r="69" spans="1:109" ht="12">
      <c r="A69" s="3356"/>
      <c r="B69" s="2255" t="s">
        <v>18</v>
      </c>
      <c r="C69" s="3358" t="s">
        <v>133</v>
      </c>
      <c r="D69" s="1957">
        <f>+D70</f>
        <v>52164</v>
      </c>
      <c r="E69" s="1957">
        <f t="shared" si="49"/>
        <v>803</v>
      </c>
      <c r="F69" s="1957">
        <f>+F70</f>
        <v>29479</v>
      </c>
      <c r="G69" s="1957">
        <f>+G70</f>
        <v>21882</v>
      </c>
      <c r="H69" s="1957"/>
      <c r="I69" s="1957"/>
      <c r="J69" s="1957"/>
      <c r="K69" s="1957"/>
      <c r="L69" s="1957"/>
      <c r="M69" s="3345"/>
      <c r="N69" s="3345"/>
      <c r="O69" s="3351"/>
    </row>
    <row r="70" spans="1:109" ht="12.75" thickBot="1">
      <c r="A70" s="3357"/>
      <c r="B70" s="2259" t="s">
        <v>20</v>
      </c>
      <c r="C70" s="3360"/>
      <c r="D70" s="2195">
        <f>E70+F70+G70+H70+I70+J70+K70+L70</f>
        <v>52164</v>
      </c>
      <c r="E70" s="2418">
        <f>803</f>
        <v>803</v>
      </c>
      <c r="F70" s="2376">
        <f>4200+3397+21882</f>
        <v>29479</v>
      </c>
      <c r="G70" s="2376">
        <v>21882</v>
      </c>
      <c r="H70" s="2376"/>
      <c r="I70" s="2376"/>
      <c r="J70" s="2376"/>
      <c r="K70" s="2376"/>
      <c r="L70" s="2376"/>
      <c r="M70" s="3346"/>
      <c r="N70" s="3346"/>
      <c r="O70" s="3352"/>
    </row>
    <row r="71" spans="1:109" ht="9" customHeight="1">
      <c r="A71" s="2261"/>
      <c r="B71" s="2262"/>
      <c r="C71" s="2263"/>
      <c r="D71" s="2264"/>
      <c r="E71" s="2265"/>
      <c r="F71" s="2265"/>
      <c r="G71" s="2265"/>
      <c r="H71" s="2265"/>
      <c r="I71" s="2266"/>
      <c r="J71" s="2266"/>
      <c r="K71" s="2266"/>
      <c r="L71" s="2266"/>
      <c r="M71" s="2267"/>
      <c r="N71" s="2267"/>
      <c r="O71" s="2263"/>
    </row>
    <row r="72" spans="1:109" s="2271" customFormat="1" ht="26.25" hidden="1" customHeight="1" thickBot="1">
      <c r="A72" s="3378" t="s">
        <v>136</v>
      </c>
      <c r="B72" s="3378"/>
      <c r="C72" s="3378"/>
      <c r="D72" s="3378"/>
      <c r="E72" s="3378"/>
      <c r="F72" s="3378"/>
      <c r="G72" s="3378"/>
      <c r="H72" s="3378"/>
      <c r="I72" s="3378"/>
      <c r="J72" s="3378"/>
      <c r="K72" s="3378"/>
      <c r="L72" s="3378"/>
      <c r="M72" s="2268"/>
      <c r="N72" s="2268"/>
      <c r="O72" s="2269"/>
      <c r="P72" s="2270"/>
      <c r="Q72" s="2270"/>
      <c r="R72" s="2270"/>
      <c r="S72" s="2270"/>
      <c r="T72" s="2270"/>
      <c r="U72" s="2270"/>
      <c r="V72" s="2270"/>
      <c r="W72" s="2270"/>
      <c r="X72" s="2270"/>
      <c r="Y72" s="2270"/>
      <c r="Z72" s="2270"/>
      <c r="AA72" s="2270"/>
      <c r="AB72" s="2270"/>
      <c r="AC72" s="2270"/>
      <c r="AD72" s="2270"/>
      <c r="AE72" s="2270"/>
      <c r="AF72" s="2270"/>
      <c r="AG72" s="2270"/>
      <c r="AH72" s="2270"/>
      <c r="AI72" s="2270"/>
      <c r="AJ72" s="2270"/>
      <c r="AK72" s="2270"/>
      <c r="AL72" s="2270"/>
      <c r="AM72" s="2270"/>
      <c r="AN72" s="2270"/>
      <c r="AO72" s="2270"/>
      <c r="AP72" s="2270"/>
      <c r="AQ72" s="2270"/>
      <c r="AR72" s="2270"/>
      <c r="AS72" s="2270"/>
      <c r="AT72" s="2270"/>
      <c r="AU72" s="2270"/>
      <c r="AV72" s="2270"/>
      <c r="AW72" s="2270"/>
      <c r="AX72" s="2270"/>
      <c r="AY72" s="2270"/>
      <c r="AZ72" s="2270"/>
      <c r="BA72" s="2270"/>
      <c r="BB72" s="2270"/>
      <c r="BC72" s="2270"/>
      <c r="BD72" s="2270"/>
      <c r="BE72" s="2270"/>
      <c r="BF72" s="2270"/>
      <c r="BG72" s="2270"/>
      <c r="BH72" s="2270"/>
      <c r="BI72" s="2270"/>
      <c r="BJ72" s="2270"/>
      <c r="BK72" s="2270"/>
      <c r="BL72" s="2270"/>
      <c r="BM72" s="2270"/>
      <c r="BN72" s="2270"/>
      <c r="BO72" s="2270"/>
      <c r="BP72" s="2270"/>
      <c r="BQ72" s="2270"/>
      <c r="BR72" s="2270"/>
      <c r="BS72" s="2270"/>
      <c r="BT72" s="2270"/>
      <c r="BU72" s="2270"/>
      <c r="BV72" s="2270"/>
      <c r="BW72" s="2270"/>
      <c r="BX72" s="2270"/>
      <c r="BY72" s="2270"/>
      <c r="BZ72" s="2270"/>
      <c r="CA72" s="2270"/>
      <c r="CB72" s="2270"/>
      <c r="CC72" s="2270"/>
      <c r="CD72" s="2270"/>
      <c r="CE72" s="2270"/>
      <c r="CF72" s="2270"/>
      <c r="CG72" s="2270"/>
      <c r="CH72" s="2270"/>
      <c r="CI72" s="2270"/>
      <c r="CJ72" s="2270"/>
      <c r="CK72" s="2270"/>
      <c r="CL72" s="2270"/>
      <c r="CM72" s="2270"/>
      <c r="CN72" s="2270"/>
      <c r="CO72" s="2270"/>
      <c r="CP72" s="2270"/>
      <c r="CQ72" s="2270"/>
      <c r="CR72" s="2270"/>
      <c r="CS72" s="2270"/>
      <c r="CT72" s="2270"/>
      <c r="CU72" s="2270"/>
      <c r="CV72" s="2270"/>
      <c r="CW72" s="2270"/>
      <c r="CX72" s="2270"/>
      <c r="CY72" s="2270"/>
      <c r="CZ72" s="2270"/>
      <c r="DA72" s="2270"/>
      <c r="DB72" s="2270"/>
      <c r="DC72" s="2270"/>
      <c r="DD72" s="2270"/>
      <c r="DE72" s="2270"/>
    </row>
    <row r="73" spans="1:109" s="2870" customFormat="1" ht="14.25" hidden="1" customHeight="1">
      <c r="A73" s="2227"/>
      <c r="B73" s="2272" t="s">
        <v>76</v>
      </c>
      <c r="C73" s="2273"/>
      <c r="D73" s="2274">
        <f>+D74+D75</f>
        <v>0</v>
      </c>
      <c r="E73" s="2274">
        <f t="shared" ref="E73:L73" si="50">+E74+E75</f>
        <v>0</v>
      </c>
      <c r="F73" s="2274">
        <f t="shared" si="50"/>
        <v>0</v>
      </c>
      <c r="G73" s="2274">
        <f t="shared" si="50"/>
        <v>0</v>
      </c>
      <c r="H73" s="2274">
        <f t="shared" si="50"/>
        <v>0</v>
      </c>
      <c r="I73" s="2274">
        <f t="shared" si="50"/>
        <v>0</v>
      </c>
      <c r="J73" s="2274">
        <f t="shared" si="50"/>
        <v>0</v>
      </c>
      <c r="K73" s="2274">
        <f t="shared" si="50"/>
        <v>0</v>
      </c>
      <c r="L73" s="2274">
        <f t="shared" si="50"/>
        <v>0</v>
      </c>
      <c r="M73" s="2209">
        <f>+M74+M75</f>
        <v>0</v>
      </c>
      <c r="N73" s="2209">
        <f>+N74+N75</f>
        <v>0</v>
      </c>
      <c r="O73" s="3370"/>
    </row>
    <row r="74" spans="1:109" s="2870" customFormat="1" ht="13.5" hidden="1" customHeight="1">
      <c r="A74" s="2227"/>
      <c r="B74" s="2211" t="s">
        <v>77</v>
      </c>
      <c r="C74" s="2212"/>
      <c r="D74" s="2213">
        <v>0</v>
      </c>
      <c r="E74" s="2213">
        <v>0</v>
      </c>
      <c r="F74" s="2213">
        <v>0</v>
      </c>
      <c r="G74" s="2213">
        <v>0</v>
      </c>
      <c r="H74" s="2213">
        <v>0</v>
      </c>
      <c r="I74" s="2213">
        <v>0</v>
      </c>
      <c r="J74" s="2213">
        <v>0</v>
      </c>
      <c r="K74" s="2213">
        <v>0</v>
      </c>
      <c r="L74" s="2213">
        <v>0</v>
      </c>
      <c r="M74" s="2214">
        <f>SUM(E74:G74)</f>
        <v>0</v>
      </c>
      <c r="N74" s="2214">
        <f>SUM(F74:H74)</f>
        <v>0</v>
      </c>
      <c r="O74" s="3371"/>
    </row>
    <row r="75" spans="1:109" s="2870" customFormat="1" ht="13.5" hidden="1" customHeight="1" thickBot="1">
      <c r="A75" s="2227"/>
      <c r="B75" s="2275" t="s">
        <v>9</v>
      </c>
      <c r="C75" s="2276"/>
      <c r="D75" s="2277">
        <f>+D92+D96+D101+D113</f>
        <v>0</v>
      </c>
      <c r="E75" s="2277">
        <f t="shared" ref="E75:F75" si="51">+E92+E96+E101+E113</f>
        <v>0</v>
      </c>
      <c r="F75" s="2277">
        <f t="shared" si="51"/>
        <v>0</v>
      </c>
      <c r="G75" s="2277">
        <f t="shared" ref="G75:L75" si="52">+G92+G96+G101+G113</f>
        <v>0</v>
      </c>
      <c r="H75" s="2277">
        <f t="shared" si="52"/>
        <v>0</v>
      </c>
      <c r="I75" s="2277">
        <f t="shared" si="52"/>
        <v>0</v>
      </c>
      <c r="J75" s="2277">
        <f t="shared" si="52"/>
        <v>0</v>
      </c>
      <c r="K75" s="2277">
        <f t="shared" si="52"/>
        <v>0</v>
      </c>
      <c r="L75" s="2277">
        <f t="shared" si="52"/>
        <v>0</v>
      </c>
      <c r="M75" s="2214">
        <f>SUM(E75:G75)</f>
        <v>0</v>
      </c>
      <c r="N75" s="2214">
        <f>SUM(F75:H75)</f>
        <v>0</v>
      </c>
      <c r="O75" s="3371"/>
    </row>
    <row r="76" spans="1:109" s="2271" customFormat="1" ht="13.5" hidden="1" customHeight="1">
      <c r="A76" s="2227"/>
      <c r="B76" s="2278" t="s">
        <v>10</v>
      </c>
      <c r="C76" s="2279"/>
      <c r="D76" s="2280">
        <f>D77+D81</f>
        <v>0</v>
      </c>
      <c r="E76" s="2280">
        <f>+E77+E81</f>
        <v>0</v>
      </c>
      <c r="F76" s="2280">
        <f t="shared" ref="F76:L76" si="53">+F77+F81</f>
        <v>0</v>
      </c>
      <c r="G76" s="2280">
        <f t="shared" si="53"/>
        <v>0</v>
      </c>
      <c r="H76" s="2280">
        <f t="shared" si="53"/>
        <v>0</v>
      </c>
      <c r="I76" s="2280">
        <f t="shared" si="53"/>
        <v>0</v>
      </c>
      <c r="J76" s="2280">
        <f t="shared" si="53"/>
        <v>0</v>
      </c>
      <c r="K76" s="2280">
        <f t="shared" si="53"/>
        <v>0</v>
      </c>
      <c r="L76" s="2280">
        <f t="shared" si="53"/>
        <v>0</v>
      </c>
      <c r="M76" s="2281" t="e">
        <f>+M77</f>
        <v>#REF!</v>
      </c>
      <c r="N76" s="2281" t="e">
        <f>+N77</f>
        <v>#REF!</v>
      </c>
      <c r="O76" s="3370"/>
      <c r="P76" s="2270"/>
      <c r="Q76" s="2270"/>
      <c r="R76" s="2270"/>
      <c r="S76" s="2270"/>
      <c r="T76" s="2270"/>
      <c r="U76" s="2270"/>
      <c r="V76" s="2270"/>
      <c r="W76" s="2270"/>
      <c r="X76" s="2270"/>
      <c r="Y76" s="2270"/>
      <c r="Z76" s="2270"/>
      <c r="AA76" s="2270"/>
      <c r="AB76" s="2270"/>
      <c r="AC76" s="2270"/>
      <c r="AD76" s="2270"/>
      <c r="AE76" s="2270"/>
      <c r="AF76" s="2270"/>
      <c r="AG76" s="2270"/>
      <c r="AH76" s="2270"/>
      <c r="AI76" s="2270"/>
      <c r="AJ76" s="2270"/>
      <c r="AK76" s="2270"/>
      <c r="AL76" s="2270"/>
      <c r="AM76" s="2270"/>
      <c r="AN76" s="2270"/>
      <c r="AO76" s="2270"/>
      <c r="AP76" s="2270"/>
      <c r="AQ76" s="2270"/>
      <c r="AR76" s="2270"/>
      <c r="AS76" s="2270"/>
      <c r="AT76" s="2270"/>
      <c r="AU76" s="2270"/>
      <c r="AV76" s="2270"/>
      <c r="AW76" s="2270"/>
      <c r="AX76" s="2270"/>
      <c r="AY76" s="2270"/>
      <c r="AZ76" s="2270"/>
      <c r="BA76" s="2270"/>
      <c r="BB76" s="2270"/>
      <c r="BC76" s="2270"/>
      <c r="BD76" s="2270"/>
      <c r="BE76" s="2270"/>
      <c r="BF76" s="2270"/>
      <c r="BG76" s="2270"/>
      <c r="BH76" s="2270"/>
      <c r="BI76" s="2270"/>
      <c r="BJ76" s="2270"/>
      <c r="BK76" s="2270"/>
      <c r="BL76" s="2270"/>
      <c r="BM76" s="2270"/>
      <c r="BN76" s="2270"/>
      <c r="BO76" s="2270"/>
      <c r="BP76" s="2270"/>
      <c r="BQ76" s="2270"/>
      <c r="BR76" s="2270"/>
      <c r="BS76" s="2270"/>
      <c r="BT76" s="2270"/>
      <c r="BU76" s="2270"/>
      <c r="BV76" s="2270"/>
      <c r="BW76" s="2270"/>
      <c r="BX76" s="2270"/>
      <c r="BY76" s="2270"/>
      <c r="BZ76" s="2270"/>
      <c r="CA76" s="2270"/>
      <c r="CB76" s="2270"/>
      <c r="CC76" s="2270"/>
      <c r="CD76" s="2270"/>
      <c r="CE76" s="2270"/>
      <c r="CF76" s="2270"/>
      <c r="CG76" s="2270"/>
      <c r="CH76" s="2270"/>
      <c r="CI76" s="2270"/>
      <c r="CJ76" s="2270"/>
      <c r="CK76" s="2270"/>
      <c r="CL76" s="2270"/>
      <c r="CM76" s="2270"/>
      <c r="CN76" s="2270"/>
      <c r="CO76" s="2270"/>
      <c r="CP76" s="2270"/>
      <c r="CQ76" s="2270"/>
      <c r="CR76" s="2270"/>
      <c r="CS76" s="2270"/>
      <c r="CT76" s="2270"/>
      <c r="CU76" s="2270"/>
      <c r="CV76" s="2270"/>
      <c r="CW76" s="2270"/>
      <c r="CX76" s="2270"/>
      <c r="CY76" s="2270"/>
      <c r="CZ76" s="2270"/>
      <c r="DA76" s="2270"/>
      <c r="DB76" s="2270"/>
      <c r="DC76" s="2270"/>
      <c r="DD76" s="2270"/>
      <c r="DE76" s="2270"/>
    </row>
    <row r="77" spans="1:109" s="2271" customFormat="1" ht="13.5" hidden="1" customHeight="1">
      <c r="A77" s="2227"/>
      <c r="B77" s="2282" t="s">
        <v>11</v>
      </c>
      <c r="C77" s="2283"/>
      <c r="D77" s="2283">
        <f>+D78+D79+D80</f>
        <v>0</v>
      </c>
      <c r="E77" s="2283">
        <f t="shared" ref="E77:L77" si="54">+E78+E79+E80</f>
        <v>0</v>
      </c>
      <c r="F77" s="2283">
        <f t="shared" si="54"/>
        <v>0</v>
      </c>
      <c r="G77" s="2283">
        <f t="shared" si="54"/>
        <v>0</v>
      </c>
      <c r="H77" s="2283">
        <f t="shared" si="54"/>
        <v>0</v>
      </c>
      <c r="I77" s="2283">
        <f t="shared" si="54"/>
        <v>0</v>
      </c>
      <c r="J77" s="2283">
        <f t="shared" si="54"/>
        <v>0</v>
      </c>
      <c r="K77" s="2283">
        <f t="shared" si="54"/>
        <v>0</v>
      </c>
      <c r="L77" s="2283">
        <f t="shared" si="54"/>
        <v>0</v>
      </c>
      <c r="M77" s="2284" t="e">
        <f>+M80+M79</f>
        <v>#REF!</v>
      </c>
      <c r="N77" s="2284" t="e">
        <f>+N80+N79</f>
        <v>#REF!</v>
      </c>
      <c r="O77" s="3371"/>
      <c r="P77" s="2270"/>
      <c r="Q77" s="2270"/>
      <c r="R77" s="2270"/>
      <c r="S77" s="2270"/>
      <c r="T77" s="2270"/>
      <c r="U77" s="2270"/>
      <c r="V77" s="2270"/>
      <c r="W77" s="2270"/>
      <c r="X77" s="2270"/>
      <c r="Y77" s="2270"/>
      <c r="Z77" s="2270"/>
      <c r="AA77" s="2270"/>
      <c r="AB77" s="2270"/>
      <c r="AC77" s="2270"/>
      <c r="AD77" s="2270"/>
      <c r="AE77" s="2270"/>
      <c r="AF77" s="2270"/>
      <c r="AG77" s="2270"/>
      <c r="AH77" s="2270"/>
      <c r="AI77" s="2270"/>
      <c r="AJ77" s="2270"/>
      <c r="AK77" s="2270"/>
      <c r="AL77" s="2270"/>
      <c r="AM77" s="2270"/>
      <c r="AN77" s="2270"/>
      <c r="AO77" s="2270"/>
      <c r="AP77" s="2270"/>
      <c r="AQ77" s="2270"/>
      <c r="AR77" s="2270"/>
      <c r="AS77" s="2270"/>
      <c r="AT77" s="2270"/>
      <c r="AU77" s="2270"/>
      <c r="AV77" s="2270"/>
      <c r="AW77" s="2270"/>
      <c r="AX77" s="2270"/>
      <c r="AY77" s="2270"/>
      <c r="AZ77" s="2270"/>
      <c r="BA77" s="2270"/>
      <c r="BB77" s="2270"/>
      <c r="BC77" s="2270"/>
      <c r="BD77" s="2270"/>
      <c r="BE77" s="2270"/>
      <c r="BF77" s="2270"/>
      <c r="BG77" s="2270"/>
      <c r="BH77" s="2270"/>
      <c r="BI77" s="2270"/>
      <c r="BJ77" s="2270"/>
      <c r="BK77" s="2270"/>
      <c r="BL77" s="2270"/>
      <c r="BM77" s="2270"/>
      <c r="BN77" s="2270"/>
      <c r="BO77" s="2270"/>
      <c r="BP77" s="2270"/>
      <c r="BQ77" s="2270"/>
      <c r="BR77" s="2270"/>
      <c r="BS77" s="2270"/>
      <c r="BT77" s="2270"/>
      <c r="BU77" s="2270"/>
      <c r="BV77" s="2270"/>
      <c r="BW77" s="2270"/>
      <c r="BX77" s="2270"/>
      <c r="BY77" s="2270"/>
      <c r="BZ77" s="2270"/>
      <c r="CA77" s="2270"/>
      <c r="CB77" s="2270"/>
      <c r="CC77" s="2270"/>
      <c r="CD77" s="2270"/>
      <c r="CE77" s="2270"/>
      <c r="CF77" s="2270"/>
      <c r="CG77" s="2270"/>
      <c r="CH77" s="2270"/>
      <c r="CI77" s="2270"/>
      <c r="CJ77" s="2270"/>
      <c r="CK77" s="2270"/>
      <c r="CL77" s="2270"/>
      <c r="CM77" s="2270"/>
      <c r="CN77" s="2270"/>
      <c r="CO77" s="2270"/>
      <c r="CP77" s="2270"/>
      <c r="CQ77" s="2270"/>
      <c r="CR77" s="2270"/>
      <c r="CS77" s="2270"/>
      <c r="CT77" s="2270"/>
      <c r="CU77" s="2270"/>
      <c r="CV77" s="2270"/>
      <c r="CW77" s="2270"/>
      <c r="CX77" s="2270"/>
      <c r="CY77" s="2270"/>
      <c r="CZ77" s="2270"/>
      <c r="DA77" s="2270"/>
      <c r="DB77" s="2270"/>
      <c r="DC77" s="2270"/>
      <c r="DD77" s="2270"/>
      <c r="DE77" s="2270"/>
    </row>
    <row r="78" spans="1:109" s="2271" customFormat="1" ht="13.5" hidden="1" customHeight="1">
      <c r="A78" s="2227"/>
      <c r="B78" s="2285" t="s">
        <v>137</v>
      </c>
      <c r="C78" s="2286"/>
      <c r="D78" s="2286">
        <f>+D100</f>
        <v>0</v>
      </c>
      <c r="E78" s="2286">
        <f t="shared" ref="E78:F78" si="55">+E100</f>
        <v>0</v>
      </c>
      <c r="F78" s="2286">
        <f t="shared" si="55"/>
        <v>0</v>
      </c>
      <c r="G78" s="2286">
        <v>0</v>
      </c>
      <c r="H78" s="2286">
        <v>0</v>
      </c>
      <c r="I78" s="2286">
        <v>0</v>
      </c>
      <c r="J78" s="2286">
        <v>0</v>
      </c>
      <c r="K78" s="2286">
        <v>0</v>
      </c>
      <c r="L78" s="2286">
        <v>0</v>
      </c>
      <c r="M78" s="2287" t="s">
        <v>61</v>
      </c>
      <c r="N78" s="2287" t="s">
        <v>61</v>
      </c>
      <c r="O78" s="3371"/>
      <c r="P78" s="2270"/>
      <c r="Q78" s="2270"/>
      <c r="R78" s="2270"/>
      <c r="S78" s="2270"/>
      <c r="T78" s="2270"/>
      <c r="U78" s="2270"/>
      <c r="V78" s="2270"/>
      <c r="W78" s="2270"/>
      <c r="X78" s="2270"/>
      <c r="Y78" s="2270"/>
      <c r="Z78" s="2270"/>
      <c r="AA78" s="2270"/>
      <c r="AB78" s="2270"/>
      <c r="AC78" s="2270"/>
      <c r="AD78" s="2270"/>
      <c r="AE78" s="2270"/>
      <c r="AF78" s="2270"/>
      <c r="AG78" s="2270"/>
      <c r="AH78" s="2270"/>
      <c r="AI78" s="2270"/>
      <c r="AJ78" s="2270"/>
      <c r="AK78" s="2270"/>
      <c r="AL78" s="2270"/>
      <c r="AM78" s="2270"/>
      <c r="AN78" s="2270"/>
      <c r="AO78" s="2270"/>
      <c r="AP78" s="2270"/>
      <c r="AQ78" s="2270"/>
      <c r="AR78" s="2270"/>
      <c r="AS78" s="2270"/>
      <c r="AT78" s="2270"/>
      <c r="AU78" s="2270"/>
      <c r="AV78" s="2270"/>
      <c r="AW78" s="2270"/>
      <c r="AX78" s="2270"/>
      <c r="AY78" s="2270"/>
      <c r="AZ78" s="2270"/>
      <c r="BA78" s="2270"/>
      <c r="BB78" s="2270"/>
      <c r="BC78" s="2270"/>
      <c r="BD78" s="2270"/>
      <c r="BE78" s="2270"/>
      <c r="BF78" s="2270"/>
      <c r="BG78" s="2270"/>
      <c r="BH78" s="2270"/>
      <c r="BI78" s="2270"/>
      <c r="BJ78" s="2270"/>
      <c r="BK78" s="2270"/>
      <c r="BL78" s="2270"/>
      <c r="BM78" s="2270"/>
      <c r="BN78" s="2270"/>
      <c r="BO78" s="2270"/>
      <c r="BP78" s="2270"/>
      <c r="BQ78" s="2270"/>
      <c r="BR78" s="2270"/>
      <c r="BS78" s="2270"/>
      <c r="BT78" s="2270"/>
      <c r="BU78" s="2270"/>
      <c r="BV78" s="2270"/>
      <c r="BW78" s="2270"/>
      <c r="BX78" s="2270"/>
      <c r="BY78" s="2270"/>
      <c r="BZ78" s="2270"/>
      <c r="CA78" s="2270"/>
      <c r="CB78" s="2270"/>
      <c r="CC78" s="2270"/>
      <c r="CD78" s="2270"/>
      <c r="CE78" s="2270"/>
      <c r="CF78" s="2270"/>
      <c r="CG78" s="2270"/>
      <c r="CH78" s="2270"/>
      <c r="CI78" s="2270"/>
      <c r="CJ78" s="2270"/>
      <c r="CK78" s="2270"/>
      <c r="CL78" s="2270"/>
      <c r="CM78" s="2270"/>
      <c r="CN78" s="2270"/>
      <c r="CO78" s="2270"/>
      <c r="CP78" s="2270"/>
      <c r="CQ78" s="2270"/>
      <c r="CR78" s="2270"/>
      <c r="CS78" s="2270"/>
      <c r="CT78" s="2270"/>
      <c r="CU78" s="2270"/>
      <c r="CV78" s="2270"/>
      <c r="CW78" s="2270"/>
      <c r="CX78" s="2270"/>
      <c r="CY78" s="2270"/>
      <c r="CZ78" s="2270"/>
      <c r="DA78" s="2270"/>
      <c r="DB78" s="2270"/>
      <c r="DC78" s="2270"/>
      <c r="DD78" s="2270"/>
      <c r="DE78" s="2270"/>
    </row>
    <row r="79" spans="1:109" s="2271" customFormat="1" ht="13.5" hidden="1" customHeight="1">
      <c r="A79" s="2227"/>
      <c r="B79" s="2285" t="s">
        <v>138</v>
      </c>
      <c r="C79" s="2286"/>
      <c r="D79" s="2286">
        <f>+D101+D113</f>
        <v>0</v>
      </c>
      <c r="E79" s="2286">
        <f t="shared" ref="E79:I79" si="56">+E101+E113</f>
        <v>0</v>
      </c>
      <c r="F79" s="2286">
        <f t="shared" si="56"/>
        <v>0</v>
      </c>
      <c r="G79" s="2286">
        <f t="shared" si="56"/>
        <v>0</v>
      </c>
      <c r="H79" s="2286">
        <f t="shared" si="56"/>
        <v>0</v>
      </c>
      <c r="I79" s="2286">
        <f t="shared" si="56"/>
        <v>0</v>
      </c>
      <c r="J79" s="2286">
        <v>0</v>
      </c>
      <c r="K79" s="2286">
        <v>0</v>
      </c>
      <c r="L79" s="2286">
        <v>0</v>
      </c>
      <c r="M79" s="2288" t="e">
        <f>+H79+G79+F79+E79+#REF!</f>
        <v>#REF!</v>
      </c>
      <c r="N79" s="2288" t="e">
        <f>+I79+H79+G79+F79+#REF!</f>
        <v>#REF!</v>
      </c>
      <c r="O79" s="3371"/>
      <c r="P79" s="2270"/>
      <c r="Q79" s="2270"/>
      <c r="R79" s="2270"/>
      <c r="S79" s="2270"/>
      <c r="T79" s="2270"/>
      <c r="U79" s="2270"/>
      <c r="V79" s="2270"/>
      <c r="W79" s="2270"/>
      <c r="X79" s="2270"/>
      <c r="Y79" s="2270"/>
      <c r="Z79" s="2270"/>
      <c r="AA79" s="2270"/>
      <c r="AB79" s="2270"/>
      <c r="AC79" s="2270"/>
      <c r="AD79" s="2270"/>
      <c r="AE79" s="2270"/>
      <c r="AF79" s="2270"/>
      <c r="AG79" s="2270"/>
      <c r="AH79" s="2270"/>
      <c r="AI79" s="2270"/>
      <c r="AJ79" s="2270"/>
      <c r="AK79" s="2270"/>
      <c r="AL79" s="2270"/>
      <c r="AM79" s="2270"/>
      <c r="AN79" s="2270"/>
      <c r="AO79" s="2270"/>
      <c r="AP79" s="2270"/>
      <c r="AQ79" s="2270"/>
      <c r="AR79" s="2270"/>
      <c r="AS79" s="2270"/>
      <c r="AT79" s="2270"/>
      <c r="AU79" s="2270"/>
      <c r="AV79" s="2270"/>
      <c r="AW79" s="2270"/>
      <c r="AX79" s="2270"/>
      <c r="AY79" s="2270"/>
      <c r="AZ79" s="2270"/>
      <c r="BA79" s="2270"/>
      <c r="BB79" s="2270"/>
      <c r="BC79" s="2270"/>
      <c r="BD79" s="2270"/>
      <c r="BE79" s="2270"/>
      <c r="BF79" s="2270"/>
      <c r="BG79" s="2270"/>
      <c r="BH79" s="2270"/>
      <c r="BI79" s="2270"/>
      <c r="BJ79" s="2270"/>
      <c r="BK79" s="2270"/>
      <c r="BL79" s="2270"/>
      <c r="BM79" s="2270"/>
      <c r="BN79" s="2270"/>
      <c r="BO79" s="2270"/>
      <c r="BP79" s="2270"/>
      <c r="BQ79" s="2270"/>
      <c r="BR79" s="2270"/>
      <c r="BS79" s="2270"/>
      <c r="BT79" s="2270"/>
      <c r="BU79" s="2270"/>
      <c r="BV79" s="2270"/>
      <c r="BW79" s="2270"/>
      <c r="BX79" s="2270"/>
      <c r="BY79" s="2270"/>
      <c r="BZ79" s="2270"/>
      <c r="CA79" s="2270"/>
      <c r="CB79" s="2270"/>
      <c r="CC79" s="2270"/>
      <c r="CD79" s="2270"/>
      <c r="CE79" s="2270"/>
      <c r="CF79" s="2270"/>
      <c r="CG79" s="2270"/>
      <c r="CH79" s="2270"/>
      <c r="CI79" s="2270"/>
      <c r="CJ79" s="2270"/>
      <c r="CK79" s="2270"/>
      <c r="CL79" s="2270"/>
      <c r="CM79" s="2270"/>
      <c r="CN79" s="2270"/>
      <c r="CO79" s="2270"/>
      <c r="CP79" s="2270"/>
      <c r="CQ79" s="2270"/>
      <c r="CR79" s="2270"/>
      <c r="CS79" s="2270"/>
      <c r="CT79" s="2270"/>
      <c r="CU79" s="2270"/>
      <c r="CV79" s="2270"/>
      <c r="CW79" s="2270"/>
      <c r="CX79" s="2270"/>
      <c r="CY79" s="2270"/>
      <c r="CZ79" s="2270"/>
      <c r="DA79" s="2270"/>
      <c r="DB79" s="2270"/>
      <c r="DC79" s="2270"/>
      <c r="DD79" s="2270"/>
      <c r="DE79" s="2270"/>
    </row>
    <row r="80" spans="1:109" s="2293" customFormat="1" ht="13.5" hidden="1" customHeight="1">
      <c r="A80" s="2206"/>
      <c r="B80" s="2289" t="s">
        <v>12</v>
      </c>
      <c r="C80" s="2290"/>
      <c r="D80" s="2290">
        <f>+D92+D96</f>
        <v>0</v>
      </c>
      <c r="E80" s="2290">
        <f t="shared" ref="E80:F80" si="57">+E92+E96</f>
        <v>0</v>
      </c>
      <c r="F80" s="2290">
        <f t="shared" si="57"/>
        <v>0</v>
      </c>
      <c r="G80" s="2290">
        <v>0</v>
      </c>
      <c r="H80" s="2290">
        <v>0</v>
      </c>
      <c r="I80" s="2290">
        <v>0</v>
      </c>
      <c r="J80" s="2290"/>
      <c r="K80" s="2290"/>
      <c r="L80" s="2290"/>
      <c r="M80" s="2291">
        <f>SUM(E80:F80)</f>
        <v>0</v>
      </c>
      <c r="N80" s="2291">
        <f>SUM(F80:G80)</f>
        <v>0</v>
      </c>
      <c r="O80" s="3371"/>
      <c r="P80" s="2292"/>
      <c r="Q80" s="2292"/>
      <c r="R80" s="2292"/>
      <c r="S80" s="2292"/>
      <c r="T80" s="2292"/>
      <c r="U80" s="2292"/>
      <c r="V80" s="2292"/>
      <c r="W80" s="2292"/>
      <c r="X80" s="2292"/>
      <c r="Y80" s="2292"/>
      <c r="Z80" s="2292"/>
      <c r="AA80" s="2292"/>
      <c r="AB80" s="2292"/>
      <c r="AC80" s="2292"/>
      <c r="AD80" s="2292"/>
      <c r="AE80" s="2292"/>
      <c r="AF80" s="2292"/>
      <c r="AG80" s="2292"/>
      <c r="AH80" s="2292"/>
      <c r="AI80" s="2292"/>
      <c r="AJ80" s="2292"/>
      <c r="AK80" s="2292"/>
      <c r="AL80" s="2292"/>
      <c r="AM80" s="2292"/>
      <c r="AN80" s="2292"/>
      <c r="AO80" s="2292"/>
      <c r="AP80" s="2292"/>
      <c r="AQ80" s="2292"/>
      <c r="AR80" s="2292"/>
      <c r="AS80" s="2292"/>
      <c r="AT80" s="2292"/>
      <c r="AU80" s="2292"/>
      <c r="AV80" s="2292"/>
      <c r="AW80" s="2292"/>
      <c r="AX80" s="2292"/>
      <c r="AY80" s="2292"/>
      <c r="AZ80" s="2292"/>
      <c r="BA80" s="2292"/>
      <c r="BB80" s="2292"/>
      <c r="BC80" s="2292"/>
      <c r="BD80" s="2292"/>
      <c r="BE80" s="2292"/>
      <c r="BF80" s="2292"/>
      <c r="BG80" s="2292"/>
      <c r="BH80" s="2292"/>
      <c r="BI80" s="2292"/>
      <c r="BJ80" s="2292"/>
      <c r="BK80" s="2292"/>
      <c r="BL80" s="2292"/>
      <c r="BM80" s="2292"/>
      <c r="BN80" s="2292"/>
      <c r="BO80" s="2292"/>
      <c r="BP80" s="2292"/>
      <c r="BQ80" s="2292"/>
      <c r="BR80" s="2292"/>
      <c r="BS80" s="2292"/>
      <c r="BT80" s="2292"/>
      <c r="BU80" s="2292"/>
      <c r="BV80" s="2292"/>
      <c r="BW80" s="2292"/>
      <c r="BX80" s="2292"/>
      <c r="BY80" s="2292"/>
      <c r="BZ80" s="2292"/>
      <c r="CA80" s="2292"/>
      <c r="CB80" s="2292"/>
      <c r="CC80" s="2292"/>
      <c r="CD80" s="2292"/>
      <c r="CE80" s="2292"/>
      <c r="CF80" s="2292"/>
      <c r="CG80" s="2292"/>
      <c r="CH80" s="2292"/>
      <c r="CI80" s="2292"/>
      <c r="CJ80" s="2292"/>
      <c r="CK80" s="2292"/>
      <c r="CL80" s="2292"/>
      <c r="CM80" s="2292"/>
      <c r="CN80" s="2292"/>
      <c r="CO80" s="2292"/>
      <c r="CP80" s="2292"/>
      <c r="CQ80" s="2292"/>
      <c r="CR80" s="2292"/>
      <c r="CS80" s="2292"/>
      <c r="CT80" s="2292"/>
      <c r="CU80" s="2292"/>
      <c r="CV80" s="2292"/>
      <c r="CW80" s="2292"/>
      <c r="CX80" s="2292"/>
      <c r="CY80" s="2292"/>
      <c r="CZ80" s="2292"/>
      <c r="DA80" s="2292"/>
      <c r="DB80" s="2292"/>
      <c r="DC80" s="2292"/>
      <c r="DD80" s="2292"/>
      <c r="DE80" s="2292"/>
    </row>
    <row r="81" spans="1:109" s="2271" customFormat="1" ht="13.5" hidden="1" customHeight="1">
      <c r="A81" s="2227"/>
      <c r="B81" s="2282" t="s">
        <v>18</v>
      </c>
      <c r="C81" s="2294"/>
      <c r="D81" s="2295">
        <f>D82</f>
        <v>0</v>
      </c>
      <c r="E81" s="2295">
        <f t="shared" ref="E81:L81" si="58">E82</f>
        <v>0</v>
      </c>
      <c r="F81" s="2295">
        <f t="shared" si="58"/>
        <v>0</v>
      </c>
      <c r="G81" s="2294">
        <f t="shared" si="58"/>
        <v>0</v>
      </c>
      <c r="H81" s="2294">
        <f t="shared" si="58"/>
        <v>0</v>
      </c>
      <c r="I81" s="2294">
        <f t="shared" si="58"/>
        <v>0</v>
      </c>
      <c r="J81" s="2294">
        <f t="shared" si="58"/>
        <v>0</v>
      </c>
      <c r="K81" s="2294">
        <f t="shared" si="58"/>
        <v>0</v>
      </c>
      <c r="L81" s="2294">
        <f t="shared" si="58"/>
        <v>0</v>
      </c>
      <c r="M81" s="2296" t="s">
        <v>61</v>
      </c>
      <c r="N81" s="2296" t="s">
        <v>61</v>
      </c>
      <c r="O81" s="2297"/>
      <c r="P81" s="2270"/>
      <c r="Q81" s="2270"/>
      <c r="R81" s="2270"/>
      <c r="S81" s="2270"/>
      <c r="T81" s="2270"/>
      <c r="U81" s="2270"/>
      <c r="V81" s="2270"/>
      <c r="W81" s="2270"/>
      <c r="X81" s="2270"/>
      <c r="Y81" s="2270"/>
      <c r="Z81" s="2270"/>
      <c r="AA81" s="2270"/>
      <c r="AB81" s="2270"/>
      <c r="AC81" s="2270"/>
      <c r="AD81" s="2270"/>
      <c r="AE81" s="2270"/>
      <c r="AF81" s="2270"/>
      <c r="AG81" s="2270"/>
      <c r="AH81" s="2270"/>
      <c r="AI81" s="2270"/>
      <c r="AJ81" s="2270"/>
      <c r="AK81" s="2270"/>
      <c r="AL81" s="2270"/>
      <c r="AM81" s="2270"/>
      <c r="AN81" s="2270"/>
      <c r="AO81" s="2270"/>
      <c r="AP81" s="2270"/>
      <c r="AQ81" s="2270"/>
      <c r="AR81" s="2270"/>
      <c r="AS81" s="2270"/>
      <c r="AT81" s="2270"/>
      <c r="AU81" s="2270"/>
      <c r="AV81" s="2270"/>
      <c r="AW81" s="2270"/>
      <c r="AX81" s="2270"/>
      <c r="AY81" s="2270"/>
      <c r="AZ81" s="2270"/>
      <c r="BA81" s="2270"/>
      <c r="BB81" s="2270"/>
      <c r="BC81" s="2270"/>
      <c r="BD81" s="2270"/>
      <c r="BE81" s="2270"/>
      <c r="BF81" s="2270"/>
      <c r="BG81" s="2270"/>
      <c r="BH81" s="2270"/>
      <c r="BI81" s="2270"/>
      <c r="BJ81" s="2270"/>
      <c r="BK81" s="2270"/>
      <c r="BL81" s="2270"/>
      <c r="BM81" s="2270"/>
      <c r="BN81" s="2270"/>
      <c r="BO81" s="2270"/>
      <c r="BP81" s="2270"/>
      <c r="BQ81" s="2270"/>
      <c r="BR81" s="2270"/>
      <c r="BS81" s="2270"/>
      <c r="BT81" s="2270"/>
      <c r="BU81" s="2270"/>
      <c r="BV81" s="2270"/>
      <c r="BW81" s="2270"/>
      <c r="BX81" s="2270"/>
      <c r="BY81" s="2270"/>
      <c r="BZ81" s="2270"/>
      <c r="CA81" s="2270"/>
      <c r="CB81" s="2270"/>
      <c r="CC81" s="2270"/>
      <c r="CD81" s="2270"/>
      <c r="CE81" s="2270"/>
      <c r="CF81" s="2270"/>
      <c r="CG81" s="2270"/>
      <c r="CH81" s="2270"/>
      <c r="CI81" s="2270"/>
      <c r="CJ81" s="2270"/>
      <c r="CK81" s="2270"/>
      <c r="CL81" s="2270"/>
      <c r="CM81" s="2270"/>
      <c r="CN81" s="2270"/>
      <c r="CO81" s="2270"/>
      <c r="CP81" s="2270"/>
      <c r="CQ81" s="2270"/>
      <c r="CR81" s="2270"/>
      <c r="CS81" s="2270"/>
      <c r="CT81" s="2270"/>
      <c r="CU81" s="2270"/>
      <c r="CV81" s="2270"/>
      <c r="CW81" s="2270"/>
      <c r="CX81" s="2270"/>
      <c r="CY81" s="2270"/>
      <c r="CZ81" s="2270"/>
      <c r="DA81" s="2270"/>
      <c r="DB81" s="2270"/>
      <c r="DC81" s="2270"/>
      <c r="DD81" s="2270"/>
      <c r="DE81" s="2270"/>
    </row>
    <row r="82" spans="1:109" s="2271" customFormat="1" ht="13.5" hidden="1" customHeight="1">
      <c r="A82" s="2227"/>
      <c r="B82" s="2285" t="s">
        <v>35</v>
      </c>
      <c r="C82" s="2286"/>
      <c r="D82" s="2298">
        <f>D103</f>
        <v>0</v>
      </c>
      <c r="E82" s="2298">
        <f>E103</f>
        <v>0</v>
      </c>
      <c r="F82" s="2298">
        <v>0</v>
      </c>
      <c r="G82" s="2286">
        <v>0</v>
      </c>
      <c r="H82" s="2286">
        <v>0</v>
      </c>
      <c r="I82" s="2286">
        <v>0</v>
      </c>
      <c r="J82" s="2286">
        <v>0</v>
      </c>
      <c r="K82" s="2286">
        <v>0</v>
      </c>
      <c r="L82" s="2286">
        <v>0</v>
      </c>
      <c r="M82" s="2299" t="s">
        <v>61</v>
      </c>
      <c r="N82" s="2299" t="s">
        <v>61</v>
      </c>
      <c r="O82" s="2297"/>
      <c r="P82" s="2270"/>
      <c r="Q82" s="2270"/>
      <c r="R82" s="2270"/>
      <c r="S82" s="2270"/>
      <c r="T82" s="2270"/>
      <c r="U82" s="2270"/>
      <c r="V82" s="2270"/>
      <c r="W82" s="2270"/>
      <c r="X82" s="2270"/>
      <c r="Y82" s="2270"/>
      <c r="Z82" s="2270"/>
      <c r="AA82" s="2270"/>
      <c r="AB82" s="2270"/>
      <c r="AC82" s="2270"/>
      <c r="AD82" s="2270"/>
      <c r="AE82" s="2270"/>
      <c r="AF82" s="2270"/>
      <c r="AG82" s="2270"/>
      <c r="AH82" s="2270"/>
      <c r="AI82" s="2270"/>
      <c r="AJ82" s="2270"/>
      <c r="AK82" s="2270"/>
      <c r="AL82" s="2270"/>
      <c r="AM82" s="2270"/>
      <c r="AN82" s="2270"/>
      <c r="AO82" s="2270"/>
      <c r="AP82" s="2270"/>
      <c r="AQ82" s="2270"/>
      <c r="AR82" s="2270"/>
      <c r="AS82" s="2270"/>
      <c r="AT82" s="2270"/>
      <c r="AU82" s="2270"/>
      <c r="AV82" s="2270"/>
      <c r="AW82" s="2270"/>
      <c r="AX82" s="2270"/>
      <c r="AY82" s="2270"/>
      <c r="AZ82" s="2270"/>
      <c r="BA82" s="2270"/>
      <c r="BB82" s="2270"/>
      <c r="BC82" s="2270"/>
      <c r="BD82" s="2270"/>
      <c r="BE82" s="2270"/>
      <c r="BF82" s="2270"/>
      <c r="BG82" s="2270"/>
      <c r="BH82" s="2270"/>
      <c r="BI82" s="2270"/>
      <c r="BJ82" s="2270"/>
      <c r="BK82" s="2270"/>
      <c r="BL82" s="2270"/>
      <c r="BM82" s="2270"/>
      <c r="BN82" s="2270"/>
      <c r="BO82" s="2270"/>
      <c r="BP82" s="2270"/>
      <c r="BQ82" s="2270"/>
      <c r="BR82" s="2270"/>
      <c r="BS82" s="2270"/>
      <c r="BT82" s="2270"/>
      <c r="BU82" s="2270"/>
      <c r="BV82" s="2270"/>
      <c r="BW82" s="2270"/>
      <c r="BX82" s="2270"/>
      <c r="BY82" s="2270"/>
      <c r="BZ82" s="2270"/>
      <c r="CA82" s="2270"/>
      <c r="CB82" s="2270"/>
      <c r="CC82" s="2270"/>
      <c r="CD82" s="2270"/>
      <c r="CE82" s="2270"/>
      <c r="CF82" s="2270"/>
      <c r="CG82" s="2270"/>
      <c r="CH82" s="2270"/>
      <c r="CI82" s="2270"/>
      <c r="CJ82" s="2270"/>
      <c r="CK82" s="2270"/>
      <c r="CL82" s="2270"/>
      <c r="CM82" s="2270"/>
      <c r="CN82" s="2270"/>
      <c r="CO82" s="2270"/>
      <c r="CP82" s="2270"/>
      <c r="CQ82" s="2270"/>
      <c r="CR82" s="2270"/>
      <c r="CS82" s="2270"/>
      <c r="CT82" s="2270"/>
      <c r="CU82" s="2270"/>
      <c r="CV82" s="2270"/>
      <c r="CW82" s="2270"/>
      <c r="CX82" s="2270"/>
      <c r="CY82" s="2270"/>
      <c r="CZ82" s="2270"/>
      <c r="DA82" s="2270"/>
      <c r="DB82" s="2270"/>
      <c r="DC82" s="2270"/>
      <c r="DD82" s="2270"/>
      <c r="DE82" s="2270"/>
    </row>
    <row r="83" spans="1:109" s="2271" customFormat="1" ht="13.5" hidden="1" customHeight="1">
      <c r="A83" s="2227"/>
      <c r="B83" s="2300" t="s">
        <v>22</v>
      </c>
      <c r="C83" s="2301"/>
      <c r="D83" s="2302">
        <f>D84+D87</f>
        <v>0</v>
      </c>
      <c r="E83" s="2302">
        <f t="shared" ref="E83:L83" si="59">E84+E87</f>
        <v>0</v>
      </c>
      <c r="F83" s="2302">
        <f t="shared" si="59"/>
        <v>0</v>
      </c>
      <c r="G83" s="2302">
        <f t="shared" si="59"/>
        <v>0</v>
      </c>
      <c r="H83" s="2302">
        <f t="shared" si="59"/>
        <v>0</v>
      </c>
      <c r="I83" s="2302">
        <f t="shared" si="59"/>
        <v>0</v>
      </c>
      <c r="J83" s="2302">
        <f t="shared" si="59"/>
        <v>0</v>
      </c>
      <c r="K83" s="2302">
        <f t="shared" si="59"/>
        <v>0</v>
      </c>
      <c r="L83" s="2302">
        <f t="shared" si="59"/>
        <v>0</v>
      </c>
      <c r="M83" s="2303"/>
      <c r="N83" s="2303"/>
      <c r="O83" s="2297"/>
      <c r="P83" s="2270"/>
      <c r="Q83" s="2270"/>
      <c r="R83" s="2270"/>
      <c r="S83" s="2270"/>
      <c r="T83" s="2270"/>
      <c r="U83" s="2270"/>
      <c r="V83" s="2270"/>
      <c r="W83" s="2270"/>
      <c r="X83" s="2270"/>
      <c r="Y83" s="2270"/>
      <c r="Z83" s="2270"/>
      <c r="AA83" s="2270"/>
      <c r="AB83" s="2270"/>
      <c r="AC83" s="2270"/>
      <c r="AD83" s="2270"/>
      <c r="AE83" s="2270"/>
      <c r="AF83" s="2270"/>
      <c r="AG83" s="2270"/>
      <c r="AH83" s="2270"/>
      <c r="AI83" s="2270"/>
      <c r="AJ83" s="2270"/>
      <c r="AK83" s="2270"/>
      <c r="AL83" s="2270"/>
      <c r="AM83" s="2270"/>
      <c r="AN83" s="2270"/>
      <c r="AO83" s="2270"/>
      <c r="AP83" s="2270"/>
      <c r="AQ83" s="2270"/>
      <c r="AR83" s="2270"/>
      <c r="AS83" s="2270"/>
      <c r="AT83" s="2270"/>
      <c r="AU83" s="2270"/>
      <c r="AV83" s="2270"/>
      <c r="AW83" s="2270"/>
      <c r="AX83" s="2270"/>
      <c r="AY83" s="2270"/>
      <c r="AZ83" s="2270"/>
      <c r="BA83" s="2270"/>
      <c r="BB83" s="2270"/>
      <c r="BC83" s="2270"/>
      <c r="BD83" s="2270"/>
      <c r="BE83" s="2270"/>
      <c r="BF83" s="2270"/>
      <c r="BG83" s="2270"/>
      <c r="BH83" s="2270"/>
      <c r="BI83" s="2270"/>
      <c r="BJ83" s="2270"/>
      <c r="BK83" s="2270"/>
      <c r="BL83" s="2270"/>
      <c r="BM83" s="2270"/>
      <c r="BN83" s="2270"/>
      <c r="BO83" s="2270"/>
      <c r="BP83" s="2270"/>
      <c r="BQ83" s="2270"/>
      <c r="BR83" s="2270"/>
      <c r="BS83" s="2270"/>
      <c r="BT83" s="2270"/>
      <c r="BU83" s="2270"/>
      <c r="BV83" s="2270"/>
      <c r="BW83" s="2270"/>
      <c r="BX83" s="2270"/>
      <c r="BY83" s="2270"/>
      <c r="BZ83" s="2270"/>
      <c r="CA83" s="2270"/>
      <c r="CB83" s="2270"/>
      <c r="CC83" s="2270"/>
      <c r="CD83" s="2270"/>
      <c r="CE83" s="2270"/>
      <c r="CF83" s="2270"/>
      <c r="CG83" s="2270"/>
      <c r="CH83" s="2270"/>
      <c r="CI83" s="2270"/>
      <c r="CJ83" s="2270"/>
      <c r="CK83" s="2270"/>
      <c r="CL83" s="2270"/>
      <c r="CM83" s="2270"/>
      <c r="CN83" s="2270"/>
      <c r="CO83" s="2270"/>
      <c r="CP83" s="2270"/>
      <c r="CQ83" s="2270"/>
      <c r="CR83" s="2270"/>
      <c r="CS83" s="2270"/>
      <c r="CT83" s="2270"/>
      <c r="CU83" s="2270"/>
      <c r="CV83" s="2270"/>
      <c r="CW83" s="2270"/>
      <c r="CX83" s="2270"/>
      <c r="CY83" s="2270"/>
      <c r="CZ83" s="2270"/>
      <c r="DA83" s="2270"/>
      <c r="DB83" s="2270"/>
      <c r="DC83" s="2270"/>
      <c r="DD83" s="2270"/>
      <c r="DE83" s="2270"/>
    </row>
    <row r="84" spans="1:109" s="2271" customFormat="1" ht="13.5" hidden="1" customHeight="1">
      <c r="A84" s="2227"/>
      <c r="B84" s="2304" t="s">
        <v>24</v>
      </c>
      <c r="C84" s="2305"/>
      <c r="D84" s="2306">
        <f>+D85+D86</f>
        <v>0</v>
      </c>
      <c r="E84" s="2306">
        <f t="shared" ref="E84:I84" si="60">+E85+E86</f>
        <v>0</v>
      </c>
      <c r="F84" s="2290">
        <f t="shared" si="60"/>
        <v>0</v>
      </c>
      <c r="G84" s="2290">
        <f t="shared" si="60"/>
        <v>0</v>
      </c>
      <c r="H84" s="2290">
        <f t="shared" si="60"/>
        <v>0</v>
      </c>
      <c r="I84" s="2290">
        <f t="shared" si="60"/>
        <v>0</v>
      </c>
      <c r="J84" s="2290">
        <v>0</v>
      </c>
      <c r="K84" s="2290">
        <v>0</v>
      </c>
      <c r="L84" s="2290">
        <v>0</v>
      </c>
      <c r="M84" s="3379" t="s">
        <v>61</v>
      </c>
      <c r="N84" s="3379" t="s">
        <v>61</v>
      </c>
      <c r="O84" s="2297"/>
      <c r="P84" s="2270"/>
      <c r="Q84" s="2270"/>
      <c r="R84" s="2270"/>
      <c r="S84" s="2270"/>
      <c r="T84" s="2270"/>
      <c r="U84" s="2270"/>
      <c r="V84" s="2270"/>
      <c r="W84" s="2270"/>
      <c r="X84" s="2270"/>
      <c r="Y84" s="2270"/>
      <c r="Z84" s="2270"/>
      <c r="AA84" s="2270"/>
      <c r="AB84" s="2270"/>
      <c r="AC84" s="2270"/>
      <c r="AD84" s="2270"/>
      <c r="AE84" s="2270"/>
      <c r="AF84" s="2270"/>
      <c r="AG84" s="2270"/>
      <c r="AH84" s="2270"/>
      <c r="AI84" s="2270"/>
      <c r="AJ84" s="2270"/>
      <c r="AK84" s="2270"/>
      <c r="AL84" s="2270"/>
      <c r="AM84" s="2270"/>
      <c r="AN84" s="2270"/>
      <c r="AO84" s="2270"/>
      <c r="AP84" s="2270"/>
      <c r="AQ84" s="2270"/>
      <c r="AR84" s="2270"/>
      <c r="AS84" s="2270"/>
      <c r="AT84" s="2270"/>
      <c r="AU84" s="2270"/>
      <c r="AV84" s="2270"/>
      <c r="AW84" s="2270"/>
      <c r="AX84" s="2270"/>
      <c r="AY84" s="2270"/>
      <c r="AZ84" s="2270"/>
      <c r="BA84" s="2270"/>
      <c r="BB84" s="2270"/>
      <c r="BC84" s="2270"/>
      <c r="BD84" s="2270"/>
      <c r="BE84" s="2270"/>
      <c r="BF84" s="2270"/>
      <c r="BG84" s="2270"/>
      <c r="BH84" s="2270"/>
      <c r="BI84" s="2270"/>
      <c r="BJ84" s="2270"/>
      <c r="BK84" s="2270"/>
      <c r="BL84" s="2270"/>
      <c r="BM84" s="2270"/>
      <c r="BN84" s="2270"/>
      <c r="BO84" s="2270"/>
      <c r="BP84" s="2270"/>
      <c r="BQ84" s="2270"/>
      <c r="BR84" s="2270"/>
      <c r="BS84" s="2270"/>
      <c r="BT84" s="2270"/>
      <c r="BU84" s="2270"/>
      <c r="BV84" s="2270"/>
      <c r="BW84" s="2270"/>
      <c r="BX84" s="2270"/>
      <c r="BY84" s="2270"/>
      <c r="BZ84" s="2270"/>
      <c r="CA84" s="2270"/>
      <c r="CB84" s="2270"/>
      <c r="CC84" s="2270"/>
      <c r="CD84" s="2270"/>
      <c r="CE84" s="2270"/>
      <c r="CF84" s="2270"/>
      <c r="CG84" s="2270"/>
      <c r="CH84" s="2270"/>
      <c r="CI84" s="2270"/>
      <c r="CJ84" s="2270"/>
      <c r="CK84" s="2270"/>
      <c r="CL84" s="2270"/>
      <c r="CM84" s="2270"/>
      <c r="CN84" s="2270"/>
      <c r="CO84" s="2270"/>
      <c r="CP84" s="2270"/>
      <c r="CQ84" s="2270"/>
      <c r="CR84" s="2270"/>
      <c r="CS84" s="2270"/>
      <c r="CT84" s="2270"/>
      <c r="CU84" s="2270"/>
      <c r="CV84" s="2270"/>
      <c r="CW84" s="2270"/>
      <c r="CX84" s="2270"/>
      <c r="CY84" s="2270"/>
      <c r="CZ84" s="2270"/>
      <c r="DA84" s="2270"/>
      <c r="DB84" s="2270"/>
      <c r="DC84" s="2270"/>
      <c r="DD84" s="2270"/>
      <c r="DE84" s="2270"/>
    </row>
    <row r="85" spans="1:109" s="2271" customFormat="1" ht="13.5" hidden="1" customHeight="1">
      <c r="A85" s="2227"/>
      <c r="B85" s="2289" t="s">
        <v>137</v>
      </c>
      <c r="C85" s="2290"/>
      <c r="D85" s="2290">
        <f>+D106</f>
        <v>0</v>
      </c>
      <c r="E85" s="2290">
        <f t="shared" ref="E85:F86" si="61">+E106</f>
        <v>0</v>
      </c>
      <c r="F85" s="2290">
        <f t="shared" si="61"/>
        <v>0</v>
      </c>
      <c r="G85" s="2290">
        <v>0</v>
      </c>
      <c r="H85" s="2290">
        <v>0</v>
      </c>
      <c r="I85" s="2290">
        <v>0</v>
      </c>
      <c r="J85" s="2290">
        <v>0</v>
      </c>
      <c r="K85" s="2290">
        <v>0</v>
      </c>
      <c r="L85" s="2290">
        <v>0</v>
      </c>
      <c r="M85" s="3380"/>
      <c r="N85" s="3380"/>
      <c r="O85" s="2297"/>
      <c r="P85" s="2270"/>
      <c r="Q85" s="2270"/>
      <c r="R85" s="2270"/>
      <c r="S85" s="2270"/>
      <c r="T85" s="2270"/>
      <c r="U85" s="2270"/>
      <c r="V85" s="2270"/>
      <c r="W85" s="2270"/>
      <c r="X85" s="2270"/>
      <c r="Y85" s="2270"/>
      <c r="Z85" s="2270"/>
      <c r="AA85" s="2270"/>
      <c r="AB85" s="2270"/>
      <c r="AC85" s="2270"/>
      <c r="AD85" s="2270"/>
      <c r="AE85" s="2270"/>
      <c r="AF85" s="2270"/>
      <c r="AG85" s="2270"/>
      <c r="AH85" s="2270"/>
      <c r="AI85" s="2270"/>
      <c r="AJ85" s="2270"/>
      <c r="AK85" s="2270"/>
      <c r="AL85" s="2270"/>
      <c r="AM85" s="2270"/>
      <c r="AN85" s="2270"/>
      <c r="AO85" s="2270"/>
      <c r="AP85" s="2270"/>
      <c r="AQ85" s="2270"/>
      <c r="AR85" s="2270"/>
      <c r="AS85" s="2270"/>
      <c r="AT85" s="2270"/>
      <c r="AU85" s="2270"/>
      <c r="AV85" s="2270"/>
      <c r="AW85" s="2270"/>
      <c r="AX85" s="2270"/>
      <c r="AY85" s="2270"/>
      <c r="AZ85" s="2270"/>
      <c r="BA85" s="2270"/>
      <c r="BB85" s="2270"/>
      <c r="BC85" s="2270"/>
      <c r="BD85" s="2270"/>
      <c r="BE85" s="2270"/>
      <c r="BF85" s="2270"/>
      <c r="BG85" s="2270"/>
      <c r="BH85" s="2270"/>
      <c r="BI85" s="2270"/>
      <c r="BJ85" s="2270"/>
      <c r="BK85" s="2270"/>
      <c r="BL85" s="2270"/>
      <c r="BM85" s="2270"/>
      <c r="BN85" s="2270"/>
      <c r="BO85" s="2270"/>
      <c r="BP85" s="2270"/>
      <c r="BQ85" s="2270"/>
      <c r="BR85" s="2270"/>
      <c r="BS85" s="2270"/>
      <c r="BT85" s="2270"/>
      <c r="BU85" s="2270"/>
      <c r="BV85" s="2270"/>
      <c r="BW85" s="2270"/>
      <c r="BX85" s="2270"/>
      <c r="BY85" s="2270"/>
      <c r="BZ85" s="2270"/>
      <c r="CA85" s="2270"/>
      <c r="CB85" s="2270"/>
      <c r="CC85" s="2270"/>
      <c r="CD85" s="2270"/>
      <c r="CE85" s="2270"/>
      <c r="CF85" s="2270"/>
      <c r="CG85" s="2270"/>
      <c r="CH85" s="2270"/>
      <c r="CI85" s="2270"/>
      <c r="CJ85" s="2270"/>
      <c r="CK85" s="2270"/>
      <c r="CL85" s="2270"/>
      <c r="CM85" s="2270"/>
      <c r="CN85" s="2270"/>
      <c r="CO85" s="2270"/>
      <c r="CP85" s="2270"/>
      <c r="CQ85" s="2270"/>
      <c r="CR85" s="2270"/>
      <c r="CS85" s="2270"/>
      <c r="CT85" s="2270"/>
      <c r="CU85" s="2270"/>
      <c r="CV85" s="2270"/>
      <c r="CW85" s="2270"/>
      <c r="CX85" s="2270"/>
      <c r="CY85" s="2270"/>
      <c r="CZ85" s="2270"/>
      <c r="DA85" s="2270"/>
      <c r="DB85" s="2270"/>
      <c r="DC85" s="2270"/>
      <c r="DD85" s="2270"/>
      <c r="DE85" s="2270"/>
    </row>
    <row r="86" spans="1:109" s="2271" customFormat="1" ht="13.5" hidden="1" customHeight="1">
      <c r="A86" s="2227"/>
      <c r="B86" s="2289" t="s">
        <v>139</v>
      </c>
      <c r="C86" s="2290"/>
      <c r="D86" s="2290">
        <f>+D107</f>
        <v>0</v>
      </c>
      <c r="E86" s="2290">
        <f t="shared" si="61"/>
        <v>0</v>
      </c>
      <c r="F86" s="2290">
        <f t="shared" si="61"/>
        <v>0</v>
      </c>
      <c r="G86" s="2290">
        <v>0</v>
      </c>
      <c r="H86" s="2290">
        <v>0</v>
      </c>
      <c r="I86" s="2290">
        <v>0</v>
      </c>
      <c r="J86" s="2290"/>
      <c r="K86" s="2290"/>
      <c r="L86" s="2290"/>
      <c r="M86" s="3380"/>
      <c r="N86" s="3380"/>
      <c r="O86" s="2297"/>
      <c r="P86" s="2270"/>
      <c r="Q86" s="2270"/>
      <c r="R86" s="2270"/>
      <c r="S86" s="2270"/>
      <c r="T86" s="2270"/>
      <c r="U86" s="2270"/>
      <c r="V86" s="2270"/>
      <c r="W86" s="2270"/>
      <c r="X86" s="2270"/>
      <c r="Y86" s="2270"/>
      <c r="Z86" s="2270"/>
      <c r="AA86" s="2270"/>
      <c r="AB86" s="2270"/>
      <c r="AC86" s="2270"/>
      <c r="AD86" s="2270"/>
      <c r="AE86" s="2270"/>
      <c r="AF86" s="2270"/>
      <c r="AG86" s="2270"/>
      <c r="AH86" s="2270"/>
      <c r="AI86" s="2270"/>
      <c r="AJ86" s="2270"/>
      <c r="AK86" s="2270"/>
      <c r="AL86" s="2270"/>
      <c r="AM86" s="2270"/>
      <c r="AN86" s="2270"/>
      <c r="AO86" s="2270"/>
      <c r="AP86" s="2270"/>
      <c r="AQ86" s="2270"/>
      <c r="AR86" s="2270"/>
      <c r="AS86" s="2270"/>
      <c r="AT86" s="2270"/>
      <c r="AU86" s="2270"/>
      <c r="AV86" s="2270"/>
      <c r="AW86" s="2270"/>
      <c r="AX86" s="2270"/>
      <c r="AY86" s="2270"/>
      <c r="AZ86" s="2270"/>
      <c r="BA86" s="2270"/>
      <c r="BB86" s="2270"/>
      <c r="BC86" s="2270"/>
      <c r="BD86" s="2270"/>
      <c r="BE86" s="2270"/>
      <c r="BF86" s="2270"/>
      <c r="BG86" s="2270"/>
      <c r="BH86" s="2270"/>
      <c r="BI86" s="2270"/>
      <c r="BJ86" s="2270"/>
      <c r="BK86" s="2270"/>
      <c r="BL86" s="2270"/>
      <c r="BM86" s="2270"/>
      <c r="BN86" s="2270"/>
      <c r="BO86" s="2270"/>
      <c r="BP86" s="2270"/>
      <c r="BQ86" s="2270"/>
      <c r="BR86" s="2270"/>
      <c r="BS86" s="2270"/>
      <c r="BT86" s="2270"/>
      <c r="BU86" s="2270"/>
      <c r="BV86" s="2270"/>
      <c r="BW86" s="2270"/>
      <c r="BX86" s="2270"/>
      <c r="BY86" s="2270"/>
      <c r="BZ86" s="2270"/>
      <c r="CA86" s="2270"/>
      <c r="CB86" s="2270"/>
      <c r="CC86" s="2270"/>
      <c r="CD86" s="2270"/>
      <c r="CE86" s="2270"/>
      <c r="CF86" s="2270"/>
      <c r="CG86" s="2270"/>
      <c r="CH86" s="2270"/>
      <c r="CI86" s="2270"/>
      <c r="CJ86" s="2270"/>
      <c r="CK86" s="2270"/>
      <c r="CL86" s="2270"/>
      <c r="CM86" s="2270"/>
      <c r="CN86" s="2270"/>
      <c r="CO86" s="2270"/>
      <c r="CP86" s="2270"/>
      <c r="CQ86" s="2270"/>
      <c r="CR86" s="2270"/>
      <c r="CS86" s="2270"/>
      <c r="CT86" s="2270"/>
      <c r="CU86" s="2270"/>
      <c r="CV86" s="2270"/>
      <c r="CW86" s="2270"/>
      <c r="CX86" s="2270"/>
      <c r="CY86" s="2270"/>
      <c r="CZ86" s="2270"/>
      <c r="DA86" s="2270"/>
      <c r="DB86" s="2270"/>
      <c r="DC86" s="2270"/>
      <c r="DD86" s="2270"/>
      <c r="DE86" s="2270"/>
    </row>
    <row r="87" spans="1:109" s="2311" customFormat="1" ht="13.5" hidden="1" customHeight="1">
      <c r="A87" s="2307"/>
      <c r="B87" s="2304" t="s">
        <v>18</v>
      </c>
      <c r="C87" s="2308"/>
      <c r="D87" s="2308">
        <f>+D88</f>
        <v>0</v>
      </c>
      <c r="E87" s="2308">
        <f t="shared" ref="E87:L87" si="62">+E88</f>
        <v>0</v>
      </c>
      <c r="F87" s="2308">
        <f t="shared" si="62"/>
        <v>0</v>
      </c>
      <c r="G87" s="2308">
        <f t="shared" si="62"/>
        <v>0</v>
      </c>
      <c r="H87" s="2308">
        <f t="shared" si="62"/>
        <v>0</v>
      </c>
      <c r="I87" s="2308">
        <f t="shared" si="62"/>
        <v>0</v>
      </c>
      <c r="J87" s="2308">
        <f t="shared" si="62"/>
        <v>0</v>
      </c>
      <c r="K87" s="2308">
        <f t="shared" si="62"/>
        <v>0</v>
      </c>
      <c r="L87" s="2308">
        <f t="shared" si="62"/>
        <v>0</v>
      </c>
      <c r="M87" s="3380"/>
      <c r="N87" s="3380"/>
      <c r="O87" s="2309"/>
      <c r="P87" s="2310"/>
      <c r="Q87" s="2310"/>
      <c r="R87" s="2310"/>
      <c r="S87" s="2310"/>
      <c r="T87" s="2310"/>
      <c r="U87" s="2310"/>
      <c r="V87" s="2310"/>
      <c r="W87" s="2310"/>
      <c r="X87" s="2310"/>
      <c r="Y87" s="2310"/>
      <c r="Z87" s="2310"/>
      <c r="AA87" s="2310"/>
      <c r="AB87" s="2310"/>
      <c r="AC87" s="2310"/>
      <c r="AD87" s="2310"/>
      <c r="AE87" s="2310"/>
      <c r="AF87" s="2310"/>
      <c r="AG87" s="2310"/>
      <c r="AH87" s="2310"/>
      <c r="AI87" s="2310"/>
      <c r="AJ87" s="2310"/>
      <c r="AK87" s="2310"/>
      <c r="AL87" s="2310"/>
      <c r="AM87" s="2310"/>
      <c r="AN87" s="2310"/>
      <c r="AO87" s="2310"/>
      <c r="AP87" s="2310"/>
      <c r="AQ87" s="2310"/>
      <c r="AR87" s="2310"/>
      <c r="AS87" s="2310"/>
      <c r="AT87" s="2310"/>
      <c r="AU87" s="2310"/>
      <c r="AV87" s="2310"/>
      <c r="AW87" s="2310"/>
      <c r="AX87" s="2310"/>
      <c r="AY87" s="2310"/>
      <c r="AZ87" s="2310"/>
      <c r="BA87" s="2310"/>
      <c r="BB87" s="2310"/>
      <c r="BC87" s="2310"/>
      <c r="BD87" s="2310"/>
      <c r="BE87" s="2310"/>
      <c r="BF87" s="2310"/>
      <c r="BG87" s="2310"/>
      <c r="BH87" s="2310"/>
      <c r="BI87" s="2310"/>
      <c r="BJ87" s="2310"/>
      <c r="BK87" s="2310"/>
      <c r="BL87" s="2310"/>
      <c r="BM87" s="2310"/>
      <c r="BN87" s="2310"/>
      <c r="BO87" s="2310"/>
      <c r="BP87" s="2310"/>
      <c r="BQ87" s="2310"/>
      <c r="BR87" s="2310"/>
      <c r="BS87" s="2310"/>
      <c r="BT87" s="2310"/>
      <c r="BU87" s="2310"/>
      <c r="BV87" s="2310"/>
      <c r="BW87" s="2310"/>
      <c r="BX87" s="2310"/>
      <c r="BY87" s="2310"/>
      <c r="BZ87" s="2310"/>
      <c r="CA87" s="2310"/>
      <c r="CB87" s="2310"/>
      <c r="CC87" s="2310"/>
      <c r="CD87" s="2310"/>
      <c r="CE87" s="2310"/>
      <c r="CF87" s="2310"/>
      <c r="CG87" s="2310"/>
      <c r="CH87" s="2310"/>
      <c r="CI87" s="2310"/>
      <c r="CJ87" s="2310"/>
      <c r="CK87" s="2310"/>
      <c r="CL87" s="2310"/>
      <c r="CM87" s="2310"/>
      <c r="CN87" s="2310"/>
      <c r="CO87" s="2310"/>
      <c r="CP87" s="2310"/>
      <c r="CQ87" s="2310"/>
      <c r="CR87" s="2310"/>
      <c r="CS87" s="2310"/>
      <c r="CT87" s="2310"/>
      <c r="CU87" s="2310"/>
      <c r="CV87" s="2310"/>
      <c r="CW87" s="2310"/>
      <c r="CX87" s="2310"/>
      <c r="CY87" s="2310"/>
      <c r="CZ87" s="2310"/>
      <c r="DA87" s="2310"/>
      <c r="DB87" s="2310"/>
      <c r="DC87" s="2310"/>
      <c r="DD87" s="2310"/>
      <c r="DE87" s="2310"/>
    </row>
    <row r="88" spans="1:109" s="2271" customFormat="1" ht="13.5" hidden="1" customHeight="1" thickBot="1">
      <c r="A88" s="2227"/>
      <c r="B88" s="2289" t="s">
        <v>35</v>
      </c>
      <c r="C88" s="2290"/>
      <c r="D88" s="2290">
        <f>+D109</f>
        <v>0</v>
      </c>
      <c r="E88" s="2290">
        <f t="shared" ref="E88:F88" si="63">+E109</f>
        <v>0</v>
      </c>
      <c r="F88" s="2290">
        <f t="shared" si="63"/>
        <v>0</v>
      </c>
      <c r="G88" s="2290">
        <v>0</v>
      </c>
      <c r="H88" s="2290">
        <v>0</v>
      </c>
      <c r="I88" s="2290">
        <v>0</v>
      </c>
      <c r="J88" s="2290">
        <v>0</v>
      </c>
      <c r="K88" s="2290">
        <v>0</v>
      </c>
      <c r="L88" s="2290">
        <v>0</v>
      </c>
      <c r="M88" s="3381"/>
      <c r="N88" s="3381"/>
      <c r="O88" s="2297"/>
      <c r="P88" s="2270"/>
      <c r="Q88" s="2270"/>
      <c r="R88" s="2270"/>
      <c r="S88" s="2270"/>
      <c r="T88" s="2270"/>
      <c r="U88" s="2270"/>
      <c r="V88" s="2270"/>
      <c r="W88" s="2270"/>
      <c r="X88" s="2270"/>
      <c r="Y88" s="2270"/>
      <c r="Z88" s="2270"/>
      <c r="AA88" s="2270"/>
      <c r="AB88" s="2270"/>
      <c r="AC88" s="2270"/>
      <c r="AD88" s="2270"/>
      <c r="AE88" s="2270"/>
      <c r="AF88" s="2270"/>
      <c r="AG88" s="2270"/>
      <c r="AH88" s="2270"/>
      <c r="AI88" s="2270"/>
      <c r="AJ88" s="2270"/>
      <c r="AK88" s="2270"/>
      <c r="AL88" s="2270"/>
      <c r="AM88" s="2270"/>
      <c r="AN88" s="2270"/>
      <c r="AO88" s="2270"/>
      <c r="AP88" s="2270"/>
      <c r="AQ88" s="2270"/>
      <c r="AR88" s="2270"/>
      <c r="AS88" s="2270"/>
      <c r="AT88" s="2270"/>
      <c r="AU88" s="2270"/>
      <c r="AV88" s="2270"/>
      <c r="AW88" s="2270"/>
      <c r="AX88" s="2270"/>
      <c r="AY88" s="2270"/>
      <c r="AZ88" s="2270"/>
      <c r="BA88" s="2270"/>
      <c r="BB88" s="2270"/>
      <c r="BC88" s="2270"/>
      <c r="BD88" s="2270"/>
      <c r="BE88" s="2270"/>
      <c r="BF88" s="2270"/>
      <c r="BG88" s="2270"/>
      <c r="BH88" s="2270"/>
      <c r="BI88" s="2270"/>
      <c r="BJ88" s="2270"/>
      <c r="BK88" s="2270"/>
      <c r="BL88" s="2270"/>
      <c r="BM88" s="2270"/>
      <c r="BN88" s="2270"/>
      <c r="BO88" s="2270"/>
      <c r="BP88" s="2270"/>
      <c r="BQ88" s="2270"/>
      <c r="BR88" s="2270"/>
      <c r="BS88" s="2270"/>
      <c r="BT88" s="2270"/>
      <c r="BU88" s="2270"/>
      <c r="BV88" s="2270"/>
      <c r="BW88" s="2270"/>
      <c r="BX88" s="2270"/>
      <c r="BY88" s="2270"/>
      <c r="BZ88" s="2270"/>
      <c r="CA88" s="2270"/>
      <c r="CB88" s="2270"/>
      <c r="CC88" s="2270"/>
      <c r="CD88" s="2270"/>
      <c r="CE88" s="2270"/>
      <c r="CF88" s="2270"/>
      <c r="CG88" s="2270"/>
      <c r="CH88" s="2270"/>
      <c r="CI88" s="2270"/>
      <c r="CJ88" s="2270"/>
      <c r="CK88" s="2270"/>
      <c r="CL88" s="2270"/>
      <c r="CM88" s="2270"/>
      <c r="CN88" s="2270"/>
      <c r="CO88" s="2270"/>
      <c r="CP88" s="2270"/>
      <c r="CQ88" s="2270"/>
      <c r="CR88" s="2270"/>
      <c r="CS88" s="2270"/>
      <c r="CT88" s="2270"/>
      <c r="CU88" s="2270"/>
      <c r="CV88" s="2270"/>
      <c r="CW88" s="2270"/>
      <c r="CX88" s="2270"/>
      <c r="CY88" s="2270"/>
      <c r="CZ88" s="2270"/>
      <c r="DA88" s="2270"/>
      <c r="DB88" s="2270"/>
      <c r="DC88" s="2270"/>
      <c r="DD88" s="2270"/>
      <c r="DE88" s="2270"/>
    </row>
    <row r="89" spans="1:109" s="2271" customFormat="1" ht="39.75" hidden="1" customHeight="1">
      <c r="A89" s="3382" t="s">
        <v>63</v>
      </c>
      <c r="B89" s="2312" t="s">
        <v>140</v>
      </c>
      <c r="C89" s="2313" t="s">
        <v>81</v>
      </c>
      <c r="D89" s="2314"/>
      <c r="E89" s="2315"/>
      <c r="F89" s="2315"/>
      <c r="G89" s="2315"/>
      <c r="H89" s="2315"/>
      <c r="I89" s="2315"/>
      <c r="J89" s="2315"/>
      <c r="K89" s="2315"/>
      <c r="L89" s="2315"/>
      <c r="M89" s="2316"/>
      <c r="N89" s="2316"/>
      <c r="O89" s="3367" t="s">
        <v>141</v>
      </c>
      <c r="P89" s="2270"/>
      <c r="Q89" s="2270"/>
      <c r="R89" s="2270"/>
      <c r="S89" s="2270"/>
      <c r="T89" s="2270"/>
      <c r="U89" s="2270"/>
      <c r="V89" s="2270"/>
      <c r="W89" s="2270"/>
      <c r="X89" s="2270"/>
      <c r="Y89" s="2270"/>
      <c r="Z89" s="2270"/>
      <c r="AA89" s="2270"/>
      <c r="AB89" s="2270"/>
      <c r="AC89" s="2270"/>
      <c r="AD89" s="2270"/>
      <c r="AE89" s="2270"/>
      <c r="AF89" s="2270"/>
      <c r="AG89" s="2270"/>
      <c r="AH89" s="2270"/>
      <c r="AI89" s="2270"/>
      <c r="AJ89" s="2270"/>
      <c r="AK89" s="2270"/>
      <c r="AL89" s="2270"/>
      <c r="AM89" s="2270"/>
      <c r="AN89" s="2270"/>
      <c r="AO89" s="2270"/>
      <c r="AP89" s="2270"/>
      <c r="AQ89" s="2270"/>
      <c r="AR89" s="2270"/>
      <c r="AS89" s="2270"/>
      <c r="AT89" s="2270"/>
      <c r="AU89" s="2270"/>
      <c r="AV89" s="2270"/>
      <c r="AW89" s="2270"/>
      <c r="AX89" s="2270"/>
      <c r="AY89" s="2270"/>
      <c r="AZ89" s="2270"/>
      <c r="BA89" s="2270"/>
      <c r="BB89" s="2270"/>
      <c r="BC89" s="2270"/>
      <c r="BD89" s="2270"/>
      <c r="BE89" s="2270"/>
      <c r="BF89" s="2270"/>
      <c r="BG89" s="2270"/>
      <c r="BH89" s="2270"/>
      <c r="BI89" s="2270"/>
      <c r="BJ89" s="2270"/>
      <c r="BK89" s="2270"/>
      <c r="BL89" s="2270"/>
      <c r="BM89" s="2270"/>
      <c r="BN89" s="2270"/>
      <c r="BO89" s="2270"/>
      <c r="BP89" s="2270"/>
      <c r="BQ89" s="2270"/>
      <c r="BR89" s="2270"/>
      <c r="BS89" s="2270"/>
      <c r="BT89" s="2270"/>
      <c r="BU89" s="2270"/>
      <c r="BV89" s="2270"/>
      <c r="BW89" s="2270"/>
      <c r="BX89" s="2270"/>
      <c r="BY89" s="2270"/>
      <c r="BZ89" s="2270"/>
      <c r="CA89" s="2270"/>
      <c r="CB89" s="2270"/>
      <c r="CC89" s="2270"/>
      <c r="CD89" s="2270"/>
      <c r="CE89" s="2270"/>
      <c r="CF89" s="2270"/>
      <c r="CG89" s="2270"/>
      <c r="CH89" s="2270"/>
      <c r="CI89" s="2270"/>
      <c r="CJ89" s="2270"/>
      <c r="CK89" s="2270"/>
      <c r="CL89" s="2270"/>
      <c r="CM89" s="2270"/>
      <c r="CN89" s="2270"/>
      <c r="CO89" s="2270"/>
      <c r="CP89" s="2270"/>
      <c r="CQ89" s="2270"/>
      <c r="CR89" s="2270"/>
      <c r="CS89" s="2270"/>
      <c r="CT89" s="2270"/>
      <c r="CU89" s="2270"/>
      <c r="CV89" s="2270"/>
      <c r="CW89" s="2270"/>
      <c r="CX89" s="2270"/>
      <c r="CY89" s="2270"/>
      <c r="CZ89" s="2270"/>
      <c r="DA89" s="2270"/>
      <c r="DB89" s="2270"/>
      <c r="DC89" s="2270"/>
      <c r="DD89" s="2270"/>
      <c r="DE89" s="2270"/>
    </row>
    <row r="90" spans="1:109" s="2271" customFormat="1" ht="18.75" hidden="1" customHeight="1">
      <c r="A90" s="3383"/>
      <c r="B90" s="2317" t="s">
        <v>10</v>
      </c>
      <c r="C90" s="2318"/>
      <c r="D90" s="2260"/>
      <c r="E90" s="2260"/>
      <c r="F90" s="2260">
        <f t="shared" ref="F90:G91" si="64">F91</f>
        <v>0</v>
      </c>
      <c r="G90" s="2260">
        <f t="shared" si="64"/>
        <v>0</v>
      </c>
      <c r="H90" s="2260"/>
      <c r="I90" s="2260"/>
      <c r="J90" s="2260"/>
      <c r="K90" s="2260"/>
      <c r="L90" s="2260"/>
      <c r="M90" s="2303">
        <f>+M91</f>
        <v>0</v>
      </c>
      <c r="N90" s="2303">
        <f>+N91</f>
        <v>0</v>
      </c>
      <c r="O90" s="3368"/>
      <c r="P90" s="2270"/>
      <c r="Q90" s="2270"/>
      <c r="R90" s="2270"/>
      <c r="S90" s="2270"/>
      <c r="T90" s="2270"/>
      <c r="U90" s="2270"/>
      <c r="V90" s="2270"/>
      <c r="W90" s="2270"/>
      <c r="X90" s="2270"/>
      <c r="Y90" s="2270"/>
      <c r="Z90" s="2270"/>
      <c r="AA90" s="2270"/>
      <c r="AB90" s="2270"/>
      <c r="AC90" s="2270"/>
      <c r="AD90" s="2270"/>
      <c r="AE90" s="2270"/>
      <c r="AF90" s="2270"/>
      <c r="AG90" s="2270"/>
      <c r="AH90" s="2270"/>
      <c r="AI90" s="2270"/>
      <c r="AJ90" s="2270"/>
      <c r="AK90" s="2270"/>
      <c r="AL90" s="2270"/>
      <c r="AM90" s="2270"/>
      <c r="AN90" s="2270"/>
      <c r="AO90" s="2270"/>
      <c r="AP90" s="2270"/>
      <c r="AQ90" s="2270"/>
      <c r="AR90" s="2270"/>
      <c r="AS90" s="2270"/>
      <c r="AT90" s="2270"/>
      <c r="AU90" s="2270"/>
      <c r="AV90" s="2270"/>
      <c r="AW90" s="2270"/>
      <c r="AX90" s="2270"/>
      <c r="AY90" s="2270"/>
      <c r="AZ90" s="2270"/>
      <c r="BA90" s="2270"/>
      <c r="BB90" s="2270"/>
      <c r="BC90" s="2270"/>
      <c r="BD90" s="2270"/>
      <c r="BE90" s="2270"/>
      <c r="BF90" s="2270"/>
      <c r="BG90" s="2270"/>
      <c r="BH90" s="2270"/>
      <c r="BI90" s="2270"/>
      <c r="BJ90" s="2270"/>
      <c r="BK90" s="2270"/>
      <c r="BL90" s="2270"/>
      <c r="BM90" s="2270"/>
      <c r="BN90" s="2270"/>
      <c r="BO90" s="2270"/>
      <c r="BP90" s="2270"/>
      <c r="BQ90" s="2270"/>
      <c r="BR90" s="2270"/>
      <c r="BS90" s="2270"/>
      <c r="BT90" s="2270"/>
      <c r="BU90" s="2270"/>
      <c r="BV90" s="2270"/>
      <c r="BW90" s="2270"/>
      <c r="BX90" s="2270"/>
      <c r="BY90" s="2270"/>
      <c r="BZ90" s="2270"/>
      <c r="CA90" s="2270"/>
      <c r="CB90" s="2270"/>
      <c r="CC90" s="2270"/>
      <c r="CD90" s="2270"/>
      <c r="CE90" s="2270"/>
      <c r="CF90" s="2270"/>
      <c r="CG90" s="2270"/>
      <c r="CH90" s="2270"/>
      <c r="CI90" s="2270"/>
      <c r="CJ90" s="2270"/>
      <c r="CK90" s="2270"/>
      <c r="CL90" s="2270"/>
      <c r="CM90" s="2270"/>
      <c r="CN90" s="2270"/>
      <c r="CO90" s="2270"/>
      <c r="CP90" s="2270"/>
      <c r="CQ90" s="2270"/>
      <c r="CR90" s="2270"/>
      <c r="CS90" s="2270"/>
      <c r="CT90" s="2270"/>
      <c r="CU90" s="2270"/>
      <c r="CV90" s="2270"/>
      <c r="CW90" s="2270"/>
      <c r="CX90" s="2270"/>
      <c r="CY90" s="2270"/>
      <c r="CZ90" s="2270"/>
      <c r="DA90" s="2270"/>
      <c r="DB90" s="2270"/>
      <c r="DC90" s="2270"/>
      <c r="DD90" s="2270"/>
      <c r="DE90" s="2270"/>
    </row>
    <row r="91" spans="1:109" s="2292" customFormat="1" ht="18.75" hidden="1" customHeight="1">
      <c r="A91" s="3383"/>
      <c r="B91" s="2319" t="s">
        <v>24</v>
      </c>
      <c r="C91" s="3358" t="s">
        <v>142</v>
      </c>
      <c r="D91" s="2320"/>
      <c r="E91" s="2320"/>
      <c r="F91" s="2320">
        <f t="shared" si="64"/>
        <v>0</v>
      </c>
      <c r="G91" s="2320">
        <f t="shared" si="64"/>
        <v>0</v>
      </c>
      <c r="H91" s="2320"/>
      <c r="I91" s="2320"/>
      <c r="J91" s="2320"/>
      <c r="K91" s="2320"/>
      <c r="L91" s="2320"/>
      <c r="M91" s="2321">
        <f>+M92</f>
        <v>0</v>
      </c>
      <c r="N91" s="2321">
        <f>+N92</f>
        <v>0</v>
      </c>
      <c r="O91" s="3368"/>
    </row>
    <row r="92" spans="1:109" s="2271" customFormat="1" ht="18.75" hidden="1" customHeight="1" thickBot="1">
      <c r="A92" s="3384"/>
      <c r="B92" s="2322" t="s">
        <v>12</v>
      </c>
      <c r="C92" s="3360"/>
      <c r="D92" s="2323"/>
      <c r="E92" s="2323"/>
      <c r="F92" s="2323">
        <v>0</v>
      </c>
      <c r="G92" s="2323">
        <v>0</v>
      </c>
      <c r="H92" s="2323"/>
      <c r="I92" s="2323"/>
      <c r="J92" s="2323"/>
      <c r="K92" s="2323"/>
      <c r="L92" s="2323"/>
      <c r="M92" s="2291">
        <f>SUM(E92:G92)</f>
        <v>0</v>
      </c>
      <c r="N92" s="2291">
        <f>SUM(F92:H92)</f>
        <v>0</v>
      </c>
      <c r="O92" s="3369"/>
      <c r="P92" s="2270"/>
      <c r="Q92" s="2270"/>
      <c r="R92" s="2270"/>
      <c r="S92" s="2270"/>
      <c r="T92" s="2270"/>
      <c r="U92" s="2270"/>
      <c r="V92" s="2270"/>
      <c r="W92" s="2270"/>
      <c r="X92" s="2270"/>
      <c r="Y92" s="2270"/>
      <c r="Z92" s="2270"/>
      <c r="AA92" s="2270"/>
      <c r="AB92" s="2270"/>
      <c r="AC92" s="2270"/>
      <c r="AD92" s="2270"/>
      <c r="AE92" s="2270"/>
      <c r="AF92" s="2270"/>
      <c r="AG92" s="2270"/>
      <c r="AH92" s="2270"/>
      <c r="AI92" s="2270"/>
      <c r="AJ92" s="2270"/>
      <c r="AK92" s="2270"/>
      <c r="AL92" s="2270"/>
      <c r="AM92" s="2270"/>
      <c r="AN92" s="2270"/>
      <c r="AO92" s="2270"/>
      <c r="AP92" s="2270"/>
      <c r="AQ92" s="2270"/>
      <c r="AR92" s="2270"/>
      <c r="AS92" s="2270"/>
      <c r="AT92" s="2270"/>
      <c r="AU92" s="2270"/>
      <c r="AV92" s="2270"/>
      <c r="AW92" s="2270"/>
      <c r="AX92" s="2270"/>
      <c r="AY92" s="2270"/>
      <c r="AZ92" s="2270"/>
      <c r="BA92" s="2270"/>
      <c r="BB92" s="2270"/>
      <c r="BC92" s="2270"/>
      <c r="BD92" s="2270"/>
      <c r="BE92" s="2270"/>
      <c r="BF92" s="2270"/>
      <c r="BG92" s="2270"/>
      <c r="BH92" s="2270"/>
      <c r="BI92" s="2270"/>
      <c r="BJ92" s="2270"/>
      <c r="BK92" s="2270"/>
      <c r="BL92" s="2270"/>
      <c r="BM92" s="2270"/>
      <c r="BN92" s="2270"/>
      <c r="BO92" s="2270"/>
      <c r="BP92" s="2270"/>
      <c r="BQ92" s="2270"/>
      <c r="BR92" s="2270"/>
      <c r="BS92" s="2270"/>
      <c r="BT92" s="2270"/>
      <c r="BU92" s="2270"/>
      <c r="BV92" s="2270"/>
      <c r="BW92" s="2270"/>
      <c r="BX92" s="2270"/>
      <c r="BY92" s="2270"/>
      <c r="BZ92" s="2270"/>
      <c r="CA92" s="2270"/>
      <c r="CB92" s="2270"/>
      <c r="CC92" s="2270"/>
      <c r="CD92" s="2270"/>
      <c r="CE92" s="2270"/>
      <c r="CF92" s="2270"/>
      <c r="CG92" s="2270"/>
      <c r="CH92" s="2270"/>
      <c r="CI92" s="2270"/>
      <c r="CJ92" s="2270"/>
      <c r="CK92" s="2270"/>
      <c r="CL92" s="2270"/>
      <c r="CM92" s="2270"/>
      <c r="CN92" s="2270"/>
      <c r="CO92" s="2270"/>
      <c r="CP92" s="2270"/>
      <c r="CQ92" s="2270"/>
      <c r="CR92" s="2270"/>
      <c r="CS92" s="2270"/>
      <c r="CT92" s="2270"/>
      <c r="CU92" s="2270"/>
      <c r="CV92" s="2270"/>
      <c r="CW92" s="2270"/>
      <c r="CX92" s="2270"/>
      <c r="CY92" s="2270"/>
      <c r="CZ92" s="2270"/>
      <c r="DA92" s="2270"/>
      <c r="DB92" s="2270"/>
      <c r="DC92" s="2270"/>
      <c r="DD92" s="2270"/>
      <c r="DE92" s="2270"/>
    </row>
    <row r="93" spans="1:109" ht="12.75" hidden="1" customHeight="1">
      <c r="A93" s="3361" t="s">
        <v>64</v>
      </c>
      <c r="B93" s="2324" t="s">
        <v>143</v>
      </c>
      <c r="C93" s="2870" t="s">
        <v>81</v>
      </c>
      <c r="D93" s="2870"/>
      <c r="E93" s="2870"/>
      <c r="F93" s="2870"/>
      <c r="G93" s="2870"/>
      <c r="H93" s="2870"/>
      <c r="I93" s="2870"/>
      <c r="J93" s="2870"/>
      <c r="K93" s="2870"/>
      <c r="L93" s="2870"/>
      <c r="M93" s="2325"/>
      <c r="N93" s="2325"/>
      <c r="O93" s="3362" t="s">
        <v>144</v>
      </c>
    </row>
    <row r="94" spans="1:109" ht="13.5" hidden="1" customHeight="1">
      <c r="A94" s="3348"/>
      <c r="B94" s="2242" t="s">
        <v>10</v>
      </c>
      <c r="C94" s="2326"/>
      <c r="D94" s="2870"/>
      <c r="E94" s="2870"/>
      <c r="F94" s="2870">
        <v>0</v>
      </c>
      <c r="G94" s="2870">
        <v>0</v>
      </c>
      <c r="H94" s="2870"/>
      <c r="I94" s="2870"/>
      <c r="J94" s="2870"/>
      <c r="K94" s="2870"/>
      <c r="L94" s="2870"/>
      <c r="M94" s="2325"/>
      <c r="N94" s="2325"/>
      <c r="O94" s="3362"/>
    </row>
    <row r="95" spans="1:109" ht="14.25" hidden="1" customHeight="1">
      <c r="A95" s="3348"/>
      <c r="B95" s="2324" t="s">
        <v>24</v>
      </c>
      <c r="C95" s="3364" t="s">
        <v>145</v>
      </c>
      <c r="D95" s="2870"/>
      <c r="E95" s="2870"/>
      <c r="F95" s="2870">
        <v>0</v>
      </c>
      <c r="G95" s="2870">
        <v>0</v>
      </c>
      <c r="H95" s="2870"/>
      <c r="I95" s="2870"/>
      <c r="J95" s="2870"/>
      <c r="K95" s="2870"/>
      <c r="L95" s="2870"/>
      <c r="M95" s="2325"/>
      <c r="N95" s="2325"/>
      <c r="O95" s="3363"/>
    </row>
    <row r="96" spans="1:109" ht="15" hidden="1" customHeight="1" thickBot="1">
      <c r="A96" s="3348"/>
      <c r="B96" s="2324" t="s">
        <v>12</v>
      </c>
      <c r="C96" s="3364"/>
      <c r="D96" s="2870"/>
      <c r="E96" s="2870"/>
      <c r="F96" s="2870">
        <v>0</v>
      </c>
      <c r="G96" s="2870">
        <v>0</v>
      </c>
      <c r="H96" s="2870"/>
      <c r="I96" s="2870"/>
      <c r="J96" s="2870"/>
      <c r="K96" s="2870"/>
      <c r="L96" s="2870"/>
      <c r="M96" s="2325"/>
      <c r="N96" s="2325"/>
      <c r="O96" s="3363"/>
    </row>
    <row r="97" spans="1:15" ht="36.75" hidden="1" customHeight="1">
      <c r="A97" s="3347" t="s">
        <v>63</v>
      </c>
      <c r="B97" s="2312" t="s">
        <v>235</v>
      </c>
      <c r="C97" s="2327" t="s">
        <v>81</v>
      </c>
      <c r="D97" s="2328"/>
      <c r="E97" s="2315"/>
      <c r="F97" s="2315"/>
      <c r="G97" s="2315"/>
      <c r="H97" s="2315"/>
      <c r="I97" s="2315"/>
      <c r="J97" s="2315"/>
      <c r="K97" s="2315"/>
      <c r="L97" s="2315"/>
      <c r="M97" s="2329"/>
      <c r="N97" s="2329"/>
      <c r="O97" s="3365" t="s">
        <v>201</v>
      </c>
    </row>
    <row r="98" spans="1:15" ht="14.25" hidden="1" customHeight="1">
      <c r="A98" s="3361"/>
      <c r="B98" s="2231" t="s">
        <v>10</v>
      </c>
      <c r="C98" s="2326"/>
      <c r="D98" s="2330"/>
      <c r="E98" s="2330">
        <f>+E99+E102</f>
        <v>0</v>
      </c>
      <c r="F98" s="2330">
        <v>0</v>
      </c>
      <c r="G98" s="2330">
        <v>0</v>
      </c>
      <c r="H98" s="2330">
        <v>0</v>
      </c>
      <c r="I98" s="2330">
        <v>0</v>
      </c>
      <c r="J98" s="2330">
        <v>0</v>
      </c>
      <c r="K98" s="2330">
        <v>0</v>
      </c>
      <c r="L98" s="2330">
        <v>0</v>
      </c>
      <c r="M98" s="2303">
        <f>+M99</f>
        <v>0</v>
      </c>
      <c r="N98" s="2303">
        <f>+N99</f>
        <v>0</v>
      </c>
      <c r="O98" s="3365"/>
    </row>
    <row r="99" spans="1:15" ht="15.75" hidden="1" customHeight="1">
      <c r="A99" s="3361"/>
      <c r="B99" s="2331" t="s">
        <v>24</v>
      </c>
      <c r="C99" s="3358" t="s">
        <v>146</v>
      </c>
      <c r="D99" s="2332"/>
      <c r="E99" s="2332">
        <f t="shared" ref="E99" si="65">E100+E101</f>
        <v>0</v>
      </c>
      <c r="F99" s="2332">
        <f t="shared" ref="F99:L99" si="66">F100+F101</f>
        <v>0</v>
      </c>
      <c r="G99" s="2332">
        <f t="shared" si="66"/>
        <v>0</v>
      </c>
      <c r="H99" s="2332">
        <f t="shared" si="66"/>
        <v>0</v>
      </c>
      <c r="I99" s="2332">
        <f t="shared" si="66"/>
        <v>0</v>
      </c>
      <c r="J99" s="2332">
        <f t="shared" si="66"/>
        <v>0</v>
      </c>
      <c r="K99" s="2332">
        <f t="shared" si="66"/>
        <v>0</v>
      </c>
      <c r="L99" s="2332">
        <f t="shared" si="66"/>
        <v>0</v>
      </c>
      <c r="M99" s="2288">
        <f>+M101</f>
        <v>0</v>
      </c>
      <c r="N99" s="2288">
        <f>+N101</f>
        <v>0</v>
      </c>
      <c r="O99" s="3365"/>
    </row>
    <row r="100" spans="1:15" ht="13.5" hidden="1" customHeight="1">
      <c r="A100" s="3361"/>
      <c r="B100" s="2333" t="s">
        <v>137</v>
      </c>
      <c r="C100" s="3374"/>
      <c r="D100" s="2246"/>
      <c r="E100" s="2246"/>
      <c r="F100" s="2252">
        <v>0</v>
      </c>
      <c r="G100" s="2252">
        <v>0</v>
      </c>
      <c r="H100" s="2252">
        <v>0</v>
      </c>
      <c r="I100" s="2252">
        <v>0</v>
      </c>
      <c r="J100" s="2252">
        <v>0</v>
      </c>
      <c r="K100" s="2252">
        <v>0</v>
      </c>
      <c r="L100" s="2252">
        <v>0</v>
      </c>
      <c r="M100" s="2296" t="s">
        <v>61</v>
      </c>
      <c r="N100" s="2296" t="s">
        <v>61</v>
      </c>
      <c r="O100" s="3365"/>
    </row>
    <row r="101" spans="1:15" ht="13.5" hidden="1" customHeight="1">
      <c r="A101" s="3361"/>
      <c r="B101" s="2334" t="s">
        <v>138</v>
      </c>
      <c r="C101" s="3374"/>
      <c r="D101" s="2246"/>
      <c r="E101" s="2246"/>
      <c r="F101" s="2335">
        <v>0</v>
      </c>
      <c r="G101" s="2335">
        <v>0</v>
      </c>
      <c r="H101" s="2335">
        <v>0</v>
      </c>
      <c r="I101" s="2335">
        <v>0</v>
      </c>
      <c r="J101" s="2335">
        <v>0</v>
      </c>
      <c r="K101" s="2335">
        <v>0</v>
      </c>
      <c r="L101" s="2335">
        <v>0</v>
      </c>
      <c r="M101" s="2288"/>
      <c r="N101" s="2288"/>
      <c r="O101" s="3365"/>
    </row>
    <row r="102" spans="1:15" ht="12" hidden="1" customHeight="1">
      <c r="A102" s="3361"/>
      <c r="B102" s="2331" t="s">
        <v>18</v>
      </c>
      <c r="C102" s="3374"/>
      <c r="D102" s="2332"/>
      <c r="E102" s="2332">
        <f t="shared" ref="E102" si="67">+E103</f>
        <v>0</v>
      </c>
      <c r="F102" s="2332">
        <v>0</v>
      </c>
      <c r="G102" s="2332">
        <v>0</v>
      </c>
      <c r="H102" s="2332">
        <v>0</v>
      </c>
      <c r="I102" s="2332">
        <v>0</v>
      </c>
      <c r="J102" s="2332">
        <v>0</v>
      </c>
      <c r="K102" s="2332">
        <v>0</v>
      </c>
      <c r="L102" s="2332">
        <v>0</v>
      </c>
      <c r="M102" s="2296" t="str">
        <f>+M103</f>
        <v>x</v>
      </c>
      <c r="N102" s="2296" t="str">
        <f>+N103</f>
        <v>x</v>
      </c>
      <c r="O102" s="3365"/>
    </row>
    <row r="103" spans="1:15" ht="14.25" hidden="1" customHeight="1">
      <c r="A103" s="3361"/>
      <c r="B103" s="2336" t="s">
        <v>35</v>
      </c>
      <c r="C103" s="3359"/>
      <c r="D103" s="2246"/>
      <c r="E103" s="2246"/>
      <c r="F103" s="2337">
        <v>0</v>
      </c>
      <c r="G103" s="2337">
        <v>0</v>
      </c>
      <c r="H103" s="2337">
        <v>0</v>
      </c>
      <c r="I103" s="2337">
        <v>0</v>
      </c>
      <c r="J103" s="2337">
        <v>0</v>
      </c>
      <c r="K103" s="2337">
        <v>0</v>
      </c>
      <c r="L103" s="2337">
        <v>0</v>
      </c>
      <c r="M103" s="2338" t="s">
        <v>61</v>
      </c>
      <c r="N103" s="2338" t="s">
        <v>61</v>
      </c>
      <c r="O103" s="3365"/>
    </row>
    <row r="104" spans="1:15" ht="13.5" hidden="1" customHeight="1">
      <c r="A104" s="3361"/>
      <c r="B104" s="2242" t="s">
        <v>22</v>
      </c>
      <c r="C104" s="2326"/>
      <c r="D104" s="2330"/>
      <c r="E104" s="2330">
        <f>E108+E105</f>
        <v>0</v>
      </c>
      <c r="F104" s="2330">
        <v>0</v>
      </c>
      <c r="G104" s="2330">
        <v>0</v>
      </c>
      <c r="H104" s="2330">
        <v>0</v>
      </c>
      <c r="I104" s="2330">
        <v>0</v>
      </c>
      <c r="J104" s="2330">
        <v>0</v>
      </c>
      <c r="K104" s="2330">
        <v>0</v>
      </c>
      <c r="L104" s="2330">
        <v>0</v>
      </c>
      <c r="M104" s="2303"/>
      <c r="N104" s="2303"/>
      <c r="O104" s="3365"/>
    </row>
    <row r="105" spans="1:15" ht="14.25" hidden="1" customHeight="1">
      <c r="A105" s="3361"/>
      <c r="B105" s="2244" t="s">
        <v>24</v>
      </c>
      <c r="C105" s="3375" t="s">
        <v>23</v>
      </c>
      <c r="D105" s="2339"/>
      <c r="E105" s="2339">
        <f t="shared" ref="E105" si="68">+E107+E106</f>
        <v>0</v>
      </c>
      <c r="F105" s="2332">
        <f t="shared" ref="F105:L105" si="69">+F107+F106</f>
        <v>0</v>
      </c>
      <c r="G105" s="2332">
        <f t="shared" si="69"/>
        <v>0</v>
      </c>
      <c r="H105" s="2332">
        <f t="shared" si="69"/>
        <v>0</v>
      </c>
      <c r="I105" s="2332">
        <f t="shared" si="69"/>
        <v>0</v>
      </c>
      <c r="J105" s="2332">
        <f t="shared" si="69"/>
        <v>0</v>
      </c>
      <c r="K105" s="2332">
        <f t="shared" si="69"/>
        <v>0</v>
      </c>
      <c r="L105" s="2332">
        <f t="shared" si="69"/>
        <v>0</v>
      </c>
      <c r="M105" s="3379" t="s">
        <v>61</v>
      </c>
      <c r="N105" s="3379" t="s">
        <v>61</v>
      </c>
      <c r="O105" s="3365"/>
    </row>
    <row r="106" spans="1:15" ht="13.5" hidden="1" customHeight="1">
      <c r="A106" s="3361"/>
      <c r="B106" s="2333" t="s">
        <v>137</v>
      </c>
      <c r="C106" s="3376"/>
      <c r="D106" s="2246"/>
      <c r="E106" s="2246"/>
      <c r="F106" s="2340">
        <v>0</v>
      </c>
      <c r="G106" s="2340">
        <v>0</v>
      </c>
      <c r="H106" s="2340">
        <v>0</v>
      </c>
      <c r="I106" s="2340">
        <v>0</v>
      </c>
      <c r="J106" s="2340">
        <v>0</v>
      </c>
      <c r="K106" s="2340">
        <v>0</v>
      </c>
      <c r="L106" s="2340">
        <v>0</v>
      </c>
      <c r="M106" s="3380"/>
      <c r="N106" s="3380"/>
      <c r="O106" s="3365"/>
    </row>
    <row r="107" spans="1:15" ht="13.5" hidden="1" customHeight="1">
      <c r="A107" s="3361"/>
      <c r="B107" s="2334" t="s">
        <v>147</v>
      </c>
      <c r="C107" s="3376"/>
      <c r="D107" s="2246"/>
      <c r="E107" s="2341"/>
      <c r="F107" s="2335">
        <v>0</v>
      </c>
      <c r="G107" s="2335">
        <v>0</v>
      </c>
      <c r="H107" s="2335">
        <v>0</v>
      </c>
      <c r="I107" s="2335">
        <v>0</v>
      </c>
      <c r="J107" s="2335">
        <v>0</v>
      </c>
      <c r="K107" s="2335">
        <v>0</v>
      </c>
      <c r="L107" s="2335">
        <v>0</v>
      </c>
      <c r="M107" s="3380"/>
      <c r="N107" s="3380"/>
      <c r="O107" s="3365"/>
    </row>
    <row r="108" spans="1:15" ht="12.75" hidden="1" customHeight="1">
      <c r="A108" s="3361"/>
      <c r="B108" s="2331" t="s">
        <v>18</v>
      </c>
      <c r="C108" s="3376"/>
      <c r="D108" s="2339"/>
      <c r="E108" s="2339">
        <f t="shared" ref="E108" si="70">+E109</f>
        <v>0</v>
      </c>
      <c r="F108" s="2332">
        <v>0</v>
      </c>
      <c r="G108" s="2332">
        <v>0</v>
      </c>
      <c r="H108" s="2332">
        <v>0</v>
      </c>
      <c r="I108" s="2332">
        <v>0</v>
      </c>
      <c r="J108" s="2332"/>
      <c r="K108" s="2332"/>
      <c r="L108" s="2332"/>
      <c r="M108" s="3380"/>
      <c r="N108" s="3380"/>
      <c r="O108" s="3365"/>
    </row>
    <row r="109" spans="1:15" ht="13.5" hidden="1" customHeight="1" thickBot="1">
      <c r="A109" s="3361"/>
      <c r="B109" s="2342" t="s">
        <v>35</v>
      </c>
      <c r="C109" s="3377"/>
      <c r="D109" s="2246"/>
      <c r="E109" s="2246">
        <v>0</v>
      </c>
      <c r="F109" s="2340">
        <v>0</v>
      </c>
      <c r="G109" s="2340">
        <v>0</v>
      </c>
      <c r="H109" s="2340">
        <v>0</v>
      </c>
      <c r="I109" s="2340">
        <v>0</v>
      </c>
      <c r="J109" s="2340">
        <v>0</v>
      </c>
      <c r="K109" s="2340">
        <v>0</v>
      </c>
      <c r="L109" s="2340">
        <v>0</v>
      </c>
      <c r="M109" s="3381"/>
      <c r="N109" s="3381"/>
      <c r="O109" s="3366"/>
    </row>
    <row r="110" spans="1:15" ht="26.25" hidden="1" customHeight="1">
      <c r="A110" s="3347" t="s">
        <v>63</v>
      </c>
      <c r="B110" s="2343" t="s">
        <v>205</v>
      </c>
      <c r="C110" s="2344" t="s">
        <v>81</v>
      </c>
      <c r="D110" s="2345"/>
      <c r="E110" s="2315"/>
      <c r="F110" s="2315"/>
      <c r="G110" s="2315"/>
      <c r="H110" s="2315"/>
      <c r="I110" s="2315"/>
      <c r="J110" s="2315"/>
      <c r="K110" s="2315"/>
      <c r="L110" s="2315"/>
      <c r="M110" s="2241"/>
      <c r="N110" s="2241"/>
      <c r="O110" s="3350" t="s">
        <v>210</v>
      </c>
    </row>
    <row r="111" spans="1:15" s="2234" customFormat="1" ht="17.25" hidden="1" customHeight="1">
      <c r="A111" s="3348"/>
      <c r="B111" s="2346" t="s">
        <v>10</v>
      </c>
      <c r="C111" s="2326"/>
      <c r="D111" s="2347"/>
      <c r="E111" s="2347">
        <f t="shared" ref="E111:J112" si="71">E112</f>
        <v>0</v>
      </c>
      <c r="F111" s="2347">
        <f t="shared" si="71"/>
        <v>0</v>
      </c>
      <c r="G111" s="2347">
        <f t="shared" si="71"/>
        <v>0</v>
      </c>
      <c r="H111" s="2347">
        <f t="shared" si="71"/>
        <v>0</v>
      </c>
      <c r="I111" s="2347">
        <f t="shared" si="71"/>
        <v>0</v>
      </c>
      <c r="J111" s="2347">
        <f t="shared" si="71"/>
        <v>0</v>
      </c>
      <c r="K111" s="2347">
        <f>K112</f>
        <v>0</v>
      </c>
      <c r="L111" s="2347">
        <f>L112</f>
        <v>0</v>
      </c>
      <c r="M111" s="2348">
        <f>+M112</f>
        <v>0</v>
      </c>
      <c r="N111" s="2348">
        <f>+N112</f>
        <v>0</v>
      </c>
      <c r="O111" s="3351"/>
    </row>
    <row r="112" spans="1:15" s="2351" customFormat="1" ht="15" hidden="1" customHeight="1">
      <c r="A112" s="3348"/>
      <c r="B112" s="2349" t="s">
        <v>24</v>
      </c>
      <c r="C112" s="3353" t="s">
        <v>146</v>
      </c>
      <c r="D112" s="2339"/>
      <c r="E112" s="2339">
        <f>E113</f>
        <v>0</v>
      </c>
      <c r="F112" s="2339">
        <f t="shared" si="71"/>
        <v>0</v>
      </c>
      <c r="G112" s="2339">
        <f t="shared" si="71"/>
        <v>0</v>
      </c>
      <c r="H112" s="2339">
        <f t="shared" si="71"/>
        <v>0</v>
      </c>
      <c r="I112" s="2339">
        <f t="shared" si="71"/>
        <v>0</v>
      </c>
      <c r="J112" s="2339">
        <f t="shared" si="71"/>
        <v>0</v>
      </c>
      <c r="K112" s="2339">
        <f>K113</f>
        <v>0</v>
      </c>
      <c r="L112" s="2339">
        <f>L113</f>
        <v>0</v>
      </c>
      <c r="M112" s="2350">
        <f>+M113</f>
        <v>0</v>
      </c>
      <c r="N112" s="2350">
        <f>+N113</f>
        <v>0</v>
      </c>
      <c r="O112" s="3351"/>
    </row>
    <row r="113" spans="1:15" s="2234" customFormat="1" ht="15" hidden="1" customHeight="1" thickBot="1">
      <c r="A113" s="3349"/>
      <c r="B113" s="2352" t="s">
        <v>138</v>
      </c>
      <c r="C113" s="3354"/>
      <c r="D113" s="2353"/>
      <c r="E113" s="2353">
        <v>0</v>
      </c>
      <c r="F113" s="2354">
        <v>0</v>
      </c>
      <c r="G113" s="2354">
        <v>0</v>
      </c>
      <c r="H113" s="2354">
        <v>0</v>
      </c>
      <c r="I113" s="2354">
        <v>0</v>
      </c>
      <c r="J113" s="2354">
        <v>0</v>
      </c>
      <c r="K113" s="2354">
        <v>0</v>
      </c>
      <c r="L113" s="2354">
        <v>0</v>
      </c>
      <c r="M113" s="2355"/>
      <c r="N113" s="2355"/>
      <c r="O113" s="3352"/>
    </row>
    <row r="114" spans="1:15" ht="12.75">
      <c r="A114" s="2870"/>
      <c r="B114" s="2870"/>
      <c r="C114" s="2870"/>
      <c r="D114" s="2870"/>
      <c r="E114" s="2870"/>
      <c r="F114" s="2870"/>
      <c r="G114" s="2870"/>
      <c r="H114" s="2870"/>
      <c r="I114" s="2870"/>
      <c r="J114" s="2870"/>
      <c r="K114" s="2870"/>
      <c r="L114" s="2870"/>
      <c r="M114" s="2870"/>
      <c r="N114" s="2870"/>
    </row>
    <row r="115" spans="1:15" ht="12.75" hidden="1">
      <c r="A115" s="2870"/>
      <c r="B115" s="2357" t="s">
        <v>408</v>
      </c>
      <c r="C115" s="2337"/>
      <c r="D115" s="2337"/>
      <c r="E115" s="2337"/>
      <c r="F115" s="2337"/>
      <c r="G115" s="2337"/>
      <c r="H115" s="2337"/>
      <c r="I115" s="2337"/>
      <c r="J115" s="2337"/>
      <c r="K115" s="2337"/>
      <c r="L115" s="2337"/>
      <c r="M115" s="2870"/>
      <c r="N115" s="2870"/>
    </row>
    <row r="116" spans="1:15" ht="12.75" hidden="1">
      <c r="A116" s="2870"/>
      <c r="B116" s="2357" t="s">
        <v>409</v>
      </c>
      <c r="C116" s="2337"/>
      <c r="D116" s="2337">
        <f>D68+D54+D38</f>
        <v>747469</v>
      </c>
      <c r="E116" s="2337">
        <f t="shared" ref="E116:L116" si="72">E68+E54+E38</f>
        <v>292115</v>
      </c>
      <c r="F116" s="2337">
        <f t="shared" si="72"/>
        <v>109775</v>
      </c>
      <c r="G116" s="2337">
        <f t="shared" si="72"/>
        <v>116637</v>
      </c>
      <c r="H116" s="2337">
        <f t="shared" si="72"/>
        <v>99540</v>
      </c>
      <c r="I116" s="2337">
        <f t="shared" si="72"/>
        <v>99540</v>
      </c>
      <c r="J116" s="2337">
        <f t="shared" si="72"/>
        <v>29862</v>
      </c>
      <c r="K116" s="2337">
        <f t="shared" si="72"/>
        <v>0</v>
      </c>
      <c r="L116" s="2337">
        <f t="shared" si="72"/>
        <v>0</v>
      </c>
      <c r="M116" s="2870"/>
      <c r="N116" s="2870"/>
    </row>
    <row r="117" spans="1:15" ht="12.75" hidden="1">
      <c r="A117" s="2870"/>
      <c r="B117" s="2357" t="s">
        <v>410</v>
      </c>
      <c r="C117" s="2337"/>
      <c r="D117" s="2337">
        <v>0</v>
      </c>
      <c r="E117" s="2337">
        <v>0</v>
      </c>
      <c r="F117" s="2337">
        <v>0</v>
      </c>
      <c r="G117" s="2337">
        <v>0</v>
      </c>
      <c r="H117" s="2337">
        <v>0</v>
      </c>
      <c r="I117" s="2337">
        <v>0</v>
      </c>
      <c r="J117" s="2337">
        <v>0</v>
      </c>
      <c r="K117" s="2337">
        <v>0</v>
      </c>
      <c r="L117" s="2337">
        <v>0</v>
      </c>
      <c r="M117" s="2870"/>
      <c r="N117" s="2870"/>
    </row>
    <row r="118" spans="1:15" ht="12.75" hidden="1">
      <c r="A118" s="2870"/>
      <c r="B118" s="2357" t="s">
        <v>411</v>
      </c>
      <c r="C118" s="2337"/>
      <c r="D118" s="2358">
        <f>D116+D117</f>
        <v>747469</v>
      </c>
      <c r="E118" s="2358">
        <f t="shared" ref="E118:L118" si="73">E116+E117</f>
        <v>292115</v>
      </c>
      <c r="F118" s="2358">
        <f t="shared" si="73"/>
        <v>109775</v>
      </c>
      <c r="G118" s="2358">
        <f t="shared" si="73"/>
        <v>116637</v>
      </c>
      <c r="H118" s="2358">
        <f t="shared" si="73"/>
        <v>99540</v>
      </c>
      <c r="I118" s="2358">
        <f t="shared" si="73"/>
        <v>99540</v>
      </c>
      <c r="J118" s="2358">
        <f t="shared" si="73"/>
        <v>29862</v>
      </c>
      <c r="K118" s="2358">
        <f t="shared" si="73"/>
        <v>0</v>
      </c>
      <c r="L118" s="2358">
        <f t="shared" si="73"/>
        <v>0</v>
      </c>
      <c r="M118" s="2870"/>
      <c r="N118" s="2870"/>
    </row>
    <row r="119" spans="1:15" ht="12.75" hidden="1">
      <c r="B119" s="2359" t="s">
        <v>42</v>
      </c>
      <c r="C119" s="2360"/>
      <c r="D119" s="2361">
        <f>D18-D118</f>
        <v>0</v>
      </c>
      <c r="E119" s="2361">
        <f t="shared" ref="E119:L119" si="74">E18-E118</f>
        <v>0</v>
      </c>
      <c r="F119" s="2361">
        <f t="shared" si="74"/>
        <v>0</v>
      </c>
      <c r="G119" s="2361">
        <f t="shared" si="74"/>
        <v>0</v>
      </c>
      <c r="H119" s="2361">
        <f t="shared" si="74"/>
        <v>0</v>
      </c>
      <c r="I119" s="2361">
        <f t="shared" si="74"/>
        <v>0</v>
      </c>
      <c r="J119" s="2361">
        <f t="shared" si="74"/>
        <v>0</v>
      </c>
      <c r="K119" s="2361">
        <f t="shared" si="74"/>
        <v>0</v>
      </c>
      <c r="L119" s="2361">
        <f t="shared" si="74"/>
        <v>0</v>
      </c>
    </row>
    <row r="120" spans="1:15" hidden="1"/>
    <row r="121" spans="1:15" hidden="1"/>
    <row r="122" spans="1:15" hidden="1"/>
    <row r="183" spans="1:15" ht="12.75">
      <c r="A183" s="2870"/>
      <c r="B183" s="2870" t="s">
        <v>69</v>
      </c>
      <c r="C183" s="2870"/>
      <c r="D183" s="2870"/>
      <c r="E183" s="2870"/>
      <c r="F183" s="2870"/>
      <c r="G183" s="2870"/>
      <c r="H183" s="2870"/>
      <c r="I183" s="2870"/>
      <c r="J183" s="2870"/>
      <c r="K183" s="2870"/>
      <c r="L183" s="2870"/>
      <c r="M183" s="2870"/>
      <c r="N183" s="2870"/>
      <c r="O183" s="2870"/>
    </row>
    <row r="184" spans="1:15" ht="12.75">
      <c r="A184" s="2870"/>
      <c r="O184" s="2870"/>
    </row>
    <row r="185" spans="1:15" ht="12.75">
      <c r="A185" s="2870"/>
      <c r="O185" s="2870"/>
    </row>
    <row r="186" spans="1:15" ht="12.75">
      <c r="A186" s="2870"/>
      <c r="O186" s="2870"/>
    </row>
    <row r="187" spans="1:15" ht="12.75">
      <c r="A187" s="2870"/>
      <c r="O187" s="2870"/>
    </row>
    <row r="188" spans="1:15" ht="12.75">
      <c r="A188" s="2870"/>
      <c r="O188" s="2870"/>
    </row>
    <row r="189" spans="1:15" ht="12.75">
      <c r="A189" s="2870"/>
      <c r="O189" s="2870"/>
    </row>
    <row r="190" spans="1:15" ht="12.75">
      <c r="A190" s="2870"/>
      <c r="O190" s="2870"/>
    </row>
    <row r="191" spans="1:15" ht="12.75">
      <c r="A191" s="2870"/>
      <c r="O191" s="2870"/>
    </row>
    <row r="192" spans="1:15" ht="12.75">
      <c r="A192" s="2870"/>
      <c r="O192" s="2870"/>
    </row>
    <row r="193" spans="1:15" ht="12.75">
      <c r="A193" s="2870"/>
      <c r="O193" s="2870"/>
    </row>
    <row r="194" spans="1:15" ht="12.75">
      <c r="A194" s="2870"/>
      <c r="B194" s="2870"/>
      <c r="C194" s="2870"/>
      <c r="D194" s="2870"/>
      <c r="E194" s="2870"/>
      <c r="F194" s="2870"/>
      <c r="G194" s="2870"/>
      <c r="H194" s="2870"/>
      <c r="I194" s="2870"/>
      <c r="J194" s="2870"/>
      <c r="K194" s="2870"/>
      <c r="L194" s="2870"/>
      <c r="M194" s="2870"/>
      <c r="N194" s="2870"/>
      <c r="O194" s="2870"/>
    </row>
  </sheetData>
  <mergeCells count="74">
    <mergeCell ref="N18:N20"/>
    <mergeCell ref="N27:N31"/>
    <mergeCell ref="O21:O31"/>
    <mergeCell ref="N38:N42"/>
    <mergeCell ref="O32:O42"/>
    <mergeCell ref="O43:O49"/>
    <mergeCell ref="N47:N49"/>
    <mergeCell ref="O64:O70"/>
    <mergeCell ref="C66:C67"/>
    <mergeCell ref="N68:N70"/>
    <mergeCell ref="C69:C70"/>
    <mergeCell ref="O57:O63"/>
    <mergeCell ref="A5:O5"/>
    <mergeCell ref="B6:B8"/>
    <mergeCell ref="C6:C8"/>
    <mergeCell ref="D6:D8"/>
    <mergeCell ref="O6:O8"/>
    <mergeCell ref="N6:N8"/>
    <mergeCell ref="E6:E8"/>
    <mergeCell ref="F6:F8"/>
    <mergeCell ref="G6:L6"/>
    <mergeCell ref="G7:G8"/>
    <mergeCell ref="H7:H8"/>
    <mergeCell ref="I7:I8"/>
    <mergeCell ref="J7:J8"/>
    <mergeCell ref="K7:K8"/>
    <mergeCell ref="L7:L8"/>
    <mergeCell ref="M6:M8"/>
    <mergeCell ref="C105:C109"/>
    <mergeCell ref="A72:L72"/>
    <mergeCell ref="N105:N109"/>
    <mergeCell ref="N54:N56"/>
    <mergeCell ref="C62:C63"/>
    <mergeCell ref="N61:N63"/>
    <mergeCell ref="C99:C103"/>
    <mergeCell ref="A57:A63"/>
    <mergeCell ref="A89:A92"/>
    <mergeCell ref="N84:N88"/>
    <mergeCell ref="A64:A70"/>
    <mergeCell ref="C59:C60"/>
    <mergeCell ref="M61:M63"/>
    <mergeCell ref="M68:M70"/>
    <mergeCell ref="M84:M88"/>
    <mergeCell ref="M105:M109"/>
    <mergeCell ref="A43:A49"/>
    <mergeCell ref="A32:A42"/>
    <mergeCell ref="C34:C37"/>
    <mergeCell ref="A21:A31"/>
    <mergeCell ref="C28:C31"/>
    <mergeCell ref="C23:C26"/>
    <mergeCell ref="C39:C42"/>
    <mergeCell ref="C45:C46"/>
    <mergeCell ref="C48:C49"/>
    <mergeCell ref="A110:A113"/>
    <mergeCell ref="O110:O113"/>
    <mergeCell ref="C112:C113"/>
    <mergeCell ref="A50:A56"/>
    <mergeCell ref="O50:O56"/>
    <mergeCell ref="C52:C53"/>
    <mergeCell ref="C55:C56"/>
    <mergeCell ref="A93:A96"/>
    <mergeCell ref="O93:O96"/>
    <mergeCell ref="C95:C96"/>
    <mergeCell ref="A97:A109"/>
    <mergeCell ref="O97:O109"/>
    <mergeCell ref="O89:O92"/>
    <mergeCell ref="C91:C92"/>
    <mergeCell ref="O73:O75"/>
    <mergeCell ref="O76:O80"/>
    <mergeCell ref="M18:M20"/>
    <mergeCell ref="M27:M31"/>
    <mergeCell ref="M38:M42"/>
    <mergeCell ref="M47:M49"/>
    <mergeCell ref="M54:M56"/>
  </mergeCells>
  <printOptions horizontalCentered="1"/>
  <pageMargins left="0.15748031496062992" right="0.15748031496062992" top="0.55118110236220474" bottom="0.31496062992125984" header="0.15748031496062992" footer="0.15748031496062992"/>
  <pageSetup paperSize="9" scale="68" firstPageNumber="28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__________________________________________________________________________________________________________________________________</oddHeader>
    <oddFooter>&amp;C&amp;8&amp;P</oddFooter>
  </headerFooter>
  <rowBreaks count="1" manualBreakCount="1">
    <brk id="70" max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BY552"/>
  <sheetViews>
    <sheetView showGridLines="0" view="pageBreakPreview" topLeftCell="A4" zoomScaleSheetLayoutView="100" workbookViewId="0">
      <pane xSplit="3" ySplit="5" topLeftCell="D9" activePane="bottomRight" state="frozen"/>
      <selection activeCell="L250" sqref="L250"/>
      <selection pane="topRight" activeCell="L250" sqref="L250"/>
      <selection pane="bottomLeft" activeCell="L250" sqref="L250"/>
      <selection pane="bottomRight" activeCell="E267" sqref="E267:E314"/>
    </sheetView>
  </sheetViews>
  <sheetFormatPr defaultColWidth="9.140625" defaultRowHeight="12.75"/>
  <cols>
    <col min="1" max="1" width="4.7109375" style="319" customWidth="1"/>
    <col min="2" max="2" width="61" style="320" customWidth="1"/>
    <col min="3" max="3" width="10" style="320" customWidth="1"/>
    <col min="4" max="4" width="14.28515625" style="320" customWidth="1"/>
    <col min="5" max="5" width="13.7109375" style="320" customWidth="1"/>
    <col min="6" max="6" width="10.28515625" style="320" customWidth="1"/>
    <col min="7" max="7" width="9.85546875" style="320" customWidth="1"/>
    <col min="8" max="8" width="11.28515625" style="320" customWidth="1"/>
    <col min="9" max="9" width="11" style="320" customWidth="1"/>
    <col min="10" max="10" width="9.85546875" style="320" customWidth="1"/>
    <col min="11" max="12" width="10.42578125" style="320" bestFit="1" customWidth="1"/>
    <col min="13" max="13" width="12.5703125" style="320" hidden="1" customWidth="1"/>
    <col min="14" max="14" width="12.5703125" style="320" customWidth="1"/>
    <col min="15" max="15" width="13.5703125" style="389" customWidth="1"/>
    <col min="16" max="16" width="15.140625" style="320" hidden="1" customWidth="1"/>
    <col min="17" max="17" width="16.42578125" style="320" hidden="1" customWidth="1"/>
    <col min="18" max="18" width="9.5703125" style="320" hidden="1" customWidth="1"/>
    <col min="19" max="19" width="0" style="320" hidden="1" customWidth="1"/>
    <col min="20" max="16384" width="9.140625" style="320"/>
  </cols>
  <sheetData>
    <row r="1" spans="1:77" ht="3.75" customHeight="1">
      <c r="M1" s="6"/>
      <c r="N1" s="6"/>
      <c r="O1" s="7"/>
    </row>
    <row r="2" spans="1:77" ht="15" customHeight="1">
      <c r="B2" s="322"/>
      <c r="E2" s="323"/>
      <c r="F2" s="323"/>
      <c r="I2" s="325" t="s">
        <v>491</v>
      </c>
      <c r="J2" s="325"/>
      <c r="K2" s="325"/>
      <c r="L2" s="325"/>
      <c r="M2" s="6"/>
      <c r="N2" s="6"/>
      <c r="O2" s="7"/>
    </row>
    <row r="3" spans="1:77" ht="0.75" customHeight="1">
      <c r="G3" s="326"/>
      <c r="H3" s="326"/>
      <c r="I3" s="326"/>
      <c r="J3" s="326"/>
      <c r="K3" s="326"/>
      <c r="L3" s="326"/>
      <c r="M3" s="6"/>
      <c r="N3" s="6"/>
      <c r="O3" s="7"/>
    </row>
    <row r="4" spans="1:77" ht="3" customHeight="1"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6"/>
      <c r="O4" s="7"/>
    </row>
    <row r="5" spans="1:77" s="327" customFormat="1" ht="45" customHeight="1" thickBot="1">
      <c r="A5" s="3459" t="s">
        <v>148</v>
      </c>
      <c r="B5" s="3459"/>
      <c r="C5" s="3459"/>
      <c r="D5" s="3459"/>
      <c r="E5" s="3459"/>
      <c r="F5" s="3459"/>
      <c r="G5" s="3459"/>
      <c r="H5" s="3459"/>
      <c r="I5" s="3459"/>
      <c r="J5" s="3459"/>
      <c r="K5" s="3459"/>
      <c r="L5" s="3459"/>
      <c r="M5" s="3459"/>
      <c r="N5" s="3459"/>
      <c r="O5" s="3459"/>
    </row>
    <row r="6" spans="1:77" s="329" customFormat="1" ht="55.5" customHeight="1" thickBot="1">
      <c r="A6" s="149"/>
      <c r="B6" s="3460" t="s">
        <v>75</v>
      </c>
      <c r="C6" s="3129" t="s">
        <v>71</v>
      </c>
      <c r="D6" s="3330" t="s">
        <v>118</v>
      </c>
      <c r="E6" s="3333" t="s">
        <v>478</v>
      </c>
      <c r="F6" s="3017" t="s">
        <v>533</v>
      </c>
      <c r="G6" s="3146" t="s">
        <v>474</v>
      </c>
      <c r="H6" s="3147"/>
      <c r="I6" s="3147"/>
      <c r="J6" s="3147"/>
      <c r="K6" s="3147"/>
      <c r="L6" s="3148"/>
      <c r="M6" s="3138" t="s">
        <v>495</v>
      </c>
      <c r="N6" s="3138" t="s">
        <v>475</v>
      </c>
      <c r="O6" s="3338" t="s">
        <v>73</v>
      </c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28"/>
      <c r="AI6" s="328"/>
      <c r="AJ6" s="328"/>
      <c r="AK6" s="328"/>
      <c r="AL6" s="328"/>
      <c r="AM6" s="328"/>
      <c r="AN6" s="328"/>
      <c r="AO6" s="328"/>
      <c r="AP6" s="328"/>
      <c r="AQ6" s="328"/>
      <c r="AR6" s="328"/>
      <c r="AS6" s="328"/>
      <c r="AT6" s="328"/>
      <c r="AU6" s="328"/>
      <c r="AV6" s="328"/>
      <c r="AW6" s="328"/>
      <c r="AX6" s="328"/>
      <c r="AY6" s="328"/>
      <c r="AZ6" s="328"/>
      <c r="BA6" s="328"/>
      <c r="BB6" s="328"/>
      <c r="BC6" s="328"/>
      <c r="BD6" s="328"/>
      <c r="BE6" s="328"/>
      <c r="BF6" s="328"/>
      <c r="BG6" s="328"/>
      <c r="BH6" s="328"/>
      <c r="BI6" s="328"/>
      <c r="BJ6" s="328"/>
      <c r="BK6" s="328"/>
      <c r="BL6" s="328"/>
      <c r="BM6" s="328"/>
      <c r="BN6" s="328"/>
      <c r="BO6" s="328"/>
      <c r="BP6" s="328"/>
      <c r="BQ6" s="328"/>
      <c r="BR6" s="328"/>
      <c r="BS6" s="328"/>
      <c r="BT6" s="328"/>
      <c r="BU6" s="328"/>
      <c r="BV6" s="328"/>
      <c r="BW6" s="328"/>
      <c r="BX6" s="328"/>
      <c r="BY6" s="328"/>
    </row>
    <row r="7" spans="1:77" s="329" customFormat="1" ht="14.25" customHeight="1" thickBot="1">
      <c r="A7" s="150"/>
      <c r="B7" s="3460"/>
      <c r="C7" s="3130"/>
      <c r="D7" s="3332"/>
      <c r="E7" s="3335"/>
      <c r="F7" s="3019"/>
      <c r="G7" s="2836" t="s">
        <v>6</v>
      </c>
      <c r="H7" s="330" t="s">
        <v>207</v>
      </c>
      <c r="I7" s="330" t="s">
        <v>208</v>
      </c>
      <c r="J7" s="330" t="s">
        <v>256</v>
      </c>
      <c r="K7" s="330" t="s">
        <v>257</v>
      </c>
      <c r="L7" s="330" t="s">
        <v>258</v>
      </c>
      <c r="M7" s="3414"/>
      <c r="N7" s="3414"/>
      <c r="O7" s="3340"/>
      <c r="P7" s="181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28"/>
      <c r="AL7" s="328"/>
      <c r="AM7" s="328"/>
      <c r="AN7" s="328"/>
      <c r="AO7" s="328"/>
      <c r="AP7" s="328"/>
      <c r="AQ7" s="328"/>
      <c r="AR7" s="328"/>
      <c r="AS7" s="328"/>
      <c r="AT7" s="328"/>
      <c r="AU7" s="328"/>
      <c r="AV7" s="328"/>
      <c r="AW7" s="328"/>
      <c r="AX7" s="328"/>
      <c r="AY7" s="328"/>
      <c r="AZ7" s="328"/>
      <c r="BA7" s="328"/>
      <c r="BB7" s="328"/>
      <c r="BC7" s="328"/>
      <c r="BD7" s="328"/>
      <c r="BE7" s="328"/>
      <c r="BF7" s="328"/>
      <c r="BG7" s="328"/>
      <c r="BH7" s="328"/>
      <c r="BI7" s="328"/>
      <c r="BJ7" s="328"/>
      <c r="BK7" s="328"/>
      <c r="BL7" s="328"/>
      <c r="BM7" s="328"/>
      <c r="BN7" s="328"/>
      <c r="BO7" s="328"/>
      <c r="BP7" s="328"/>
      <c r="BQ7" s="328"/>
      <c r="BR7" s="328"/>
      <c r="BS7" s="328"/>
      <c r="BT7" s="328"/>
      <c r="BU7" s="328"/>
      <c r="BV7" s="328"/>
      <c r="BW7" s="328"/>
      <c r="BX7" s="328"/>
      <c r="BY7" s="328"/>
    </row>
    <row r="8" spans="1:77" s="329" customFormat="1" ht="12.75" customHeight="1">
      <c r="A8" s="1120">
        <v>1</v>
      </c>
      <c r="B8" s="1121">
        <v>2</v>
      </c>
      <c r="C8" s="1122" t="s">
        <v>119</v>
      </c>
      <c r="D8" s="1122" t="s">
        <v>120</v>
      </c>
      <c r="E8" s="1908">
        <v>5</v>
      </c>
      <c r="F8" s="1122">
        <v>6</v>
      </c>
      <c r="G8" s="1122">
        <v>7</v>
      </c>
      <c r="H8" s="1122">
        <v>8</v>
      </c>
      <c r="I8" s="1122">
        <v>9</v>
      </c>
      <c r="J8" s="1122">
        <v>10</v>
      </c>
      <c r="K8" s="1122">
        <v>11</v>
      </c>
      <c r="L8" s="1122">
        <v>12</v>
      </c>
      <c r="M8" s="1123">
        <v>13</v>
      </c>
      <c r="N8" s="1123">
        <v>13</v>
      </c>
      <c r="O8" s="1124">
        <v>14</v>
      </c>
      <c r="P8" s="329" t="s">
        <v>248</v>
      </c>
    </row>
    <row r="9" spans="1:77" s="2051" customFormat="1" ht="16.5" customHeight="1">
      <c r="A9" s="191"/>
      <c r="B9" s="449" t="s">
        <v>76</v>
      </c>
      <c r="C9" s="415"/>
      <c r="D9" s="416">
        <f>+D10+D11</f>
        <v>336435005</v>
      </c>
      <c r="E9" s="416">
        <f t="shared" ref="E9" si="0">+E10+E11</f>
        <v>27739202</v>
      </c>
      <c r="F9" s="416">
        <f t="shared" ref="F9:N9" si="1">+F10+F11</f>
        <v>34526920</v>
      </c>
      <c r="G9" s="416">
        <f t="shared" si="1"/>
        <v>52596168</v>
      </c>
      <c r="H9" s="224">
        <f t="shared" si="1"/>
        <v>79767462</v>
      </c>
      <c r="I9" s="224">
        <f t="shared" si="1"/>
        <v>62849185</v>
      </c>
      <c r="J9" s="224">
        <f t="shared" si="1"/>
        <v>27429729</v>
      </c>
      <c r="K9" s="224">
        <f t="shared" si="1"/>
        <v>26073404</v>
      </c>
      <c r="L9" s="224">
        <f t="shared" si="1"/>
        <v>25452935</v>
      </c>
      <c r="M9" s="152">
        <f t="shared" ref="M9" si="2">+M10+M11</f>
        <v>308695803</v>
      </c>
      <c r="N9" s="152">
        <f t="shared" si="1"/>
        <v>274168883</v>
      </c>
      <c r="O9" s="17"/>
      <c r="P9" s="331">
        <f>M9-M12</f>
        <v>0</v>
      </c>
      <c r="Q9" s="331"/>
    </row>
    <row r="10" spans="1:77" s="2051" customFormat="1">
      <c r="A10" s="191"/>
      <c r="B10" s="214" t="s">
        <v>77</v>
      </c>
      <c r="C10" s="215"/>
      <c r="D10" s="216">
        <f t="shared" ref="D10:L10" si="3">+D27+D72+D94-D102+D156+D186+D213-D217+D39</f>
        <v>236159202</v>
      </c>
      <c r="E10" s="216">
        <f t="shared" si="3"/>
        <v>26977519</v>
      </c>
      <c r="F10" s="216">
        <f t="shared" si="3"/>
        <v>32950111</v>
      </c>
      <c r="G10" s="216">
        <f t="shared" si="3"/>
        <v>38219902</v>
      </c>
      <c r="H10" s="216">
        <f t="shared" si="3"/>
        <v>30011101</v>
      </c>
      <c r="I10" s="216">
        <f t="shared" si="3"/>
        <v>29529001</v>
      </c>
      <c r="J10" s="216">
        <f t="shared" si="3"/>
        <v>27268229</v>
      </c>
      <c r="K10" s="216">
        <f t="shared" si="3"/>
        <v>25911904</v>
      </c>
      <c r="L10" s="216">
        <f t="shared" si="3"/>
        <v>25291435</v>
      </c>
      <c r="M10" s="642">
        <f>+M27+M72+M94+M156+M186+M213+M39</f>
        <v>209181683</v>
      </c>
      <c r="N10" s="642">
        <f>+N27+N72+N94+N156+N186+N213+N39</f>
        <v>176231572</v>
      </c>
      <c r="O10" s="17"/>
      <c r="P10" s="331">
        <f>F10+G10+H10+I10+J10+K10+L10-M10</f>
        <v>0</v>
      </c>
      <c r="Q10" s="331"/>
    </row>
    <row r="11" spans="1:77" s="2051" customFormat="1" ht="13.5" thickBot="1">
      <c r="A11" s="191"/>
      <c r="B11" s="217" t="s">
        <v>9</v>
      </c>
      <c r="C11" s="218"/>
      <c r="D11" s="219">
        <f>D60+D83+D119-D121+D170+D197+D226</f>
        <v>100275803</v>
      </c>
      <c r="E11" s="219">
        <f t="shared" ref="E11:L11" si="4">E60+E83+E119-E121+E170+E197+E226</f>
        <v>761683</v>
      </c>
      <c r="F11" s="219">
        <f t="shared" si="4"/>
        <v>1576809</v>
      </c>
      <c r="G11" s="219">
        <f t="shared" si="4"/>
        <v>14376266</v>
      </c>
      <c r="H11" s="219">
        <f t="shared" si="4"/>
        <v>49756361</v>
      </c>
      <c r="I11" s="219">
        <f t="shared" si="4"/>
        <v>33320184</v>
      </c>
      <c r="J11" s="219">
        <f t="shared" si="4"/>
        <v>161500</v>
      </c>
      <c r="K11" s="219">
        <f t="shared" si="4"/>
        <v>161500</v>
      </c>
      <c r="L11" s="219">
        <f t="shared" si="4"/>
        <v>161500</v>
      </c>
      <c r="M11" s="18">
        <f>+M60+M83+M119+M170+M197+M226</f>
        <v>99514120</v>
      </c>
      <c r="N11" s="18">
        <f>+N60+N83+N119+N170+N197+N226</f>
        <v>97937311</v>
      </c>
      <c r="O11" s="17"/>
      <c r="P11" s="331">
        <f>F11+G11+H11+I11+J11+K11+L11-M11</f>
        <v>0</v>
      </c>
    </row>
    <row r="12" spans="1:77" s="334" customFormat="1" ht="13.5" customHeight="1">
      <c r="A12" s="155"/>
      <c r="B12" s="156" t="s">
        <v>10</v>
      </c>
      <c r="C12" s="157"/>
      <c r="D12" s="158">
        <f>+D13+D18</f>
        <v>338041435</v>
      </c>
      <c r="E12" s="158">
        <f t="shared" ref="E12" si="5">+E13+E18</f>
        <v>28130318</v>
      </c>
      <c r="F12" s="158">
        <f t="shared" ref="F12:L12" si="6">+F13+F18</f>
        <v>34899529</v>
      </c>
      <c r="G12" s="158">
        <f t="shared" si="6"/>
        <v>53080252</v>
      </c>
      <c r="H12" s="158">
        <f t="shared" si="6"/>
        <v>79856563</v>
      </c>
      <c r="I12" s="158">
        <f t="shared" si="6"/>
        <v>62926650</v>
      </c>
      <c r="J12" s="158">
        <f t="shared" si="6"/>
        <v>27493748</v>
      </c>
      <c r="K12" s="158">
        <f t="shared" si="6"/>
        <v>26137422</v>
      </c>
      <c r="L12" s="158">
        <f t="shared" si="6"/>
        <v>25516953</v>
      </c>
      <c r="M12" s="192">
        <f>+M13+M18</f>
        <v>308695803</v>
      </c>
      <c r="N12" s="192">
        <f>+N13+N18</f>
        <v>274168883</v>
      </c>
      <c r="O12" s="153"/>
      <c r="P12" s="331"/>
      <c r="Q12" s="333"/>
    </row>
    <row r="13" spans="1:77" s="339" customFormat="1" ht="13.5" customHeight="1">
      <c r="A13" s="151"/>
      <c r="B13" s="159" t="s">
        <v>11</v>
      </c>
      <c r="C13" s="160"/>
      <c r="D13" s="335">
        <f>+D14+D15+D16+D17</f>
        <v>67765696</v>
      </c>
      <c r="E13" s="335">
        <f t="shared" ref="E13" si="7">+E14+E15+E16+E17</f>
        <v>4923143</v>
      </c>
      <c r="F13" s="335">
        <f t="shared" ref="F13:L13" si="8">+F14+F15+F16+F17</f>
        <v>5835990</v>
      </c>
      <c r="G13" s="335">
        <f t="shared" si="8"/>
        <v>11135592</v>
      </c>
      <c r="H13" s="335">
        <f t="shared" si="8"/>
        <v>17244832</v>
      </c>
      <c r="I13" s="335">
        <f t="shared" si="8"/>
        <v>17560637</v>
      </c>
      <c r="J13" s="335">
        <f t="shared" si="8"/>
        <v>4898800</v>
      </c>
      <c r="K13" s="335">
        <f t="shared" si="8"/>
        <v>3052728</v>
      </c>
      <c r="L13" s="335">
        <f t="shared" si="8"/>
        <v>3113974</v>
      </c>
      <c r="M13" s="336">
        <f>+M14+M15+M16+M17</f>
        <v>61627239</v>
      </c>
      <c r="N13" s="336">
        <f>+N14+N15+N16+N17</f>
        <v>56163858</v>
      </c>
      <c r="O13" s="337"/>
      <c r="P13" s="331"/>
      <c r="Q13" s="338"/>
      <c r="R13" s="338"/>
      <c r="S13" s="338"/>
      <c r="T13" s="338"/>
      <c r="U13" s="338"/>
      <c r="V13" s="338"/>
      <c r="W13" s="338"/>
      <c r="X13" s="338"/>
      <c r="Y13" s="338"/>
      <c r="Z13" s="338"/>
      <c r="AA13" s="338"/>
    </row>
    <row r="14" spans="1:77" s="342" customFormat="1" ht="12" customHeight="1">
      <c r="A14" s="161"/>
      <c r="B14" s="162" t="s">
        <v>12</v>
      </c>
      <c r="C14" s="163"/>
      <c r="D14" s="340">
        <f t="shared" ref="D14:L14" si="9">+D96+D140+D215+D29+D41+D62</f>
        <v>63814873</v>
      </c>
      <c r="E14" s="340">
        <f t="shared" si="9"/>
        <v>4110816</v>
      </c>
      <c r="F14" s="340">
        <f t="shared" si="9"/>
        <v>4952623</v>
      </c>
      <c r="G14" s="340">
        <f t="shared" si="9"/>
        <v>9727340</v>
      </c>
      <c r="H14" s="340">
        <f t="shared" si="9"/>
        <v>16904103</v>
      </c>
      <c r="I14" s="340">
        <f t="shared" si="9"/>
        <v>17246544</v>
      </c>
      <c r="J14" s="340">
        <f t="shared" si="9"/>
        <v>4834781</v>
      </c>
      <c r="K14" s="340">
        <f t="shared" si="9"/>
        <v>2988710</v>
      </c>
      <c r="L14" s="340">
        <f t="shared" si="9"/>
        <v>3049956</v>
      </c>
      <c r="M14" s="341">
        <f>SUM(F14:L14)</f>
        <v>59704057</v>
      </c>
      <c r="N14" s="341">
        <f t="shared" ref="M14:N16" si="10">SUM(G14:L14)</f>
        <v>54751434</v>
      </c>
      <c r="O14" s="153"/>
      <c r="P14" s="331">
        <f t="shared" ref="P14:P19" si="11">F14+G14+H14+I14+J14+K14+L14-M14</f>
        <v>0</v>
      </c>
      <c r="Q14" s="342" t="s">
        <v>286</v>
      </c>
    </row>
    <row r="15" spans="1:77" s="342" customFormat="1" ht="11.25" customHeight="1">
      <c r="A15" s="161"/>
      <c r="B15" s="343" t="s">
        <v>13</v>
      </c>
      <c r="C15" s="344"/>
      <c r="D15" s="340">
        <f t="shared" ref="D15:L15" si="12">+D63+D74+D85+D216+D228+D45</f>
        <v>2344393</v>
      </c>
      <c r="E15" s="340">
        <f t="shared" si="12"/>
        <v>421211</v>
      </c>
      <c r="F15" s="340">
        <f t="shared" si="12"/>
        <v>510758</v>
      </c>
      <c r="G15" s="340">
        <f t="shared" si="12"/>
        <v>924168</v>
      </c>
      <c r="H15" s="340">
        <f t="shared" si="12"/>
        <v>251628</v>
      </c>
      <c r="I15" s="340">
        <f t="shared" si="12"/>
        <v>236628</v>
      </c>
      <c r="J15" s="340">
        <f t="shared" si="12"/>
        <v>0</v>
      </c>
      <c r="K15" s="340">
        <f t="shared" si="12"/>
        <v>0</v>
      </c>
      <c r="L15" s="340">
        <f t="shared" si="12"/>
        <v>0</v>
      </c>
      <c r="M15" s="341">
        <f>SUM(F15:L15)</f>
        <v>1923182</v>
      </c>
      <c r="N15" s="341">
        <f t="shared" si="10"/>
        <v>1412424</v>
      </c>
      <c r="O15" s="153"/>
      <c r="P15" s="331">
        <f t="shared" si="11"/>
        <v>0</v>
      </c>
    </row>
    <row r="16" spans="1:77" s="342" customFormat="1" ht="15" customHeight="1">
      <c r="A16" s="161"/>
      <c r="B16" s="343" t="s">
        <v>16</v>
      </c>
      <c r="C16" s="344"/>
      <c r="D16" s="345">
        <f>+D141</f>
        <v>0</v>
      </c>
      <c r="E16" s="345">
        <f t="shared" ref="E16:L16" si="13">+E141</f>
        <v>0</v>
      </c>
      <c r="F16" s="345">
        <f t="shared" si="13"/>
        <v>0</v>
      </c>
      <c r="G16" s="345">
        <f t="shared" si="13"/>
        <v>0</v>
      </c>
      <c r="H16" s="345">
        <f t="shared" si="13"/>
        <v>0</v>
      </c>
      <c r="I16" s="345">
        <f t="shared" si="13"/>
        <v>0</v>
      </c>
      <c r="J16" s="345">
        <f t="shared" si="13"/>
        <v>0</v>
      </c>
      <c r="K16" s="345">
        <f t="shared" si="13"/>
        <v>0</v>
      </c>
      <c r="L16" s="345">
        <f t="shared" si="13"/>
        <v>0</v>
      </c>
      <c r="M16" s="341">
        <f t="shared" si="10"/>
        <v>0</v>
      </c>
      <c r="N16" s="341">
        <f t="shared" si="10"/>
        <v>0</v>
      </c>
      <c r="O16" s="153"/>
      <c r="P16" s="331">
        <f t="shared" si="11"/>
        <v>0</v>
      </c>
    </row>
    <row r="17" spans="1:27" s="342" customFormat="1" ht="12" customHeight="1">
      <c r="A17" s="161"/>
      <c r="B17" s="343" t="s">
        <v>32</v>
      </c>
      <c r="C17" s="344"/>
      <c r="D17" s="345">
        <f t="shared" ref="D17:L17" si="14">D102+D121+D217</f>
        <v>1606430</v>
      </c>
      <c r="E17" s="345">
        <f t="shared" si="14"/>
        <v>391116</v>
      </c>
      <c r="F17" s="345">
        <f t="shared" si="14"/>
        <v>372609</v>
      </c>
      <c r="G17" s="345">
        <f t="shared" si="14"/>
        <v>484084</v>
      </c>
      <c r="H17" s="345">
        <f t="shared" si="14"/>
        <v>89101</v>
      </c>
      <c r="I17" s="345">
        <f t="shared" si="14"/>
        <v>77465</v>
      </c>
      <c r="J17" s="345">
        <f t="shared" si="14"/>
        <v>64019</v>
      </c>
      <c r="K17" s="345">
        <f t="shared" si="14"/>
        <v>64018</v>
      </c>
      <c r="L17" s="345">
        <f t="shared" si="14"/>
        <v>64018</v>
      </c>
      <c r="M17" s="346">
        <f>M102+M121</f>
        <v>0</v>
      </c>
      <c r="N17" s="346">
        <f>N102+N121</f>
        <v>0</v>
      </c>
      <c r="O17" s="153"/>
      <c r="P17" s="331"/>
    </row>
    <row r="18" spans="1:27" s="339" customFormat="1" ht="12" customHeight="1">
      <c r="A18" s="151"/>
      <c r="B18" s="164" t="s">
        <v>18</v>
      </c>
      <c r="C18" s="165"/>
      <c r="D18" s="166">
        <f>SUM(D19)</f>
        <v>270275739</v>
      </c>
      <c r="E18" s="166">
        <f t="shared" ref="E18" si="15">SUM(E19)</f>
        <v>23207175</v>
      </c>
      <c r="F18" s="166">
        <f t="shared" ref="F18:N18" si="16">SUM(F19)</f>
        <v>29063539</v>
      </c>
      <c r="G18" s="166">
        <f t="shared" si="16"/>
        <v>41944660</v>
      </c>
      <c r="H18" s="166">
        <f t="shared" si="16"/>
        <v>62611731</v>
      </c>
      <c r="I18" s="166">
        <f t="shared" si="16"/>
        <v>45366013</v>
      </c>
      <c r="J18" s="166">
        <f t="shared" si="16"/>
        <v>22594948</v>
      </c>
      <c r="K18" s="166">
        <f t="shared" si="16"/>
        <v>23084694</v>
      </c>
      <c r="L18" s="166">
        <f t="shared" si="16"/>
        <v>22402979</v>
      </c>
      <c r="M18" s="336">
        <f t="shared" si="16"/>
        <v>247068564</v>
      </c>
      <c r="N18" s="336">
        <f t="shared" si="16"/>
        <v>218005025</v>
      </c>
      <c r="O18" s="337"/>
      <c r="P18" s="331">
        <f t="shared" si="11"/>
        <v>0</v>
      </c>
      <c r="Q18" s="338"/>
      <c r="R18" s="338"/>
      <c r="S18" s="338"/>
      <c r="T18" s="338"/>
      <c r="U18" s="338"/>
      <c r="V18" s="338"/>
      <c r="W18" s="338"/>
      <c r="X18" s="338"/>
      <c r="Y18" s="338"/>
      <c r="Z18" s="338"/>
      <c r="AA18" s="338"/>
    </row>
    <row r="19" spans="1:27" s="351" customFormat="1" ht="12" customHeight="1">
      <c r="A19" s="167"/>
      <c r="B19" s="347" t="s">
        <v>21</v>
      </c>
      <c r="C19" s="348"/>
      <c r="D19" s="340">
        <f t="shared" ref="D19:L19" si="17">+D31+D65+D76+D87+D106+D125+D143+D219+D230+D50</f>
        <v>270275739</v>
      </c>
      <c r="E19" s="340">
        <f t="shared" si="17"/>
        <v>23207175</v>
      </c>
      <c r="F19" s="340">
        <f t="shared" si="17"/>
        <v>29063539</v>
      </c>
      <c r="G19" s="340">
        <f t="shared" si="17"/>
        <v>41944660</v>
      </c>
      <c r="H19" s="340">
        <f t="shared" si="17"/>
        <v>62611731</v>
      </c>
      <c r="I19" s="340">
        <f t="shared" si="17"/>
        <v>45366013</v>
      </c>
      <c r="J19" s="340">
        <f t="shared" si="17"/>
        <v>22594948</v>
      </c>
      <c r="K19" s="340">
        <f t="shared" si="17"/>
        <v>23084694</v>
      </c>
      <c r="L19" s="340">
        <f t="shared" si="17"/>
        <v>22402979</v>
      </c>
      <c r="M19" s="341">
        <f>SUM(F19:L19)</f>
        <v>247068564</v>
      </c>
      <c r="N19" s="341">
        <f>SUM(G19:L19)</f>
        <v>218005025</v>
      </c>
      <c r="O19" s="349"/>
      <c r="P19" s="331">
        <f t="shared" si="11"/>
        <v>0</v>
      </c>
      <c r="Q19" s="350"/>
      <c r="R19" s="350"/>
      <c r="S19" s="350"/>
      <c r="T19" s="350"/>
      <c r="U19" s="350"/>
      <c r="V19" s="350"/>
      <c r="W19" s="350"/>
      <c r="X19" s="350"/>
      <c r="Y19" s="350"/>
      <c r="Z19" s="350"/>
      <c r="AA19" s="350"/>
    </row>
    <row r="20" spans="1:27" s="351" customFormat="1" ht="12.75" customHeight="1">
      <c r="A20" s="167"/>
      <c r="B20" s="80" t="s">
        <v>22</v>
      </c>
      <c r="C20" s="420"/>
      <c r="D20" s="421">
        <f>+D21+D24</f>
        <v>272620132</v>
      </c>
      <c r="E20" s="421">
        <f t="shared" ref="E20" si="18">+E21+E24</f>
        <v>17797453</v>
      </c>
      <c r="F20" s="421">
        <f t="shared" ref="F20:L20" si="19">+F21+F24</f>
        <v>29310644</v>
      </c>
      <c r="G20" s="421">
        <f t="shared" si="19"/>
        <v>43445216</v>
      </c>
      <c r="H20" s="421">
        <f t="shared" si="19"/>
        <v>63003360</v>
      </c>
      <c r="I20" s="421">
        <f t="shared" si="19"/>
        <v>45602641</v>
      </c>
      <c r="J20" s="421">
        <f t="shared" si="19"/>
        <v>22721431</v>
      </c>
      <c r="K20" s="421">
        <f t="shared" si="19"/>
        <v>22935629</v>
      </c>
      <c r="L20" s="421">
        <f t="shared" si="19"/>
        <v>22764014</v>
      </c>
      <c r="M20" s="3415" t="s">
        <v>61</v>
      </c>
      <c r="N20" s="3415" t="s">
        <v>61</v>
      </c>
      <c r="O20" s="153"/>
      <c r="P20" s="355">
        <f>D77+D88+D115+D134+D147+D220+D54+D35+D66+D231</f>
        <v>272620132</v>
      </c>
      <c r="Q20" s="350"/>
      <c r="R20" s="350"/>
      <c r="S20" s="350"/>
      <c r="T20" s="350"/>
      <c r="U20" s="350"/>
      <c r="V20" s="350"/>
      <c r="W20" s="350"/>
      <c r="X20" s="350"/>
      <c r="Y20" s="350"/>
      <c r="Z20" s="350"/>
      <c r="AA20" s="350"/>
    </row>
    <row r="21" spans="1:27" s="339" customFormat="1" ht="12" customHeight="1">
      <c r="A21" s="151"/>
      <c r="B21" s="159" t="s">
        <v>11</v>
      </c>
      <c r="C21" s="160"/>
      <c r="D21" s="335">
        <f>+D22+D23</f>
        <v>2344393</v>
      </c>
      <c r="E21" s="335">
        <f t="shared" ref="E21" si="20">+E22+E23</f>
        <v>413005</v>
      </c>
      <c r="F21" s="335">
        <f t="shared" ref="F21:L21" si="21">+F22+F23</f>
        <v>464447</v>
      </c>
      <c r="G21" s="335">
        <f t="shared" si="21"/>
        <v>965371</v>
      </c>
      <c r="H21" s="335">
        <f t="shared" si="21"/>
        <v>251628</v>
      </c>
      <c r="I21" s="335">
        <f t="shared" si="21"/>
        <v>236628</v>
      </c>
      <c r="J21" s="335">
        <f t="shared" si="21"/>
        <v>13314</v>
      </c>
      <c r="K21" s="335">
        <f t="shared" si="21"/>
        <v>0</v>
      </c>
      <c r="L21" s="335">
        <f t="shared" si="21"/>
        <v>0</v>
      </c>
      <c r="M21" s="3342"/>
      <c r="N21" s="3342"/>
      <c r="O21" s="337"/>
      <c r="P21" s="355"/>
      <c r="Q21" s="338"/>
      <c r="R21" s="338"/>
      <c r="S21" s="338"/>
      <c r="T21" s="338"/>
      <c r="U21" s="338"/>
      <c r="V21" s="338"/>
      <c r="W21" s="338"/>
      <c r="X21" s="338"/>
      <c r="Y21" s="338"/>
      <c r="Z21" s="338"/>
      <c r="AA21" s="338"/>
    </row>
    <row r="22" spans="1:27" s="351" customFormat="1" ht="12" customHeight="1">
      <c r="A22" s="167"/>
      <c r="B22" s="343" t="s">
        <v>13</v>
      </c>
      <c r="C22" s="352"/>
      <c r="D22" s="340">
        <f t="shared" ref="D22:L22" si="22">+D68+D79+D222+D233+D90+D56</f>
        <v>2344393</v>
      </c>
      <c r="E22" s="340">
        <f t="shared" si="22"/>
        <v>413005</v>
      </c>
      <c r="F22" s="340">
        <f t="shared" si="22"/>
        <v>464447</v>
      </c>
      <c r="G22" s="340">
        <f t="shared" si="22"/>
        <v>965371</v>
      </c>
      <c r="H22" s="340">
        <f t="shared" si="22"/>
        <v>251628</v>
      </c>
      <c r="I22" s="340">
        <f t="shared" si="22"/>
        <v>236628</v>
      </c>
      <c r="J22" s="340">
        <f t="shared" si="22"/>
        <v>13314</v>
      </c>
      <c r="K22" s="340">
        <f t="shared" si="22"/>
        <v>0</v>
      </c>
      <c r="L22" s="340">
        <f t="shared" si="22"/>
        <v>0</v>
      </c>
      <c r="M22" s="3342"/>
      <c r="N22" s="3342"/>
      <c r="O22" s="349"/>
      <c r="P22" s="355"/>
      <c r="Q22" s="350"/>
      <c r="R22" s="350"/>
      <c r="S22" s="350"/>
      <c r="T22" s="350"/>
      <c r="U22" s="350"/>
      <c r="V22" s="350"/>
      <c r="W22" s="350"/>
      <c r="X22" s="350"/>
      <c r="Y22" s="350"/>
      <c r="Z22" s="350"/>
      <c r="AA22" s="350"/>
    </row>
    <row r="23" spans="1:27" s="351" customFormat="1" ht="12" customHeight="1">
      <c r="A23" s="167"/>
      <c r="B23" s="343" t="s">
        <v>16</v>
      </c>
      <c r="C23" s="352"/>
      <c r="D23" s="345">
        <f>+D149</f>
        <v>0</v>
      </c>
      <c r="E23" s="345">
        <f>+E149</f>
        <v>0</v>
      </c>
      <c r="F23" s="345">
        <f>+F149</f>
        <v>0</v>
      </c>
      <c r="G23" s="345">
        <f t="shared" ref="G23:L23" si="23">+G149</f>
        <v>0</v>
      </c>
      <c r="H23" s="345">
        <f t="shared" si="23"/>
        <v>0</v>
      </c>
      <c r="I23" s="345">
        <f t="shared" si="23"/>
        <v>0</v>
      </c>
      <c r="J23" s="345">
        <f t="shared" si="23"/>
        <v>0</v>
      </c>
      <c r="K23" s="345">
        <f t="shared" si="23"/>
        <v>0</v>
      </c>
      <c r="L23" s="345">
        <f t="shared" si="23"/>
        <v>0</v>
      </c>
      <c r="M23" s="3342"/>
      <c r="N23" s="3342"/>
      <c r="O23" s="349"/>
      <c r="P23" s="355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</row>
    <row r="24" spans="1:27" s="339" customFormat="1" ht="12" customHeight="1">
      <c r="A24" s="151"/>
      <c r="B24" s="164" t="s">
        <v>18</v>
      </c>
      <c r="C24" s="165"/>
      <c r="D24" s="166">
        <f>+D25</f>
        <v>270275739</v>
      </c>
      <c r="E24" s="166">
        <f t="shared" ref="E24" si="24">+E25</f>
        <v>17384448</v>
      </c>
      <c r="F24" s="166">
        <f t="shared" ref="F24:L24" si="25">+F25</f>
        <v>28846197</v>
      </c>
      <c r="G24" s="166">
        <f t="shared" si="25"/>
        <v>42479845</v>
      </c>
      <c r="H24" s="166">
        <f t="shared" si="25"/>
        <v>62751732</v>
      </c>
      <c r="I24" s="166">
        <f t="shared" si="25"/>
        <v>45366013</v>
      </c>
      <c r="J24" s="166">
        <f t="shared" si="25"/>
        <v>22708117</v>
      </c>
      <c r="K24" s="166">
        <f t="shared" si="25"/>
        <v>22935629</v>
      </c>
      <c r="L24" s="166">
        <f t="shared" si="25"/>
        <v>22764014</v>
      </c>
      <c r="M24" s="3342"/>
      <c r="N24" s="3342"/>
      <c r="O24" s="337"/>
      <c r="P24" s="355"/>
      <c r="Q24" s="338"/>
      <c r="R24" s="338"/>
      <c r="S24" s="338"/>
      <c r="T24" s="338"/>
      <c r="U24" s="338"/>
      <c r="V24" s="338"/>
      <c r="W24" s="338"/>
      <c r="X24" s="338"/>
      <c r="Y24" s="338"/>
      <c r="Z24" s="338"/>
      <c r="AA24" s="338"/>
    </row>
    <row r="25" spans="1:27" s="351" customFormat="1" ht="12" customHeight="1" thickBot="1">
      <c r="A25" s="168"/>
      <c r="B25" s="353" t="s">
        <v>21</v>
      </c>
      <c r="C25" s="169"/>
      <c r="D25" s="170">
        <f t="shared" ref="D25:L25" si="26">+D37+D70+D81+D92+D117+D136+D151+D224+D235+D58</f>
        <v>270275739</v>
      </c>
      <c r="E25" s="170">
        <f t="shared" si="26"/>
        <v>17384448</v>
      </c>
      <c r="F25" s="170">
        <f t="shared" si="26"/>
        <v>28846197</v>
      </c>
      <c r="G25" s="170">
        <f t="shared" si="26"/>
        <v>42479845</v>
      </c>
      <c r="H25" s="170">
        <f t="shared" si="26"/>
        <v>62751732</v>
      </c>
      <c r="I25" s="170">
        <f t="shared" si="26"/>
        <v>45366013</v>
      </c>
      <c r="J25" s="170">
        <f t="shared" si="26"/>
        <v>22708117</v>
      </c>
      <c r="K25" s="170">
        <f t="shared" si="26"/>
        <v>22935629</v>
      </c>
      <c r="L25" s="170">
        <f t="shared" si="26"/>
        <v>22764014</v>
      </c>
      <c r="M25" s="3343"/>
      <c r="N25" s="3343"/>
      <c r="O25" s="354"/>
      <c r="P25" s="355">
        <f>D19-D25</f>
        <v>0</v>
      </c>
      <c r="Q25" s="350"/>
      <c r="R25" s="350"/>
      <c r="S25" s="350"/>
      <c r="T25" s="350"/>
      <c r="U25" s="350"/>
      <c r="V25" s="350"/>
      <c r="W25" s="350"/>
      <c r="X25" s="350"/>
      <c r="Y25" s="350"/>
      <c r="Z25" s="350"/>
      <c r="AA25" s="350"/>
    </row>
    <row r="26" spans="1:27" s="350" customFormat="1" ht="25.5" customHeight="1">
      <c r="A26" s="3432" t="s">
        <v>63</v>
      </c>
      <c r="B26" s="171" t="s">
        <v>554</v>
      </c>
      <c r="C26" s="172" t="s">
        <v>109</v>
      </c>
      <c r="D26" s="188"/>
      <c r="E26" s="187"/>
      <c r="F26" s="187"/>
      <c r="G26" s="187"/>
      <c r="H26" s="187"/>
      <c r="I26" s="187"/>
      <c r="J26" s="187"/>
      <c r="K26" s="187"/>
      <c r="L26" s="261"/>
      <c r="M26" s="356"/>
      <c r="N26" s="356"/>
      <c r="O26" s="3453" t="s">
        <v>345</v>
      </c>
      <c r="P26" s="355"/>
    </row>
    <row r="27" spans="1:27" s="350" customFormat="1" ht="14.25" customHeight="1">
      <c r="A27" s="3433"/>
      <c r="B27" s="21" t="s">
        <v>10</v>
      </c>
      <c r="C27" s="2567"/>
      <c r="D27" s="357">
        <f>+D28+D30</f>
        <v>1966760</v>
      </c>
      <c r="E27" s="357">
        <f t="shared" ref="E27" si="27">+E28+E30</f>
        <v>192432</v>
      </c>
      <c r="F27" s="357">
        <f t="shared" ref="F27:K27" si="28">+F28+F30</f>
        <v>212270</v>
      </c>
      <c r="G27" s="357">
        <f t="shared" si="28"/>
        <v>288713</v>
      </c>
      <c r="H27" s="357">
        <f t="shared" si="28"/>
        <v>281170</v>
      </c>
      <c r="I27" s="357">
        <f t="shared" si="28"/>
        <v>281170</v>
      </c>
      <c r="J27" s="357">
        <f t="shared" si="28"/>
        <v>280970</v>
      </c>
      <c r="K27" s="357">
        <f t="shared" si="28"/>
        <v>430035</v>
      </c>
      <c r="L27" s="357"/>
      <c r="M27" s="2568">
        <f>M28+M30</f>
        <v>1774328</v>
      </c>
      <c r="N27" s="2568">
        <f>N28+N30</f>
        <v>1562058</v>
      </c>
      <c r="O27" s="3454"/>
      <c r="P27" s="331"/>
    </row>
    <row r="28" spans="1:27" s="2570" customFormat="1" ht="12" customHeight="1">
      <c r="A28" s="3433"/>
      <c r="B28" s="681" t="s">
        <v>24</v>
      </c>
      <c r="C28" s="3456" t="s">
        <v>149</v>
      </c>
      <c r="D28" s="358">
        <f>+D29</f>
        <v>2000</v>
      </c>
      <c r="E28" s="358">
        <f t="shared" ref="E28" si="29">+E29</f>
        <v>10</v>
      </c>
      <c r="F28" s="358">
        <f t="shared" ref="F28:K28" si="30">+F29</f>
        <v>300</v>
      </c>
      <c r="G28" s="358">
        <f t="shared" si="30"/>
        <v>490</v>
      </c>
      <c r="H28" s="358">
        <f t="shared" si="30"/>
        <v>400</v>
      </c>
      <c r="I28" s="358">
        <f t="shared" si="30"/>
        <v>400</v>
      </c>
      <c r="J28" s="358">
        <f t="shared" si="30"/>
        <v>200</v>
      </c>
      <c r="K28" s="358">
        <f t="shared" si="30"/>
        <v>200</v>
      </c>
      <c r="L28" s="358"/>
      <c r="M28" s="359">
        <f>+M29</f>
        <v>1990</v>
      </c>
      <c r="N28" s="359">
        <f>+N29</f>
        <v>1690</v>
      </c>
      <c r="O28" s="3454"/>
      <c r="P28" s="2569"/>
    </row>
    <row r="29" spans="1:27" s="2570" customFormat="1" ht="11.25" customHeight="1">
      <c r="A29" s="3433"/>
      <c r="B29" s="174" t="s">
        <v>12</v>
      </c>
      <c r="C29" s="3457"/>
      <c r="D29" s="249">
        <f>E29+F29+G29+H29+I29+J29+K29+L29</f>
        <v>2000</v>
      </c>
      <c r="E29" s="1579">
        <v>10</v>
      </c>
      <c r="F29" s="1579">
        <v>300</v>
      </c>
      <c r="G29" s="1579">
        <f>400+90</f>
        <v>490</v>
      </c>
      <c r="H29" s="1579">
        <v>400</v>
      </c>
      <c r="I29" s="1579">
        <v>400</v>
      </c>
      <c r="J29" s="1579">
        <v>200</v>
      </c>
      <c r="K29" s="1579">
        <v>200</v>
      </c>
      <c r="L29" s="2571"/>
      <c r="M29" s="749">
        <f>SUM(F29:K29)</f>
        <v>1990</v>
      </c>
      <c r="N29" s="749">
        <f>SUM(G29:L29)</f>
        <v>1690</v>
      </c>
      <c r="O29" s="3454"/>
      <c r="P29" s="2572"/>
    </row>
    <row r="30" spans="1:27" s="350" customFormat="1" ht="12" customHeight="1">
      <c r="A30" s="3433"/>
      <c r="B30" s="739" t="s">
        <v>18</v>
      </c>
      <c r="C30" s="3436"/>
      <c r="D30" s="361">
        <f>+D31</f>
        <v>1964760</v>
      </c>
      <c r="E30" s="361">
        <f t="shared" ref="E30:K30" si="31">E31</f>
        <v>192422</v>
      </c>
      <c r="F30" s="361">
        <f t="shared" si="31"/>
        <v>211970</v>
      </c>
      <c r="G30" s="361">
        <f t="shared" si="31"/>
        <v>288223</v>
      </c>
      <c r="H30" s="361">
        <f t="shared" si="31"/>
        <v>280770</v>
      </c>
      <c r="I30" s="361">
        <f t="shared" si="31"/>
        <v>280770</v>
      </c>
      <c r="J30" s="361">
        <f t="shared" si="31"/>
        <v>280770</v>
      </c>
      <c r="K30" s="361">
        <f t="shared" si="31"/>
        <v>429835</v>
      </c>
      <c r="L30" s="361"/>
      <c r="M30" s="359">
        <f>+M31</f>
        <v>1772338</v>
      </c>
      <c r="N30" s="359">
        <f>+N31</f>
        <v>1560368</v>
      </c>
      <c r="O30" s="3454"/>
      <c r="P30" s="355"/>
      <c r="Q30" s="355"/>
    </row>
    <row r="31" spans="1:27" s="2051" customFormat="1">
      <c r="A31" s="3433"/>
      <c r="B31" s="1580" t="s">
        <v>21</v>
      </c>
      <c r="C31" s="3437"/>
      <c r="D31" s="249">
        <f>E31+F31+G31+H31+I31+J31+K31+L31</f>
        <v>1964760</v>
      </c>
      <c r="E31" s="1579">
        <f>+E33+E34</f>
        <v>192422</v>
      </c>
      <c r="F31" s="249">
        <f t="shared" ref="F31:K31" si="32">SUM(F33:F34)</f>
        <v>211970</v>
      </c>
      <c r="G31" s="249">
        <f t="shared" si="32"/>
        <v>288223</v>
      </c>
      <c r="H31" s="249">
        <f t="shared" si="32"/>
        <v>280770</v>
      </c>
      <c r="I31" s="249">
        <f t="shared" si="32"/>
        <v>280770</v>
      </c>
      <c r="J31" s="249">
        <f t="shared" si="32"/>
        <v>280770</v>
      </c>
      <c r="K31" s="249">
        <f t="shared" si="32"/>
        <v>429835</v>
      </c>
      <c r="L31" s="2573"/>
      <c r="M31" s="749">
        <f>SUM(F31:L31)</f>
        <v>1772338</v>
      </c>
      <c r="N31" s="749">
        <f>SUM(G31:L31)</f>
        <v>1560368</v>
      </c>
      <c r="O31" s="3454"/>
      <c r="P31" s="331"/>
    </row>
    <row r="32" spans="1:27" s="2051" customFormat="1" hidden="1">
      <c r="A32" s="3433"/>
      <c r="B32" s="2574" t="s">
        <v>402</v>
      </c>
      <c r="C32" s="2838"/>
      <c r="D32" s="1016"/>
      <c r="E32" s="2575"/>
      <c r="F32" s="2575"/>
      <c r="G32" s="2575"/>
      <c r="H32" s="2575"/>
      <c r="I32" s="2575"/>
      <c r="J32" s="2575"/>
      <c r="K32" s="2575"/>
      <c r="L32" s="2575"/>
      <c r="M32" s="2576"/>
      <c r="N32" s="2576"/>
      <c r="O32" s="3454"/>
      <c r="P32" s="331"/>
    </row>
    <row r="33" spans="1:16" s="2051" customFormat="1" hidden="1">
      <c r="A33" s="3433"/>
      <c r="B33" s="2577" t="s">
        <v>294</v>
      </c>
      <c r="C33" s="2839"/>
      <c r="D33" s="1085">
        <f>SUM(E33:K33)</f>
        <v>1881600</v>
      </c>
      <c r="E33" s="2578">
        <v>187905</v>
      </c>
      <c r="F33" s="2578">
        <f>268800-68800</f>
        <v>200000</v>
      </c>
      <c r="G33" s="2578">
        <v>268800</v>
      </c>
      <c r="H33" s="2578">
        <v>268800</v>
      </c>
      <c r="I33" s="2578">
        <v>268800</v>
      </c>
      <c r="J33" s="2578">
        <v>268800</v>
      </c>
      <c r="K33" s="2578">
        <f>268800+80895+68800</f>
        <v>418495</v>
      </c>
      <c r="L33" s="2578"/>
      <c r="M33" s="2579">
        <f>SUM(F33:K33)</f>
        <v>1693695</v>
      </c>
      <c r="N33" s="2579">
        <f>SUM(F33:L33)</f>
        <v>1693695</v>
      </c>
      <c r="O33" s="3454"/>
      <c r="P33" s="331"/>
    </row>
    <row r="34" spans="1:16" s="2051" customFormat="1" hidden="1">
      <c r="A34" s="3433"/>
      <c r="B34" s="2577" t="s">
        <v>110</v>
      </c>
      <c r="C34" s="2839"/>
      <c r="D34" s="1016">
        <f>+E34+F34+G34+H34+I34+J34+K34</f>
        <v>83160</v>
      </c>
      <c r="E34" s="2580">
        <v>4517</v>
      </c>
      <c r="F34" s="2580">
        <f>11970</f>
        <v>11970</v>
      </c>
      <c r="G34" s="2580">
        <f>11970+7453</f>
        <v>19423</v>
      </c>
      <c r="H34" s="2580">
        <v>11970</v>
      </c>
      <c r="I34" s="2580">
        <v>11970</v>
      </c>
      <c r="J34" s="2580">
        <v>11970</v>
      </c>
      <c r="K34" s="2580">
        <v>11340</v>
      </c>
      <c r="L34" s="2580"/>
      <c r="M34" s="2581">
        <f>SUM(F34:K34)</f>
        <v>78643</v>
      </c>
      <c r="N34" s="2581">
        <f>SUM(F34:L34)</f>
        <v>78643</v>
      </c>
      <c r="O34" s="3454"/>
      <c r="P34" s="331"/>
    </row>
    <row r="35" spans="1:16" s="2051" customFormat="1" ht="12.75" customHeight="1">
      <c r="A35" s="3086"/>
      <c r="B35" s="21" t="s">
        <v>22</v>
      </c>
      <c r="C35" s="176"/>
      <c r="D35" s="357">
        <f>+D36</f>
        <v>1964760</v>
      </c>
      <c r="E35" s="357">
        <f t="shared" ref="E35:L35" si="33">+E36</f>
        <v>0</v>
      </c>
      <c r="F35" s="357">
        <f t="shared" si="33"/>
        <v>0</v>
      </c>
      <c r="G35" s="357">
        <f t="shared" si="33"/>
        <v>473192</v>
      </c>
      <c r="H35" s="357">
        <f t="shared" si="33"/>
        <v>288223</v>
      </c>
      <c r="I35" s="357">
        <f t="shared" si="33"/>
        <v>280770</v>
      </c>
      <c r="J35" s="357">
        <f t="shared" si="33"/>
        <v>280770</v>
      </c>
      <c r="K35" s="357">
        <f t="shared" si="33"/>
        <v>280770</v>
      </c>
      <c r="L35" s="357">
        <f t="shared" si="33"/>
        <v>361035</v>
      </c>
      <c r="M35" s="3416" t="s">
        <v>61</v>
      </c>
      <c r="N35" s="3416" t="s">
        <v>61</v>
      </c>
      <c r="O35" s="3454"/>
      <c r="P35" s="331"/>
    </row>
    <row r="36" spans="1:16" s="2051" customFormat="1" ht="12.75" customHeight="1">
      <c r="A36" s="3086"/>
      <c r="B36" s="364" t="s">
        <v>18</v>
      </c>
      <c r="C36" s="3436" t="s">
        <v>149</v>
      </c>
      <c r="D36" s="361">
        <f>+D37</f>
        <v>1964760</v>
      </c>
      <c r="E36" s="361">
        <f t="shared" ref="E36:L36" si="34">E37</f>
        <v>0</v>
      </c>
      <c r="F36" s="361">
        <f t="shared" si="34"/>
        <v>0</v>
      </c>
      <c r="G36" s="361">
        <f t="shared" si="34"/>
        <v>473192</v>
      </c>
      <c r="H36" s="361">
        <f t="shared" si="34"/>
        <v>288223</v>
      </c>
      <c r="I36" s="361">
        <f t="shared" si="34"/>
        <v>280770</v>
      </c>
      <c r="J36" s="361">
        <f t="shared" si="34"/>
        <v>280770</v>
      </c>
      <c r="K36" s="361">
        <f t="shared" si="34"/>
        <v>280770</v>
      </c>
      <c r="L36" s="361">
        <f t="shared" si="34"/>
        <v>361035</v>
      </c>
      <c r="M36" s="3345"/>
      <c r="N36" s="3345"/>
      <c r="O36" s="3454"/>
    </row>
    <row r="37" spans="1:16" s="2051" customFormat="1" ht="12" customHeight="1" thickBot="1">
      <c r="A37" s="3087"/>
      <c r="B37" s="365" t="s">
        <v>21</v>
      </c>
      <c r="C37" s="3435"/>
      <c r="D37" s="249">
        <f>E37+F37+G37+H37+I37+J37+K37+L37</f>
        <v>1964760</v>
      </c>
      <c r="E37" s="1579">
        <v>0</v>
      </c>
      <c r="F37" s="2573">
        <f>192422-192422</f>
        <v>0</v>
      </c>
      <c r="G37" s="2573">
        <f>280770+192422</f>
        <v>473192</v>
      </c>
      <c r="H37" s="2573">
        <v>288223</v>
      </c>
      <c r="I37" s="2573">
        <v>280770</v>
      </c>
      <c r="J37" s="2573">
        <v>280770</v>
      </c>
      <c r="K37" s="2573">
        <v>280770</v>
      </c>
      <c r="L37" s="2573">
        <v>361035</v>
      </c>
      <c r="M37" s="3346"/>
      <c r="N37" s="3346"/>
      <c r="O37" s="3455"/>
      <c r="P37" s="331">
        <f>D37-D31</f>
        <v>0</v>
      </c>
    </row>
    <row r="38" spans="1:16" s="2051" customFormat="1" ht="30" customHeight="1">
      <c r="A38" s="3432" t="s">
        <v>64</v>
      </c>
      <c r="B38" s="171" t="s">
        <v>424</v>
      </c>
      <c r="C38" s="172" t="s">
        <v>109</v>
      </c>
      <c r="D38" s="188"/>
      <c r="E38" s="188"/>
      <c r="F38" s="188"/>
      <c r="G38" s="188"/>
      <c r="H38" s="188"/>
      <c r="I38" s="188"/>
      <c r="J38" s="188"/>
      <c r="K38" s="188"/>
      <c r="L38" s="188"/>
      <c r="M38" s="188">
        <f t="shared" ref="M38" si="35">M43+M47+M52</f>
        <v>783552</v>
      </c>
      <c r="N38" s="188"/>
      <c r="O38" s="3453" t="s">
        <v>319</v>
      </c>
      <c r="P38" s="2051" t="s">
        <v>439</v>
      </c>
    </row>
    <row r="39" spans="1:16" s="2051" customFormat="1" ht="12" customHeight="1">
      <c r="A39" s="3433"/>
      <c r="B39" s="715" t="s">
        <v>10</v>
      </c>
      <c r="C39" s="1950"/>
      <c r="D39" s="2582">
        <f t="shared" ref="D39:I39" si="36">+D40+D49</f>
        <v>1332900</v>
      </c>
      <c r="E39" s="2582">
        <f t="shared" si="36"/>
        <v>82069</v>
      </c>
      <c r="F39" s="2582">
        <f t="shared" si="36"/>
        <v>450901</v>
      </c>
      <c r="G39" s="2582">
        <f t="shared" si="36"/>
        <v>266680</v>
      </c>
      <c r="H39" s="2582">
        <f t="shared" si="36"/>
        <v>266680</v>
      </c>
      <c r="I39" s="2582">
        <f t="shared" si="36"/>
        <v>266570</v>
      </c>
      <c r="J39" s="2583">
        <v>0</v>
      </c>
      <c r="K39" s="2582"/>
      <c r="L39" s="2582"/>
      <c r="M39" s="2584">
        <f>+M40+M49</f>
        <v>1250831</v>
      </c>
      <c r="N39" s="2584">
        <f>+N40+N49</f>
        <v>799930</v>
      </c>
      <c r="O39" s="3454"/>
      <c r="P39" s="331"/>
    </row>
    <row r="40" spans="1:16" s="2051" customFormat="1" ht="12" customHeight="1">
      <c r="A40" s="3433"/>
      <c r="B40" s="681" t="s">
        <v>24</v>
      </c>
      <c r="C40" s="3447" t="s">
        <v>149</v>
      </c>
      <c r="D40" s="1951">
        <f>+D41+D45</f>
        <v>201211</v>
      </c>
      <c r="E40" s="1951">
        <f>+E41+E45</f>
        <v>12319</v>
      </c>
      <c r="F40" s="1951">
        <f t="shared" ref="F40:I40" si="37">+F41+F45</f>
        <v>67976</v>
      </c>
      <c r="G40" s="1951">
        <f t="shared" si="37"/>
        <v>40342</v>
      </c>
      <c r="H40" s="1951">
        <f t="shared" si="37"/>
        <v>40342</v>
      </c>
      <c r="I40" s="1951">
        <f t="shared" si="37"/>
        <v>40232</v>
      </c>
      <c r="J40" s="1952">
        <v>0</v>
      </c>
      <c r="K40" s="1951"/>
      <c r="L40" s="1951"/>
      <c r="M40" s="1953">
        <f>+M41+M45</f>
        <v>188892</v>
      </c>
      <c r="N40" s="1953">
        <f>+N41+N45</f>
        <v>120916</v>
      </c>
      <c r="O40" s="3454"/>
    </row>
    <row r="41" spans="1:16" s="2051" customFormat="1" ht="12" customHeight="1">
      <c r="A41" s="3433"/>
      <c r="B41" s="174" t="s">
        <v>12</v>
      </c>
      <c r="C41" s="3457"/>
      <c r="D41" s="1913">
        <f>E41+F41+G41+H41+I41+J41+K41+L41</f>
        <v>68070</v>
      </c>
      <c r="E41" s="1954">
        <f>+E43+E44</f>
        <v>4113</v>
      </c>
      <c r="F41" s="1470">
        <f t="shared" ref="F41:I41" si="38">+F43+F44</f>
        <v>22925</v>
      </c>
      <c r="G41" s="1470">
        <f t="shared" si="38"/>
        <v>13714</v>
      </c>
      <c r="H41" s="1470">
        <f t="shared" si="38"/>
        <v>13714</v>
      </c>
      <c r="I41" s="1470">
        <f t="shared" si="38"/>
        <v>13604</v>
      </c>
      <c r="J41" s="1708">
        <v>0</v>
      </c>
      <c r="K41" s="456"/>
      <c r="L41" s="456"/>
      <c r="M41" s="749">
        <f>SUM(F41:K41)</f>
        <v>63957</v>
      </c>
      <c r="N41" s="749">
        <f>SUM(G41:L41)</f>
        <v>41032</v>
      </c>
      <c r="O41" s="3454"/>
    </row>
    <row r="42" spans="1:16" s="2051" customFormat="1" ht="12" hidden="1" customHeight="1">
      <c r="A42" s="3433"/>
      <c r="B42" s="174" t="s">
        <v>150</v>
      </c>
      <c r="C42" s="3457"/>
      <c r="D42" s="1913"/>
      <c r="E42" s="1954"/>
      <c r="F42" s="1470"/>
      <c r="G42" s="1470"/>
      <c r="H42" s="1470"/>
      <c r="I42" s="1470"/>
      <c r="J42" s="1708"/>
      <c r="K42" s="456"/>
      <c r="L42" s="456"/>
      <c r="M42" s="1953"/>
      <c r="N42" s="1953"/>
      <c r="O42" s="3454"/>
    </row>
    <row r="43" spans="1:16" s="2051" customFormat="1" ht="12" hidden="1" customHeight="1">
      <c r="A43" s="3433"/>
      <c r="B43" s="1706" t="s">
        <v>294</v>
      </c>
      <c r="C43" s="3457"/>
      <c r="D43" s="1913">
        <f>E43+F43+G43+H43+I43+J43+K43+L43</f>
        <v>43007</v>
      </c>
      <c r="E43" s="1954">
        <f>3610+217</f>
        <v>3827</v>
      </c>
      <c r="F43" s="1955">
        <f>9240+555</f>
        <v>9795</v>
      </c>
      <c r="G43" s="1955">
        <f>9240+555</f>
        <v>9795</v>
      </c>
      <c r="H43" s="175">
        <f>9240+555</f>
        <v>9795</v>
      </c>
      <c r="I43" s="175">
        <f>9240+555</f>
        <v>9795</v>
      </c>
      <c r="J43" s="1708">
        <v>0</v>
      </c>
      <c r="K43" s="456"/>
      <c r="L43" s="456"/>
      <c r="M43" s="749">
        <f t="shared" ref="M43:N45" si="39">SUM(F43:K43)</f>
        <v>39180</v>
      </c>
      <c r="N43" s="749">
        <f t="shared" si="39"/>
        <v>29385</v>
      </c>
      <c r="O43" s="3454"/>
    </row>
    <row r="44" spans="1:16" s="2051" customFormat="1" ht="12" hidden="1" customHeight="1">
      <c r="A44" s="3433"/>
      <c r="B44" s="1055" t="s">
        <v>110</v>
      </c>
      <c r="C44" s="3457"/>
      <c r="D44" s="1913">
        <f>E44+F44+G44+H44+I44+J44+K44+L44</f>
        <v>25063</v>
      </c>
      <c r="E44" s="1954">
        <v>286</v>
      </c>
      <c r="F44" s="1470">
        <f>13902-772</f>
        <v>13130</v>
      </c>
      <c r="G44" s="1470">
        <f>4474-555</f>
        <v>3919</v>
      </c>
      <c r="H44" s="1470">
        <f>4474-555</f>
        <v>3919</v>
      </c>
      <c r="I44" s="1470">
        <f>4364-555</f>
        <v>3809</v>
      </c>
      <c r="J44" s="2585">
        <v>0</v>
      </c>
      <c r="K44" s="1470"/>
      <c r="L44" s="1470"/>
      <c r="M44" s="749">
        <f t="shared" si="39"/>
        <v>24777</v>
      </c>
      <c r="N44" s="749">
        <f t="shared" si="39"/>
        <v>11647</v>
      </c>
      <c r="O44" s="3454"/>
    </row>
    <row r="45" spans="1:16" s="283" customFormat="1">
      <c r="A45" s="3433"/>
      <c r="B45" s="2586" t="s">
        <v>13</v>
      </c>
      <c r="C45" s="3457"/>
      <c r="D45" s="1913">
        <f>+E45+F45+G45+H45+I45</f>
        <v>133141</v>
      </c>
      <c r="E45" s="2587">
        <f>+E47+E48</f>
        <v>8206</v>
      </c>
      <c r="F45" s="2588">
        <f>+F47+F48</f>
        <v>45051</v>
      </c>
      <c r="G45" s="2588">
        <f>+G47+G48</f>
        <v>26628</v>
      </c>
      <c r="H45" s="2588">
        <f>+H47+H48</f>
        <v>26628</v>
      </c>
      <c r="I45" s="2588">
        <f>+I47+I48</f>
        <v>26628</v>
      </c>
      <c r="J45" s="2589">
        <v>0</v>
      </c>
      <c r="K45" s="2588"/>
      <c r="L45" s="2588"/>
      <c r="M45" s="2590">
        <f t="shared" si="39"/>
        <v>124935</v>
      </c>
      <c r="N45" s="2590">
        <f t="shared" si="39"/>
        <v>79884</v>
      </c>
      <c r="O45" s="3454"/>
    </row>
    <row r="46" spans="1:16" s="2051" customFormat="1" ht="11.25" hidden="1" customHeight="1">
      <c r="A46" s="3433"/>
      <c r="B46" s="174" t="s">
        <v>150</v>
      </c>
      <c r="C46" s="3457"/>
      <c r="D46" s="1955"/>
      <c r="E46" s="175"/>
      <c r="F46" s="175"/>
      <c r="G46" s="175"/>
      <c r="H46" s="175"/>
      <c r="I46" s="175"/>
      <c r="J46" s="1459"/>
      <c r="K46" s="175"/>
      <c r="L46" s="175"/>
      <c r="M46" s="1956"/>
      <c r="N46" s="1956"/>
      <c r="O46" s="3454"/>
    </row>
    <row r="47" spans="1:16" s="2051" customFormat="1" ht="13.5" hidden="1" customHeight="1">
      <c r="A47" s="3433"/>
      <c r="B47" s="1706" t="s">
        <v>294</v>
      </c>
      <c r="C47" s="3457"/>
      <c r="D47" s="1955">
        <f>+E47+F47+G47+H47+I47</f>
        <v>86006</v>
      </c>
      <c r="E47" s="175">
        <f>7221+433</f>
        <v>7654</v>
      </c>
      <c r="F47" s="175">
        <f>18480+1108</f>
        <v>19588</v>
      </c>
      <c r="G47" s="175">
        <f>18480+1108</f>
        <v>19588</v>
      </c>
      <c r="H47" s="175">
        <f>18480+1108</f>
        <v>19588</v>
      </c>
      <c r="I47" s="175">
        <f>18480+1108</f>
        <v>19588</v>
      </c>
      <c r="J47" s="1459">
        <v>0</v>
      </c>
      <c r="K47" s="175"/>
      <c r="L47" s="175"/>
      <c r="M47" s="749">
        <f>SUM(F47:K47)</f>
        <v>78352</v>
      </c>
      <c r="N47" s="749">
        <f>SUM(G47:L47)</f>
        <v>58764</v>
      </c>
      <c r="O47" s="3454"/>
    </row>
    <row r="48" spans="1:16" s="2051" customFormat="1" ht="10.5" hidden="1" customHeight="1">
      <c r="A48" s="3433"/>
      <c r="B48" s="2591" t="s">
        <v>110</v>
      </c>
      <c r="C48" s="3457"/>
      <c r="D48" s="1955">
        <f>+E48+F48+G48+H48+I48</f>
        <v>47135</v>
      </c>
      <c r="E48" s="175">
        <v>552</v>
      </c>
      <c r="F48" s="175">
        <f>27004-1541</f>
        <v>25463</v>
      </c>
      <c r="G48" s="175">
        <f>8148-1108</f>
        <v>7040</v>
      </c>
      <c r="H48" s="175">
        <f>8148-1108</f>
        <v>7040</v>
      </c>
      <c r="I48" s="175">
        <f>8148-1108</f>
        <v>7040</v>
      </c>
      <c r="J48" s="1459">
        <v>0</v>
      </c>
      <c r="K48" s="175"/>
      <c r="L48" s="175"/>
      <c r="M48" s="749">
        <f>SUM(F48:K48)</f>
        <v>46583</v>
      </c>
      <c r="N48" s="749">
        <f>SUM(G48:L48)</f>
        <v>21120</v>
      </c>
      <c r="O48" s="3454"/>
    </row>
    <row r="49" spans="1:16" s="2051" customFormat="1" ht="12.75" customHeight="1">
      <c r="A49" s="3433"/>
      <c r="B49" s="739" t="s">
        <v>18</v>
      </c>
      <c r="C49" s="3436"/>
      <c r="D49" s="1957">
        <f>+D50</f>
        <v>1131689</v>
      </c>
      <c r="E49" s="1957">
        <f>+E50</f>
        <v>69750</v>
      </c>
      <c r="F49" s="1957">
        <f t="shared" ref="F49:I49" si="40">+F50</f>
        <v>382925</v>
      </c>
      <c r="G49" s="1957">
        <f t="shared" si="40"/>
        <v>226338</v>
      </c>
      <c r="H49" s="1957">
        <f t="shared" si="40"/>
        <v>226338</v>
      </c>
      <c r="I49" s="1957">
        <f t="shared" si="40"/>
        <v>226338</v>
      </c>
      <c r="J49" s="1958">
        <v>0</v>
      </c>
      <c r="K49" s="1957"/>
      <c r="L49" s="1957"/>
      <c r="M49" s="1953">
        <f>+M50</f>
        <v>1061939</v>
      </c>
      <c r="N49" s="1953">
        <f>+N50</f>
        <v>679014</v>
      </c>
      <c r="O49" s="3454"/>
    </row>
    <row r="50" spans="1:16" s="2051" customFormat="1" ht="12" customHeight="1">
      <c r="A50" s="3433"/>
      <c r="B50" s="1580" t="s">
        <v>21</v>
      </c>
      <c r="C50" s="3437"/>
      <c r="D50" s="1913">
        <f>E50+F50+G50+H50+I50+J50+K50+L50</f>
        <v>1131689</v>
      </c>
      <c r="E50" s="1954">
        <f>+E52+E53</f>
        <v>69750</v>
      </c>
      <c r="F50" s="2592">
        <f t="shared" ref="F50:I50" si="41">+F52+F53</f>
        <v>382925</v>
      </c>
      <c r="G50" s="2592">
        <f t="shared" si="41"/>
        <v>226338</v>
      </c>
      <c r="H50" s="2592">
        <f t="shared" si="41"/>
        <v>226338</v>
      </c>
      <c r="I50" s="2592">
        <f t="shared" si="41"/>
        <v>226338</v>
      </c>
      <c r="J50" s="2593">
        <v>0</v>
      </c>
      <c r="K50" s="2592"/>
      <c r="L50" s="2592"/>
      <c r="M50" s="749">
        <f>SUM(F50:K50)</f>
        <v>1061939</v>
      </c>
      <c r="N50" s="749">
        <f>SUM(G50:L50)</f>
        <v>679014</v>
      </c>
      <c r="O50" s="3454"/>
    </row>
    <row r="51" spans="1:16" s="2051" customFormat="1" ht="12" hidden="1" customHeight="1">
      <c r="A51" s="3433"/>
      <c r="B51" s="2594" t="s">
        <v>150</v>
      </c>
      <c r="C51" s="2839"/>
      <c r="D51" s="175"/>
      <c r="E51" s="1459"/>
      <c r="F51" s="2595"/>
      <c r="G51" s="2595"/>
      <c r="H51" s="2595"/>
      <c r="I51" s="2595"/>
      <c r="J51" s="1528"/>
      <c r="K51" s="2595"/>
      <c r="L51" s="2595"/>
      <c r="M51" s="1956"/>
      <c r="N51" s="1956"/>
      <c r="O51" s="3454"/>
    </row>
    <row r="52" spans="1:16" s="2051" customFormat="1" ht="12" hidden="1" customHeight="1">
      <c r="A52" s="3433"/>
      <c r="B52" s="1706" t="s">
        <v>294</v>
      </c>
      <c r="C52" s="2839"/>
      <c r="D52" s="175">
        <f>+F52+G52+H52+I52+E52</f>
        <v>731081</v>
      </c>
      <c r="E52" s="2596">
        <f>61378+3683</f>
        <v>65061</v>
      </c>
      <c r="F52" s="1959">
        <f>157080+9425</f>
        <v>166505</v>
      </c>
      <c r="G52" s="1959">
        <f>157080+9425</f>
        <v>166505</v>
      </c>
      <c r="H52" s="1959">
        <f>157080+9425</f>
        <v>166505</v>
      </c>
      <c r="I52" s="1959">
        <f>157080+9425</f>
        <v>166505</v>
      </c>
      <c r="J52" s="1960">
        <v>0</v>
      </c>
      <c r="K52" s="1959"/>
      <c r="L52" s="1959"/>
      <c r="M52" s="749">
        <f>SUM(F52:K52)</f>
        <v>666020</v>
      </c>
      <c r="N52" s="749">
        <f>SUM(G52:L52)</f>
        <v>499515</v>
      </c>
      <c r="O52" s="3454"/>
    </row>
    <row r="53" spans="1:16" s="2051" customFormat="1" ht="12" hidden="1" customHeight="1">
      <c r="A53" s="3433"/>
      <c r="B53" s="2591" t="s">
        <v>110</v>
      </c>
      <c r="C53" s="2839"/>
      <c r="D53" s="1955">
        <f>+F53+G53+H53+I53</f>
        <v>395919</v>
      </c>
      <c r="E53" s="114">
        <v>4689</v>
      </c>
      <c r="F53" s="114">
        <f>229528-13108</f>
        <v>216420</v>
      </c>
      <c r="G53" s="114">
        <f>69258-9425</f>
        <v>59833</v>
      </c>
      <c r="H53" s="114">
        <f>69258-9425</f>
        <v>59833</v>
      </c>
      <c r="I53" s="114">
        <f>69258-9425</f>
        <v>59833</v>
      </c>
      <c r="J53" s="516">
        <v>0</v>
      </c>
      <c r="K53" s="114"/>
      <c r="L53" s="114"/>
      <c r="M53" s="749">
        <f>SUM(F53:K53)</f>
        <v>395919</v>
      </c>
      <c r="N53" s="749">
        <f>SUM(G53:L53)</f>
        <v>179499</v>
      </c>
      <c r="O53" s="3454"/>
    </row>
    <row r="54" spans="1:16" s="2051" customFormat="1" ht="12" customHeight="1">
      <c r="A54" s="3433"/>
      <c r="B54" s="715" t="s">
        <v>22</v>
      </c>
      <c r="C54" s="1961"/>
      <c r="D54" s="1962">
        <f>+D55+D57</f>
        <v>1264830</v>
      </c>
      <c r="E54" s="1962">
        <f>+E55+E57</f>
        <v>0</v>
      </c>
      <c r="F54" s="1962">
        <f>+F55+F57</f>
        <v>0</v>
      </c>
      <c r="G54" s="1962">
        <f t="shared" ref="G54:J54" si="42">+G55+G57</f>
        <v>632415</v>
      </c>
      <c r="H54" s="1962">
        <f t="shared" si="42"/>
        <v>252966</v>
      </c>
      <c r="I54" s="1962">
        <f t="shared" si="42"/>
        <v>252966</v>
      </c>
      <c r="J54" s="1962">
        <f t="shared" si="42"/>
        <v>126483</v>
      </c>
      <c r="K54" s="1962"/>
      <c r="L54" s="1962"/>
      <c r="M54" s="3344"/>
      <c r="N54" s="3344"/>
      <c r="O54" s="3454"/>
    </row>
    <row r="55" spans="1:16" s="2051" customFormat="1" ht="12" customHeight="1">
      <c r="A55" s="3433"/>
      <c r="B55" s="1963" t="s">
        <v>24</v>
      </c>
      <c r="C55" s="3447" t="s">
        <v>149</v>
      </c>
      <c r="D55" s="1951">
        <f>+D56</f>
        <v>133141</v>
      </c>
      <c r="E55" s="1951">
        <f>+E56</f>
        <v>0</v>
      </c>
      <c r="F55" s="1951">
        <f>+F56</f>
        <v>0</v>
      </c>
      <c r="G55" s="1951">
        <f t="shared" ref="G55:J55" si="43">+G56</f>
        <v>66571</v>
      </c>
      <c r="H55" s="1951">
        <f t="shared" si="43"/>
        <v>26628</v>
      </c>
      <c r="I55" s="1951">
        <f t="shared" si="43"/>
        <v>26628</v>
      </c>
      <c r="J55" s="1951">
        <f t="shared" si="43"/>
        <v>13314</v>
      </c>
      <c r="K55" s="1951"/>
      <c r="L55" s="1951"/>
      <c r="M55" s="3345"/>
      <c r="N55" s="3345"/>
      <c r="O55" s="3454"/>
    </row>
    <row r="56" spans="1:16" s="2051" customFormat="1" ht="12" customHeight="1">
      <c r="A56" s="3433"/>
      <c r="B56" s="178" t="s">
        <v>13</v>
      </c>
      <c r="C56" s="3457"/>
      <c r="D56" s="1913">
        <f>E56+F56+G56+H56+I56+J56+K56+L56</f>
        <v>133141</v>
      </c>
      <c r="E56" s="1954">
        <v>0</v>
      </c>
      <c r="F56" s="1964">
        <v>0</v>
      </c>
      <c r="G56" s="1964">
        <f>58798+7773</f>
        <v>66571</v>
      </c>
      <c r="H56" s="1964">
        <v>26628</v>
      </c>
      <c r="I56" s="1964">
        <v>26628</v>
      </c>
      <c r="J56" s="1964">
        <v>13314</v>
      </c>
      <c r="K56" s="1964"/>
      <c r="L56" s="1964"/>
      <c r="M56" s="3345"/>
      <c r="N56" s="3345"/>
      <c r="O56" s="3454"/>
    </row>
    <row r="57" spans="1:16" s="2051" customFormat="1" ht="12" customHeight="1">
      <c r="A57" s="3433"/>
      <c r="B57" s="1965" t="s">
        <v>18</v>
      </c>
      <c r="C57" s="3436"/>
      <c r="D57" s="1957">
        <f>+D58</f>
        <v>1131689</v>
      </c>
      <c r="E57" s="1957">
        <f>+E58</f>
        <v>0</v>
      </c>
      <c r="F57" s="1957">
        <f>+F58</f>
        <v>0</v>
      </c>
      <c r="G57" s="1957">
        <f t="shared" ref="G57:J57" si="44">+G58</f>
        <v>565844</v>
      </c>
      <c r="H57" s="1957">
        <f t="shared" si="44"/>
        <v>226338</v>
      </c>
      <c r="I57" s="1957">
        <f t="shared" si="44"/>
        <v>226338</v>
      </c>
      <c r="J57" s="1957">
        <f t="shared" si="44"/>
        <v>113169</v>
      </c>
      <c r="K57" s="1957"/>
      <c r="L57" s="1957"/>
      <c r="M57" s="3345"/>
      <c r="N57" s="3345"/>
      <c r="O57" s="3454"/>
    </row>
    <row r="58" spans="1:16" s="2051" customFormat="1" ht="12" customHeight="1" thickBot="1">
      <c r="A58" s="3434"/>
      <c r="B58" s="365" t="s">
        <v>21</v>
      </c>
      <c r="C58" s="3435"/>
      <c r="D58" s="1009">
        <f>E58+F58+G58+H58+I58+J58+K58+L58</f>
        <v>1131689</v>
      </c>
      <c r="E58" s="1966">
        <v>0</v>
      </c>
      <c r="F58" s="710">
        <f>66067-66067</f>
        <v>0</v>
      </c>
      <c r="G58" s="710">
        <f>499777+66067</f>
        <v>565844</v>
      </c>
      <c r="H58" s="710">
        <v>226338</v>
      </c>
      <c r="I58" s="710">
        <v>226338</v>
      </c>
      <c r="J58" s="710">
        <v>113169</v>
      </c>
      <c r="K58" s="710"/>
      <c r="L58" s="710"/>
      <c r="M58" s="3346"/>
      <c r="N58" s="3346"/>
      <c r="O58" s="3455"/>
    </row>
    <row r="59" spans="1:16" s="2051" customFormat="1" ht="27" customHeight="1">
      <c r="A59" s="3432" t="s">
        <v>65</v>
      </c>
      <c r="B59" s="171" t="s">
        <v>443</v>
      </c>
      <c r="C59" s="172" t="s">
        <v>81</v>
      </c>
      <c r="D59" s="188"/>
      <c r="E59" s="187"/>
      <c r="F59" s="187"/>
      <c r="G59" s="187"/>
      <c r="H59" s="187"/>
      <c r="I59" s="187"/>
      <c r="J59" s="187"/>
      <c r="K59" s="187"/>
      <c r="L59" s="261"/>
      <c r="M59" s="356"/>
      <c r="N59" s="356"/>
      <c r="O59" s="3453" t="s">
        <v>110</v>
      </c>
      <c r="P59" s="2051" t="s">
        <v>439</v>
      </c>
    </row>
    <row r="60" spans="1:16" s="2051" customFormat="1" ht="12" customHeight="1">
      <c r="A60" s="3433"/>
      <c r="B60" s="715" t="s">
        <v>10</v>
      </c>
      <c r="C60" s="1950"/>
      <c r="D60" s="1962">
        <f>+D61+D64</f>
        <v>12600</v>
      </c>
      <c r="E60" s="1962">
        <f t="shared" ref="E60" si="45">+E61+E64</f>
        <v>0</v>
      </c>
      <c r="F60" s="1962">
        <f t="shared" ref="F60:I60" si="46">+F61+F64</f>
        <v>12600</v>
      </c>
      <c r="G60" s="2118">
        <f t="shared" si="46"/>
        <v>0</v>
      </c>
      <c r="H60" s="2118">
        <f t="shared" si="46"/>
        <v>0</v>
      </c>
      <c r="I60" s="2118">
        <f t="shared" si="46"/>
        <v>0</v>
      </c>
      <c r="J60" s="1962"/>
      <c r="K60" s="1962"/>
      <c r="L60" s="1962"/>
      <c r="M60" s="2119">
        <f>M61+M64</f>
        <v>12600</v>
      </c>
      <c r="N60" s="2119">
        <f>N61+N64</f>
        <v>0</v>
      </c>
      <c r="O60" s="3454"/>
      <c r="P60" s="331"/>
    </row>
    <row r="61" spans="1:16" s="2051" customFormat="1" ht="12" customHeight="1">
      <c r="A61" s="3433"/>
      <c r="B61" s="681" t="s">
        <v>24</v>
      </c>
      <c r="C61" s="3456" t="s">
        <v>149</v>
      </c>
      <c r="D61" s="1951">
        <f>+D62+D63</f>
        <v>1890</v>
      </c>
      <c r="E61" s="1951">
        <f>+E62+E63</f>
        <v>0</v>
      </c>
      <c r="F61" s="1951">
        <f>+F62+F63</f>
        <v>1890</v>
      </c>
      <c r="G61" s="1952">
        <f t="shared" ref="G61:H61" si="47">+G63</f>
        <v>0</v>
      </c>
      <c r="H61" s="1952">
        <f t="shared" si="47"/>
        <v>0</v>
      </c>
      <c r="I61" s="1952">
        <f>+I63</f>
        <v>0</v>
      </c>
      <c r="J61" s="1951"/>
      <c r="K61" s="1951"/>
      <c r="L61" s="1951"/>
      <c r="M61" s="1953">
        <f>+M62+M63</f>
        <v>1890</v>
      </c>
      <c r="N61" s="1953">
        <f>+N62+N63</f>
        <v>0</v>
      </c>
      <c r="O61" s="3454"/>
    </row>
    <row r="62" spans="1:16" s="2051" customFormat="1" ht="12" customHeight="1">
      <c r="A62" s="3433"/>
      <c r="B62" s="174" t="s">
        <v>12</v>
      </c>
      <c r="C62" s="3457"/>
      <c r="D62" s="1016">
        <f>E62+F62+G62+H62+I62+J62+K62+L62</f>
        <v>630</v>
      </c>
      <c r="E62" s="1954">
        <v>0</v>
      </c>
      <c r="F62" s="1470">
        <v>630</v>
      </c>
      <c r="G62" s="1708">
        <v>0</v>
      </c>
      <c r="H62" s="1708">
        <v>0</v>
      </c>
      <c r="I62" s="1708">
        <v>0</v>
      </c>
      <c r="J62" s="456"/>
      <c r="K62" s="456"/>
      <c r="L62" s="456"/>
      <c r="M62" s="1956">
        <f>SUM(F62:K62)</f>
        <v>630</v>
      </c>
      <c r="N62" s="1956">
        <f>SUM(G62:L62)</f>
        <v>0</v>
      </c>
      <c r="O62" s="3454"/>
    </row>
    <row r="63" spans="1:16" s="2051" customFormat="1" ht="12" customHeight="1">
      <c r="A63" s="3433"/>
      <c r="B63" s="174" t="s">
        <v>13</v>
      </c>
      <c r="C63" s="3436"/>
      <c r="D63" s="1016">
        <f>E63+F63+G63+H63+I63+J63+K63+L63</f>
        <v>1260</v>
      </c>
      <c r="E63" s="1954">
        <v>0</v>
      </c>
      <c r="F63" s="175">
        <v>1260</v>
      </c>
      <c r="G63" s="1459">
        <v>0</v>
      </c>
      <c r="H63" s="1459">
        <v>0</v>
      </c>
      <c r="I63" s="1459">
        <v>0</v>
      </c>
      <c r="J63" s="175"/>
      <c r="K63" s="175"/>
      <c r="L63" s="175"/>
      <c r="M63" s="1956">
        <f>SUM(F63:K63)</f>
        <v>1260</v>
      </c>
      <c r="N63" s="1956">
        <f>SUM(G63:L63)</f>
        <v>0</v>
      </c>
      <c r="O63" s="3454"/>
    </row>
    <row r="64" spans="1:16" s="2051" customFormat="1" ht="12" customHeight="1">
      <c r="A64" s="3433"/>
      <c r="B64" s="739" t="s">
        <v>18</v>
      </c>
      <c r="C64" s="3436"/>
      <c r="D64" s="1957">
        <f t="shared" ref="D64:I64" si="48">D65</f>
        <v>10710</v>
      </c>
      <c r="E64" s="1957">
        <f t="shared" si="48"/>
        <v>0</v>
      </c>
      <c r="F64" s="1957">
        <f t="shared" si="48"/>
        <v>10710</v>
      </c>
      <c r="G64" s="1958">
        <f t="shared" si="48"/>
        <v>0</v>
      </c>
      <c r="H64" s="1958">
        <f t="shared" si="48"/>
        <v>0</v>
      </c>
      <c r="I64" s="1958">
        <f t="shared" si="48"/>
        <v>0</v>
      </c>
      <c r="J64" s="1957"/>
      <c r="K64" s="1957"/>
      <c r="L64" s="1957"/>
      <c r="M64" s="1709">
        <f>+M65</f>
        <v>10710</v>
      </c>
      <c r="N64" s="1709">
        <f>+N65</f>
        <v>0</v>
      </c>
      <c r="O64" s="3454"/>
    </row>
    <row r="65" spans="1:15" s="2051" customFormat="1">
      <c r="A65" s="3433"/>
      <c r="B65" s="740" t="s">
        <v>21</v>
      </c>
      <c r="C65" s="3437"/>
      <c r="D65" s="1016">
        <f>E65+F65+G65+H65+I65+J65+K65+L65</f>
        <v>10710</v>
      </c>
      <c r="E65" s="1954">
        <v>0</v>
      </c>
      <c r="F65" s="137">
        <v>10710</v>
      </c>
      <c r="G65" s="1460">
        <v>0</v>
      </c>
      <c r="H65" s="1460">
        <v>0</v>
      </c>
      <c r="I65" s="1460">
        <v>0</v>
      </c>
      <c r="J65" s="137"/>
      <c r="K65" s="137"/>
      <c r="L65" s="137"/>
      <c r="M65" s="1956">
        <f>SUM(F65:K65)</f>
        <v>10710</v>
      </c>
      <c r="N65" s="1956">
        <f>SUM(G65:L65)</f>
        <v>0</v>
      </c>
      <c r="O65" s="3454"/>
    </row>
    <row r="66" spans="1:15" s="2051" customFormat="1" ht="12" customHeight="1">
      <c r="A66" s="3086"/>
      <c r="B66" s="715" t="s">
        <v>22</v>
      </c>
      <c r="C66" s="2120"/>
      <c r="D66" s="1962">
        <f>+D67+D69</f>
        <v>11970</v>
      </c>
      <c r="E66" s="1962">
        <f t="shared" ref="E66" si="49">E67+E69</f>
        <v>0</v>
      </c>
      <c r="F66" s="2118">
        <f t="shared" ref="F66:I66" si="50">F67+F69</f>
        <v>0</v>
      </c>
      <c r="G66" s="1962">
        <f t="shared" si="50"/>
        <v>11970</v>
      </c>
      <c r="H66" s="2118">
        <f t="shared" si="50"/>
        <v>0</v>
      </c>
      <c r="I66" s="2118">
        <f t="shared" si="50"/>
        <v>0</v>
      </c>
      <c r="J66" s="1962"/>
      <c r="K66" s="1962"/>
      <c r="L66" s="1962"/>
      <c r="M66" s="3417" t="s">
        <v>61</v>
      </c>
      <c r="N66" s="3417" t="s">
        <v>61</v>
      </c>
      <c r="O66" s="3454"/>
    </row>
    <row r="67" spans="1:15" s="2051" customFormat="1" ht="12" customHeight="1">
      <c r="A67" s="3086"/>
      <c r="B67" s="2121" t="s">
        <v>24</v>
      </c>
      <c r="C67" s="3456" t="s">
        <v>149</v>
      </c>
      <c r="D67" s="1951">
        <f t="shared" ref="D67:I67" si="51">D68</f>
        <v>1260</v>
      </c>
      <c r="E67" s="1951">
        <f t="shared" si="51"/>
        <v>0</v>
      </c>
      <c r="F67" s="1952">
        <f t="shared" si="51"/>
        <v>0</v>
      </c>
      <c r="G67" s="1951">
        <f t="shared" si="51"/>
        <v>1260</v>
      </c>
      <c r="H67" s="1952">
        <f t="shared" si="51"/>
        <v>0</v>
      </c>
      <c r="I67" s="1952">
        <f t="shared" si="51"/>
        <v>0</v>
      </c>
      <c r="J67" s="1951"/>
      <c r="K67" s="1951"/>
      <c r="L67" s="1951"/>
      <c r="M67" s="3345"/>
      <c r="N67" s="3345"/>
      <c r="O67" s="3454"/>
    </row>
    <row r="68" spans="1:15" s="2051" customFormat="1" ht="10.5" customHeight="1">
      <c r="A68" s="3086"/>
      <c r="B68" s="178" t="s">
        <v>13</v>
      </c>
      <c r="C68" s="3436"/>
      <c r="D68" s="1016">
        <f>E68+F68+G68+H68+I68+J68+K68+L68</f>
        <v>1260</v>
      </c>
      <c r="E68" s="1954">
        <v>0</v>
      </c>
      <c r="F68" s="2122">
        <v>0</v>
      </c>
      <c r="G68" s="1964">
        <v>1260</v>
      </c>
      <c r="H68" s="2122">
        <v>0</v>
      </c>
      <c r="I68" s="2122">
        <v>0</v>
      </c>
      <c r="J68" s="1964"/>
      <c r="K68" s="1964"/>
      <c r="L68" s="1964"/>
      <c r="M68" s="3345"/>
      <c r="N68" s="3345"/>
      <c r="O68" s="3454"/>
    </row>
    <row r="69" spans="1:15" s="2051" customFormat="1" ht="12" customHeight="1">
      <c r="A69" s="3086"/>
      <c r="B69" s="2123" t="s">
        <v>18</v>
      </c>
      <c r="C69" s="3436"/>
      <c r="D69" s="1957">
        <f t="shared" ref="D69:I69" si="52">D70</f>
        <v>10710</v>
      </c>
      <c r="E69" s="1957">
        <f t="shared" si="52"/>
        <v>0</v>
      </c>
      <c r="F69" s="1958">
        <f t="shared" si="52"/>
        <v>0</v>
      </c>
      <c r="G69" s="1957">
        <f t="shared" si="52"/>
        <v>10710</v>
      </c>
      <c r="H69" s="1958">
        <f t="shared" si="52"/>
        <v>0</v>
      </c>
      <c r="I69" s="1958">
        <f t="shared" si="52"/>
        <v>0</v>
      </c>
      <c r="J69" s="1957"/>
      <c r="K69" s="1957"/>
      <c r="L69" s="1957"/>
      <c r="M69" s="3345"/>
      <c r="N69" s="3345"/>
      <c r="O69" s="3454"/>
    </row>
    <row r="70" spans="1:15" s="2051" customFormat="1" ht="12" customHeight="1" thickBot="1">
      <c r="A70" s="3087"/>
      <c r="B70" s="365" t="s">
        <v>21</v>
      </c>
      <c r="C70" s="3435"/>
      <c r="D70" s="1009">
        <f>E70+F70+G70+H70+I70+J70+K70+L70</f>
        <v>10710</v>
      </c>
      <c r="E70" s="1966">
        <v>0</v>
      </c>
      <c r="F70" s="2117">
        <v>0</v>
      </c>
      <c r="G70" s="710">
        <v>10710</v>
      </c>
      <c r="H70" s="2117">
        <v>0</v>
      </c>
      <c r="I70" s="2117">
        <v>0</v>
      </c>
      <c r="J70" s="710"/>
      <c r="K70" s="710"/>
      <c r="L70" s="710"/>
      <c r="M70" s="3346"/>
      <c r="N70" s="3346"/>
      <c r="O70" s="3455"/>
    </row>
    <row r="71" spans="1:15" s="2051" customFormat="1" ht="36.75" customHeight="1">
      <c r="A71" s="3432" t="s">
        <v>66</v>
      </c>
      <c r="B71" s="171" t="s">
        <v>267</v>
      </c>
      <c r="C71" s="172" t="s">
        <v>109</v>
      </c>
      <c r="D71" s="188"/>
      <c r="E71" s="187"/>
      <c r="F71" s="188"/>
      <c r="G71" s="187"/>
      <c r="H71" s="187"/>
      <c r="I71" s="187"/>
      <c r="J71" s="187"/>
      <c r="K71" s="187"/>
      <c r="L71" s="261"/>
      <c r="M71" s="356"/>
      <c r="N71" s="356"/>
      <c r="O71" s="3428" t="s">
        <v>530</v>
      </c>
    </row>
    <row r="72" spans="1:15" s="2051" customFormat="1" ht="14.25" customHeight="1">
      <c r="A72" s="3433"/>
      <c r="B72" s="715" t="s">
        <v>10</v>
      </c>
      <c r="C72" s="745"/>
      <c r="D72" s="1017">
        <f>+D73+D75</f>
        <v>9746842</v>
      </c>
      <c r="E72" s="1017">
        <f t="shared" ref="E72" si="53">+E73+E75</f>
        <v>2589029</v>
      </c>
      <c r="F72" s="1017">
        <f>+F73+F75</f>
        <v>2057813</v>
      </c>
      <c r="G72" s="1017">
        <f>+G73+G75</f>
        <v>2200000</v>
      </c>
      <c r="H72" s="1017">
        <f>+H73+H75</f>
        <v>1500000</v>
      </c>
      <c r="I72" s="1017">
        <f>+I73+I75</f>
        <v>1400000</v>
      </c>
      <c r="J72" s="1017"/>
      <c r="K72" s="1017"/>
      <c r="L72" s="1017"/>
      <c r="M72" s="1018">
        <f>M73+M75</f>
        <v>7157813</v>
      </c>
      <c r="N72" s="1018">
        <f>N73+N75</f>
        <v>5100000</v>
      </c>
      <c r="O72" s="3429"/>
    </row>
    <row r="73" spans="1:15" s="2051" customFormat="1">
      <c r="A73" s="3433"/>
      <c r="B73" s="681" t="s">
        <v>24</v>
      </c>
      <c r="C73" s="3456" t="s">
        <v>206</v>
      </c>
      <c r="D73" s="1019">
        <f>+D74</f>
        <v>1462026</v>
      </c>
      <c r="E73" s="1019">
        <f t="shared" ref="E73:I73" si="54">+E74</f>
        <v>388354</v>
      </c>
      <c r="F73" s="1019">
        <f t="shared" si="54"/>
        <v>308672</v>
      </c>
      <c r="G73" s="1019">
        <f t="shared" si="54"/>
        <v>330000</v>
      </c>
      <c r="H73" s="1019">
        <f t="shared" si="54"/>
        <v>225000</v>
      </c>
      <c r="I73" s="1019">
        <f t="shared" si="54"/>
        <v>210000</v>
      </c>
      <c r="J73" s="1019"/>
      <c r="K73" s="1019"/>
      <c r="L73" s="1019"/>
      <c r="M73" s="738">
        <f>+M74</f>
        <v>1073672</v>
      </c>
      <c r="N73" s="738">
        <f>+N74</f>
        <v>765000</v>
      </c>
      <c r="O73" s="3429"/>
    </row>
    <row r="74" spans="1:15" s="2051" customFormat="1">
      <c r="A74" s="3433"/>
      <c r="B74" s="174" t="s">
        <v>13</v>
      </c>
      <c r="C74" s="3436"/>
      <c r="D74" s="249">
        <f>E74+F74+G74+H74+I74+J74+K74+L74</f>
        <v>1462026</v>
      </c>
      <c r="E74" s="1579">
        <v>388354</v>
      </c>
      <c r="F74" s="175">
        <f>330000-21328</f>
        <v>308672</v>
      </c>
      <c r="G74" s="175">
        <v>330000</v>
      </c>
      <c r="H74" s="175">
        <v>225000</v>
      </c>
      <c r="I74" s="175">
        <v>210000</v>
      </c>
      <c r="J74" s="175"/>
      <c r="K74" s="175"/>
      <c r="L74" s="175"/>
      <c r="M74" s="749">
        <f>SUM(F74:K74)</f>
        <v>1073672</v>
      </c>
      <c r="N74" s="749">
        <f>SUM(G74:L74)</f>
        <v>765000</v>
      </c>
      <c r="O74" s="3429"/>
    </row>
    <row r="75" spans="1:15" s="2051" customFormat="1" ht="12" customHeight="1">
      <c r="A75" s="3433"/>
      <c r="B75" s="739" t="s">
        <v>18</v>
      </c>
      <c r="C75" s="3436"/>
      <c r="D75" s="1020">
        <f>+D76</f>
        <v>8284816</v>
      </c>
      <c r="E75" s="1020">
        <f t="shared" ref="E75:I75" si="55">E76</f>
        <v>2200675</v>
      </c>
      <c r="F75" s="1020">
        <f t="shared" si="55"/>
        <v>1749141</v>
      </c>
      <c r="G75" s="1020">
        <f t="shared" si="55"/>
        <v>1870000</v>
      </c>
      <c r="H75" s="1020">
        <f t="shared" si="55"/>
        <v>1275000</v>
      </c>
      <c r="I75" s="1020">
        <f t="shared" si="55"/>
        <v>1190000</v>
      </c>
      <c r="J75" s="1020"/>
      <c r="K75" s="1020"/>
      <c r="L75" s="1020"/>
      <c r="M75" s="738">
        <f>+M76</f>
        <v>6084141</v>
      </c>
      <c r="N75" s="738">
        <f>+N76</f>
        <v>4335000</v>
      </c>
      <c r="O75" s="3429"/>
    </row>
    <row r="76" spans="1:15" s="2051" customFormat="1" ht="12" customHeight="1">
      <c r="A76" s="3433"/>
      <c r="B76" s="740" t="s">
        <v>21</v>
      </c>
      <c r="C76" s="3437"/>
      <c r="D76" s="249">
        <f>E76+F76+G76+H76+I76+J76+K76+L76</f>
        <v>8284816</v>
      </c>
      <c r="E76" s="1579">
        <v>2200675</v>
      </c>
      <c r="F76" s="137">
        <f>1870000-120859</f>
        <v>1749141</v>
      </c>
      <c r="G76" s="137">
        <v>1870000</v>
      </c>
      <c r="H76" s="137">
        <v>1275000</v>
      </c>
      <c r="I76" s="137">
        <v>1190000</v>
      </c>
      <c r="J76" s="137"/>
      <c r="K76" s="137"/>
      <c r="L76" s="137"/>
      <c r="M76" s="749">
        <f>SUM(F76:K76)</f>
        <v>6084141</v>
      </c>
      <c r="N76" s="749">
        <f>SUM(G76:L76)</f>
        <v>4335000</v>
      </c>
      <c r="O76" s="3429"/>
    </row>
    <row r="77" spans="1:15" s="2051" customFormat="1" ht="14.25" customHeight="1">
      <c r="A77" s="3086"/>
      <c r="B77" s="715" t="s">
        <v>22</v>
      </c>
      <c r="C77" s="741"/>
      <c r="D77" s="1017">
        <f>+D78+D80</f>
        <v>9746842</v>
      </c>
      <c r="E77" s="1017">
        <f t="shared" ref="E77" si="56">E78+E80</f>
        <v>2589029</v>
      </c>
      <c r="F77" s="1017">
        <f>F78+F80</f>
        <v>2057813</v>
      </c>
      <c r="G77" s="1017">
        <f>G78+G80</f>
        <v>2200000</v>
      </c>
      <c r="H77" s="716">
        <f>H78+H80</f>
        <v>1500000</v>
      </c>
      <c r="I77" s="1017">
        <f>I78+I80</f>
        <v>1400000</v>
      </c>
      <c r="J77" s="1017"/>
      <c r="K77" s="1017"/>
      <c r="L77" s="1017"/>
      <c r="M77" s="3426" t="s">
        <v>61</v>
      </c>
      <c r="N77" s="3426" t="s">
        <v>61</v>
      </c>
      <c r="O77" s="3429"/>
    </row>
    <row r="78" spans="1:15" s="2051" customFormat="1" ht="13.5" customHeight="1">
      <c r="A78" s="3086"/>
      <c r="B78" s="742" t="s">
        <v>24</v>
      </c>
      <c r="C78" s="3456" t="s">
        <v>206</v>
      </c>
      <c r="D78" s="1019">
        <f>+D79</f>
        <v>1462026</v>
      </c>
      <c r="E78" s="1019">
        <f t="shared" ref="E78:I78" si="57">E79</f>
        <v>388354</v>
      </c>
      <c r="F78" s="1019">
        <f t="shared" si="57"/>
        <v>308672</v>
      </c>
      <c r="G78" s="1019">
        <f t="shared" si="57"/>
        <v>330000</v>
      </c>
      <c r="H78" s="743">
        <f t="shared" si="57"/>
        <v>225000</v>
      </c>
      <c r="I78" s="1019">
        <f t="shared" si="57"/>
        <v>210000</v>
      </c>
      <c r="J78" s="1019"/>
      <c r="K78" s="1019"/>
      <c r="L78" s="1019"/>
      <c r="M78" s="3345"/>
      <c r="N78" s="3345"/>
      <c r="O78" s="3429"/>
    </row>
    <row r="79" spans="1:15" s="2051" customFormat="1" ht="13.5" customHeight="1">
      <c r="A79" s="3086"/>
      <c r="B79" s="178" t="s">
        <v>13</v>
      </c>
      <c r="C79" s="3436"/>
      <c r="D79" s="249">
        <f>E79+F79+G79+H79+I79+J79+K79+L79</f>
        <v>1462026</v>
      </c>
      <c r="E79" s="1579">
        <v>388354</v>
      </c>
      <c r="F79" s="722">
        <f>330000-21328</f>
        <v>308672</v>
      </c>
      <c r="G79" s="722">
        <v>330000</v>
      </c>
      <c r="H79" s="722">
        <v>225000</v>
      </c>
      <c r="I79" s="722">
        <v>210000</v>
      </c>
      <c r="J79" s="722"/>
      <c r="K79" s="722"/>
      <c r="L79" s="722"/>
      <c r="M79" s="3345"/>
      <c r="N79" s="3345"/>
      <c r="O79" s="3429"/>
    </row>
    <row r="80" spans="1:15" s="2051" customFormat="1">
      <c r="A80" s="3086"/>
      <c r="B80" s="744" t="s">
        <v>18</v>
      </c>
      <c r="C80" s="3436"/>
      <c r="D80" s="1020">
        <f>+D81</f>
        <v>8284816</v>
      </c>
      <c r="E80" s="1020">
        <f t="shared" ref="E80:I80" si="58">E81</f>
        <v>2200675</v>
      </c>
      <c r="F80" s="1020">
        <f t="shared" si="58"/>
        <v>1749141</v>
      </c>
      <c r="G80" s="1020">
        <f t="shared" si="58"/>
        <v>1870000</v>
      </c>
      <c r="H80" s="725">
        <f t="shared" si="58"/>
        <v>1275000</v>
      </c>
      <c r="I80" s="1020">
        <f t="shared" si="58"/>
        <v>1190000</v>
      </c>
      <c r="J80" s="1020"/>
      <c r="K80" s="1020"/>
      <c r="L80" s="1020"/>
      <c r="M80" s="3345"/>
      <c r="N80" s="3345"/>
      <c r="O80" s="3429"/>
    </row>
    <row r="81" spans="1:18" s="2051" customFormat="1" ht="12" customHeight="1" thickBot="1">
      <c r="A81" s="3087"/>
      <c r="B81" s="365" t="s">
        <v>21</v>
      </c>
      <c r="C81" s="3435"/>
      <c r="D81" s="249">
        <f>E81+F81+G81+H81+I81+J81+K81+L81</f>
        <v>8284816</v>
      </c>
      <c r="E81" s="1579">
        <v>2200675</v>
      </c>
      <c r="F81" s="710">
        <f>1870000-120859</f>
        <v>1749141</v>
      </c>
      <c r="G81" s="710">
        <v>1870000</v>
      </c>
      <c r="H81" s="710">
        <v>1275000</v>
      </c>
      <c r="I81" s="710">
        <v>1190000</v>
      </c>
      <c r="J81" s="710"/>
      <c r="K81" s="710"/>
      <c r="L81" s="710"/>
      <c r="M81" s="3346"/>
      <c r="N81" s="3346"/>
      <c r="O81" s="3430"/>
    </row>
    <row r="82" spans="1:18" s="2051" customFormat="1" ht="43.5" customHeight="1">
      <c r="A82" s="3432" t="s">
        <v>67</v>
      </c>
      <c r="B82" s="171" t="s">
        <v>312</v>
      </c>
      <c r="C82" s="172" t="s">
        <v>81</v>
      </c>
      <c r="D82" s="188"/>
      <c r="E82" s="403"/>
      <c r="F82" s="187"/>
      <c r="G82" s="187"/>
      <c r="H82" s="187"/>
      <c r="I82" s="187"/>
      <c r="J82" s="187"/>
      <c r="K82" s="187"/>
      <c r="L82" s="261"/>
      <c r="M82" s="356"/>
      <c r="N82" s="356"/>
      <c r="O82" s="3428" t="s">
        <v>323</v>
      </c>
    </row>
    <row r="83" spans="1:18" s="2051" customFormat="1" ht="12" customHeight="1">
      <c r="A83" s="3433"/>
      <c r="B83" s="21" t="s">
        <v>10</v>
      </c>
      <c r="C83" s="1710"/>
      <c r="D83" s="436">
        <f>+D84+D86</f>
        <v>44438</v>
      </c>
      <c r="E83" s="436">
        <f t="shared" ref="E83" si="59">+E84+E86</f>
        <v>38038</v>
      </c>
      <c r="F83" s="436">
        <f>+F84+F86</f>
        <v>6400</v>
      </c>
      <c r="G83" s="436">
        <f>+G84+G86</f>
        <v>0</v>
      </c>
      <c r="H83" s="436">
        <f>+H84+H86</f>
        <v>0</v>
      </c>
      <c r="I83" s="436">
        <f>+I84+I86</f>
        <v>0</v>
      </c>
      <c r="J83" s="436"/>
      <c r="K83" s="436"/>
      <c r="L83" s="436"/>
      <c r="M83" s="1581">
        <f>M84+M86</f>
        <v>6400</v>
      </c>
      <c r="N83" s="1581">
        <f>N84+N86</f>
        <v>0</v>
      </c>
      <c r="O83" s="3429"/>
    </row>
    <row r="84" spans="1:18" s="2051" customFormat="1" ht="12" customHeight="1">
      <c r="A84" s="3433"/>
      <c r="B84" s="173" t="s">
        <v>24</v>
      </c>
      <c r="C84" s="3461" t="s">
        <v>206</v>
      </c>
      <c r="D84" s="437">
        <f>+D85</f>
        <v>6666</v>
      </c>
      <c r="E84" s="437">
        <f t="shared" ref="E84:I84" si="60">+E85</f>
        <v>5706</v>
      </c>
      <c r="F84" s="437">
        <f t="shared" si="60"/>
        <v>960</v>
      </c>
      <c r="G84" s="437">
        <f t="shared" si="60"/>
        <v>0</v>
      </c>
      <c r="H84" s="437">
        <f t="shared" si="60"/>
        <v>0</v>
      </c>
      <c r="I84" s="437">
        <f t="shared" si="60"/>
        <v>0</v>
      </c>
      <c r="J84" s="437"/>
      <c r="K84" s="437"/>
      <c r="L84" s="437"/>
      <c r="M84" s="1582">
        <f>+M85</f>
        <v>960</v>
      </c>
      <c r="N84" s="1582">
        <f>+N85</f>
        <v>0</v>
      </c>
      <c r="O84" s="3429"/>
    </row>
    <row r="85" spans="1:18" s="2051" customFormat="1" ht="12" customHeight="1">
      <c r="A85" s="3433"/>
      <c r="B85" s="174" t="s">
        <v>13</v>
      </c>
      <c r="C85" s="3436"/>
      <c r="D85" s="249">
        <f>E85+F85+G85+H85+I85+J85+K85+L85</f>
        <v>6666</v>
      </c>
      <c r="E85" s="1579">
        <v>5706</v>
      </c>
      <c r="F85" s="175">
        <v>960</v>
      </c>
      <c r="G85" s="175">
        <v>0</v>
      </c>
      <c r="H85" s="175">
        <v>0</v>
      </c>
      <c r="I85" s="175">
        <v>0</v>
      </c>
      <c r="J85" s="175"/>
      <c r="K85" s="175"/>
      <c r="L85" s="175"/>
      <c r="M85" s="749">
        <f>SUM(F85:K85)</f>
        <v>960</v>
      </c>
      <c r="N85" s="749">
        <f>SUM(G85:L85)</f>
        <v>0</v>
      </c>
      <c r="O85" s="3429"/>
    </row>
    <row r="86" spans="1:18" s="2051" customFormat="1" ht="12" customHeight="1">
      <c r="A86" s="3433"/>
      <c r="B86" s="83" t="s">
        <v>18</v>
      </c>
      <c r="C86" s="3436"/>
      <c r="D86" s="438">
        <f>D87</f>
        <v>37772</v>
      </c>
      <c r="E86" s="438">
        <f t="shared" ref="E86:I86" si="61">E87</f>
        <v>32332</v>
      </c>
      <c r="F86" s="438">
        <f t="shared" si="61"/>
        <v>5440</v>
      </c>
      <c r="G86" s="438">
        <f t="shared" si="61"/>
        <v>0</v>
      </c>
      <c r="H86" s="438">
        <f t="shared" si="61"/>
        <v>0</v>
      </c>
      <c r="I86" s="438">
        <f t="shared" si="61"/>
        <v>0</v>
      </c>
      <c r="J86" s="438"/>
      <c r="K86" s="438"/>
      <c r="L86" s="438"/>
      <c r="M86" s="1582">
        <f>+M87</f>
        <v>5440</v>
      </c>
      <c r="N86" s="1582">
        <f>+N87</f>
        <v>0</v>
      </c>
      <c r="O86" s="3429"/>
    </row>
    <row r="87" spans="1:18" s="2051" customFormat="1" ht="12" customHeight="1">
      <c r="A87" s="3433"/>
      <c r="B87" s="1711" t="s">
        <v>21</v>
      </c>
      <c r="C87" s="3437"/>
      <c r="D87" s="249">
        <f>E87+F87+G87+H87+I87+J87+K87+L87</f>
        <v>37772</v>
      </c>
      <c r="E87" s="1579">
        <v>32332</v>
      </c>
      <c r="F87" s="137">
        <v>5440</v>
      </c>
      <c r="G87" s="137">
        <v>0</v>
      </c>
      <c r="H87" s="137">
        <v>0</v>
      </c>
      <c r="I87" s="137">
        <v>0</v>
      </c>
      <c r="J87" s="137"/>
      <c r="K87" s="137"/>
      <c r="L87" s="137"/>
      <c r="M87" s="749">
        <f>SUM(F87:K87)</f>
        <v>5440</v>
      </c>
      <c r="N87" s="749">
        <f>SUM(G87:L87)</f>
        <v>0</v>
      </c>
      <c r="O87" s="3429"/>
    </row>
    <row r="88" spans="1:18" s="2051" customFormat="1" ht="12" customHeight="1">
      <c r="A88" s="3086"/>
      <c r="B88" s="21" t="s">
        <v>22</v>
      </c>
      <c r="C88" s="1712"/>
      <c r="D88" s="436">
        <f>D89+D91</f>
        <v>44438</v>
      </c>
      <c r="E88" s="436">
        <f t="shared" ref="E88" si="62">E89+E91</f>
        <v>38038</v>
      </c>
      <c r="F88" s="436">
        <f>F89+F91</f>
        <v>6400</v>
      </c>
      <c r="G88" s="436">
        <f>G89+G91</f>
        <v>0</v>
      </c>
      <c r="H88" s="436">
        <f>H89+H91</f>
        <v>0</v>
      </c>
      <c r="I88" s="436">
        <f>I89+I91</f>
        <v>0</v>
      </c>
      <c r="J88" s="436"/>
      <c r="K88" s="436"/>
      <c r="L88" s="436"/>
      <c r="M88" s="3427" t="s">
        <v>61</v>
      </c>
      <c r="N88" s="3427" t="s">
        <v>61</v>
      </c>
      <c r="O88" s="3429"/>
    </row>
    <row r="89" spans="1:18" s="2051" customFormat="1" ht="12" customHeight="1">
      <c r="A89" s="3086"/>
      <c r="B89" s="1713" t="s">
        <v>24</v>
      </c>
      <c r="C89" s="3461" t="s">
        <v>206</v>
      </c>
      <c r="D89" s="437">
        <f>D90</f>
        <v>6666</v>
      </c>
      <c r="E89" s="437">
        <f t="shared" ref="E89:I89" si="63">E90</f>
        <v>5706</v>
      </c>
      <c r="F89" s="437">
        <f t="shared" si="63"/>
        <v>960</v>
      </c>
      <c r="G89" s="437">
        <f t="shared" si="63"/>
        <v>0</v>
      </c>
      <c r="H89" s="437">
        <f t="shared" si="63"/>
        <v>0</v>
      </c>
      <c r="I89" s="437">
        <f t="shared" si="63"/>
        <v>0</v>
      </c>
      <c r="J89" s="437"/>
      <c r="K89" s="437"/>
      <c r="L89" s="437"/>
      <c r="M89" s="3345"/>
      <c r="N89" s="3345"/>
      <c r="O89" s="3429"/>
    </row>
    <row r="90" spans="1:18" s="2051" customFormat="1" ht="12" customHeight="1">
      <c r="A90" s="3086"/>
      <c r="B90" s="178" t="s">
        <v>13</v>
      </c>
      <c r="C90" s="3436"/>
      <c r="D90" s="249">
        <f>E90+F90+G90+H90+I90+J90+K90+L90</f>
        <v>6666</v>
      </c>
      <c r="E90" s="1579">
        <v>5706</v>
      </c>
      <c r="F90" s="418">
        <v>960</v>
      </c>
      <c r="G90" s="418">
        <v>0</v>
      </c>
      <c r="H90" s="231">
        <v>0</v>
      </c>
      <c r="I90" s="231">
        <v>0</v>
      </c>
      <c r="J90" s="231"/>
      <c r="K90" s="231"/>
      <c r="L90" s="231"/>
      <c r="M90" s="3345"/>
      <c r="N90" s="3345"/>
      <c r="O90" s="3429"/>
    </row>
    <row r="91" spans="1:18" s="2051" customFormat="1" ht="12" customHeight="1">
      <c r="A91" s="3086"/>
      <c r="B91" s="1714" t="s">
        <v>18</v>
      </c>
      <c r="C91" s="3436"/>
      <c r="D91" s="438">
        <f>D92</f>
        <v>37772</v>
      </c>
      <c r="E91" s="438">
        <f t="shared" ref="E91:I91" si="64">E92</f>
        <v>32332</v>
      </c>
      <c r="F91" s="438">
        <f t="shared" si="64"/>
        <v>5440</v>
      </c>
      <c r="G91" s="438">
        <f t="shared" si="64"/>
        <v>0</v>
      </c>
      <c r="H91" s="438">
        <f t="shared" si="64"/>
        <v>0</v>
      </c>
      <c r="I91" s="438">
        <f t="shared" si="64"/>
        <v>0</v>
      </c>
      <c r="J91" s="438"/>
      <c r="K91" s="438"/>
      <c r="L91" s="438"/>
      <c r="M91" s="3345"/>
      <c r="N91" s="3345"/>
      <c r="O91" s="3429"/>
    </row>
    <row r="92" spans="1:18" s="2051" customFormat="1" ht="12" customHeight="1" thickBot="1">
      <c r="A92" s="3087"/>
      <c r="B92" s="365" t="s">
        <v>21</v>
      </c>
      <c r="C92" s="3435"/>
      <c r="D92" s="249">
        <f>E92+F92+G92+H92+I92+J92+K92+L92</f>
        <v>37772</v>
      </c>
      <c r="E92" s="1579">
        <v>32332</v>
      </c>
      <c r="F92" s="179">
        <v>5440</v>
      </c>
      <c r="G92" s="179">
        <v>0</v>
      </c>
      <c r="H92" s="115">
        <v>0</v>
      </c>
      <c r="I92" s="115">
        <v>0</v>
      </c>
      <c r="J92" s="115"/>
      <c r="K92" s="115"/>
      <c r="L92" s="115"/>
      <c r="M92" s="3346"/>
      <c r="N92" s="3346"/>
      <c r="O92" s="3430"/>
    </row>
    <row r="93" spans="1:18" s="350" customFormat="1" ht="22.5">
      <c r="A93" s="3432" t="s">
        <v>115</v>
      </c>
      <c r="B93" s="171" t="s">
        <v>259</v>
      </c>
      <c r="C93" s="172" t="s">
        <v>109</v>
      </c>
      <c r="D93" s="403">
        <f>D94-D102</f>
        <v>218076464</v>
      </c>
      <c r="E93" s="403">
        <f t="shared" ref="E93:N93" si="65">E94-E102</f>
        <v>23982839</v>
      </c>
      <c r="F93" s="403">
        <f t="shared" si="65"/>
        <v>29167379</v>
      </c>
      <c r="G93" s="403">
        <f t="shared" si="65"/>
        <v>31621171</v>
      </c>
      <c r="H93" s="403">
        <f t="shared" si="65"/>
        <v>27963251</v>
      </c>
      <c r="I93" s="403">
        <f t="shared" si="65"/>
        <v>27581261</v>
      </c>
      <c r="J93" s="403">
        <f t="shared" si="65"/>
        <v>26987259</v>
      </c>
      <c r="K93" s="403">
        <f t="shared" si="65"/>
        <v>25481869</v>
      </c>
      <c r="L93" s="403">
        <f t="shared" si="65"/>
        <v>25291435</v>
      </c>
      <c r="M93" s="403">
        <f t="shared" si="65"/>
        <v>194093625</v>
      </c>
      <c r="N93" s="403">
        <f t="shared" si="65"/>
        <v>164926246</v>
      </c>
      <c r="O93" s="3423" t="s">
        <v>386</v>
      </c>
      <c r="P93" s="1530" t="s">
        <v>390</v>
      </c>
      <c r="Q93" s="1531" t="s">
        <v>391</v>
      </c>
      <c r="R93" s="355"/>
    </row>
    <row r="94" spans="1:18" s="350" customFormat="1" ht="15.75" customHeight="1">
      <c r="A94" s="3433"/>
      <c r="B94" s="715" t="s">
        <v>10</v>
      </c>
      <c r="C94" s="1967"/>
      <c r="D94" s="1968">
        <f>+D105+D95</f>
        <v>219191165</v>
      </c>
      <c r="E94" s="1968">
        <f t="shared" ref="E94" si="66">+E105+E95</f>
        <v>24338842</v>
      </c>
      <c r="F94" s="1968">
        <f t="shared" ref="F94:I94" si="67">+F105+F95</f>
        <v>29475497</v>
      </c>
      <c r="G94" s="1968">
        <f t="shared" si="67"/>
        <v>31713995</v>
      </c>
      <c r="H94" s="1968">
        <f t="shared" si="67"/>
        <v>28051487</v>
      </c>
      <c r="I94" s="1968">
        <f t="shared" si="67"/>
        <v>27658726</v>
      </c>
      <c r="J94" s="1968">
        <f>+J105+J95</f>
        <v>27051278</v>
      </c>
      <c r="K94" s="1968">
        <f>+K105+K95</f>
        <v>25545887</v>
      </c>
      <c r="L94" s="1968">
        <f>+L105+L95</f>
        <v>25355453</v>
      </c>
      <c r="M94" s="1969">
        <f>+M105+M95</f>
        <v>194093625</v>
      </c>
      <c r="N94" s="1969">
        <f>+N105+N95</f>
        <v>164926246</v>
      </c>
      <c r="O94" s="3424"/>
      <c r="P94" s="1533">
        <f>+P95+P105</f>
        <v>24456849</v>
      </c>
      <c r="Q94" s="1533"/>
    </row>
    <row r="95" spans="1:18" s="338" customFormat="1" ht="15.75" customHeight="1">
      <c r="A95" s="3433"/>
      <c r="B95" s="681" t="s">
        <v>24</v>
      </c>
      <c r="C95" s="3438" t="s">
        <v>384</v>
      </c>
      <c r="D95" s="1970">
        <f>D96+D102</f>
        <v>35856764</v>
      </c>
      <c r="E95" s="1970">
        <f t="shared" ref="E95" si="68">E96+E102</f>
        <v>4452085</v>
      </c>
      <c r="F95" s="1970">
        <f t="shared" ref="F95:I95" si="69">F96+F102</f>
        <v>5203921</v>
      </c>
      <c r="G95" s="1970">
        <f t="shared" si="69"/>
        <v>5252020</v>
      </c>
      <c r="H95" s="1970">
        <f t="shared" si="69"/>
        <v>4897375</v>
      </c>
      <c r="I95" s="1970">
        <f t="shared" si="69"/>
        <v>4986261</v>
      </c>
      <c r="J95" s="1970">
        <f>J96+J102</f>
        <v>4898600</v>
      </c>
      <c r="K95" s="1970">
        <f>K96+K102</f>
        <v>3052528</v>
      </c>
      <c r="L95" s="1970">
        <f>L96+L102</f>
        <v>3113974</v>
      </c>
      <c r="M95" s="1971">
        <f>M96+M102</f>
        <v>30645981</v>
      </c>
      <c r="N95" s="1971">
        <f>N96+N102</f>
        <v>25750178</v>
      </c>
      <c r="O95" s="3424"/>
      <c r="P95" s="1535">
        <f>+P96+P102</f>
        <v>2983757</v>
      </c>
      <c r="Q95" s="1535"/>
    </row>
    <row r="96" spans="1:18" s="350" customFormat="1" ht="12.75" customHeight="1">
      <c r="A96" s="3433"/>
      <c r="B96" s="174" t="s">
        <v>12</v>
      </c>
      <c r="C96" s="3436"/>
      <c r="D96" s="1913">
        <f t="shared" ref="D96:D104" si="70">E96+F96+G96+H96+I96+J96+K96+L96</f>
        <v>34742063</v>
      </c>
      <c r="E96" s="1972">
        <f t="shared" ref="E96:L96" si="71">+E98+E99+E100+E101</f>
        <v>4096082</v>
      </c>
      <c r="F96" s="1972">
        <f t="shared" si="71"/>
        <v>4895803</v>
      </c>
      <c r="G96" s="1972">
        <f t="shared" si="71"/>
        <v>5159196</v>
      </c>
      <c r="H96" s="1972">
        <f t="shared" si="71"/>
        <v>4809139</v>
      </c>
      <c r="I96" s="1972">
        <f t="shared" si="71"/>
        <v>4908796</v>
      </c>
      <c r="J96" s="1972">
        <f t="shared" si="71"/>
        <v>4834581</v>
      </c>
      <c r="K96" s="1972">
        <f t="shared" si="71"/>
        <v>2988510</v>
      </c>
      <c r="L96" s="1972">
        <f t="shared" si="71"/>
        <v>3049956</v>
      </c>
      <c r="M96" s="749">
        <f>SUM(F96:L96)</f>
        <v>30645981</v>
      </c>
      <c r="N96" s="749">
        <f>SUM(G96:L96)</f>
        <v>25750178</v>
      </c>
      <c r="O96" s="3424"/>
      <c r="P96" s="1532">
        <v>2627754</v>
      </c>
      <c r="Q96" s="1532"/>
    </row>
    <row r="97" spans="1:20" s="350" customFormat="1" ht="12.75" hidden="1" customHeight="1">
      <c r="A97" s="3433"/>
      <c r="B97" s="1580" t="s">
        <v>150</v>
      </c>
      <c r="C97" s="3436"/>
      <c r="D97" s="1913">
        <f t="shared" si="70"/>
        <v>0</v>
      </c>
      <c r="E97" s="1973"/>
      <c r="F97" s="1973"/>
      <c r="G97" s="1973"/>
      <c r="H97" s="1973"/>
      <c r="I97" s="1973"/>
      <c r="J97" s="1973"/>
      <c r="K97" s="1973"/>
      <c r="L97" s="1973"/>
      <c r="M97" s="1974"/>
      <c r="N97" s="1974"/>
      <c r="O97" s="3424"/>
      <c r="P97" s="1532"/>
      <c r="Q97" s="1532"/>
    </row>
    <row r="98" spans="1:20" s="350" customFormat="1" ht="12.75" hidden="1" customHeight="1">
      <c r="A98" s="3433"/>
      <c r="B98" s="451" t="s">
        <v>151</v>
      </c>
      <c r="C98" s="3436"/>
      <c r="D98" s="1913">
        <f t="shared" si="70"/>
        <v>5884865</v>
      </c>
      <c r="E98" s="1975">
        <v>2627754</v>
      </c>
      <c r="F98" s="1975">
        <f>9433+186725+10304+744248+897699+783429+5728+241266+25883+352396</f>
        <v>3257111</v>
      </c>
      <c r="G98" s="1975"/>
      <c r="H98" s="1975"/>
      <c r="I98" s="1975">
        <f>152659-152659</f>
        <v>0</v>
      </c>
      <c r="J98" s="1975"/>
      <c r="K98" s="1975"/>
      <c r="L98" s="1975"/>
      <c r="M98" s="1465">
        <f t="shared" ref="M98:N101" si="72">+F98+G98+H98+I98+J98+K98</f>
        <v>3257111</v>
      </c>
      <c r="N98" s="1465">
        <f t="shared" si="72"/>
        <v>0</v>
      </c>
      <c r="O98" s="3424"/>
      <c r="P98" s="1532"/>
      <c r="Q98" s="1532"/>
    </row>
    <row r="99" spans="1:20" s="350" customFormat="1" ht="12.75" hidden="1" customHeight="1">
      <c r="A99" s="3433"/>
      <c r="B99" s="1678" t="s">
        <v>152</v>
      </c>
      <c r="C99" s="3436"/>
      <c r="D99" s="1913">
        <f t="shared" si="70"/>
        <v>0</v>
      </c>
      <c r="E99" s="1976"/>
      <c r="F99" s="1976"/>
      <c r="G99" s="1976"/>
      <c r="H99" s="1976"/>
      <c r="I99" s="1976"/>
      <c r="J99" s="1976"/>
      <c r="K99" s="1976"/>
      <c r="L99" s="1976"/>
      <c r="M99" s="1465">
        <f t="shared" si="72"/>
        <v>0</v>
      </c>
      <c r="N99" s="1465">
        <f t="shared" si="72"/>
        <v>0</v>
      </c>
      <c r="O99" s="3424"/>
      <c r="P99" s="1532"/>
      <c r="Q99" s="1532"/>
    </row>
    <row r="100" spans="1:20" s="350" customFormat="1" ht="12.75" hidden="1" customHeight="1">
      <c r="A100" s="3433"/>
      <c r="B100" s="1681" t="s">
        <v>153</v>
      </c>
      <c r="C100" s="3436"/>
      <c r="D100" s="1913">
        <f t="shared" si="70"/>
        <v>28857198</v>
      </c>
      <c r="E100" s="1977">
        <f>12575+1455753</f>
        <v>1468328</v>
      </c>
      <c r="F100" s="2597">
        <f>868747+1301922+95728+2022114+18844+588448-9433-186725-10304-744248-897699-783429-5728-241266-25883-352396</f>
        <v>1638692</v>
      </c>
      <c r="G100" s="1461">
        <f>886122+1327960+97643+2062557+784914</f>
        <v>5159196</v>
      </c>
      <c r="H100" s="1461">
        <f>903845+1354520+99595+2103807+347372</f>
        <v>4809139</v>
      </c>
      <c r="I100" s="1461">
        <f>921922+1381610+101587+2145884+357793</f>
        <v>4908796</v>
      </c>
      <c r="J100" s="1461">
        <f>4642023+192558</f>
        <v>4834581</v>
      </c>
      <c r="K100" s="1461">
        <f>2551196+450141-14983+2156</f>
        <v>2988510</v>
      </c>
      <c r="L100" s="1461">
        <f>2645893+416877-14984+2157+13</f>
        <v>3049956</v>
      </c>
      <c r="M100" s="1465">
        <f t="shared" si="72"/>
        <v>24338914</v>
      </c>
      <c r="N100" s="1465">
        <f t="shared" si="72"/>
        <v>25750178</v>
      </c>
      <c r="O100" s="3424"/>
      <c r="P100" s="1532"/>
      <c r="Q100" s="1532"/>
    </row>
    <row r="101" spans="1:20" s="350" customFormat="1" ht="12.75" hidden="1" customHeight="1">
      <c r="A101" s="3433"/>
      <c r="B101" s="452" t="s">
        <v>154</v>
      </c>
      <c r="C101" s="3436"/>
      <c r="D101" s="1913">
        <f t="shared" si="70"/>
        <v>0</v>
      </c>
      <c r="E101" s="1978"/>
      <c r="F101" s="1978"/>
      <c r="G101" s="1978"/>
      <c r="H101" s="1978"/>
      <c r="I101" s="1978"/>
      <c r="J101" s="1978"/>
      <c r="K101" s="1978"/>
      <c r="L101" s="1978"/>
      <c r="M101" s="1465">
        <f t="shared" si="72"/>
        <v>0</v>
      </c>
      <c r="N101" s="1465">
        <f t="shared" si="72"/>
        <v>0</v>
      </c>
      <c r="O101" s="3424"/>
      <c r="P101" s="1532"/>
      <c r="Q101" s="1532"/>
    </row>
    <row r="102" spans="1:20" s="350" customFormat="1">
      <c r="A102" s="3433"/>
      <c r="B102" s="1979" t="s">
        <v>32</v>
      </c>
      <c r="C102" s="3436"/>
      <c r="D102" s="1913">
        <f t="shared" si="70"/>
        <v>1114701</v>
      </c>
      <c r="E102" s="1972">
        <f t="shared" ref="E102:L102" si="73">SUM(E103:E104)</f>
        <v>356003</v>
      </c>
      <c r="F102" s="1972">
        <f t="shared" si="73"/>
        <v>308118</v>
      </c>
      <c r="G102" s="1972">
        <f t="shared" si="73"/>
        <v>92824</v>
      </c>
      <c r="H102" s="1972">
        <f t="shared" si="73"/>
        <v>88236</v>
      </c>
      <c r="I102" s="1972">
        <f t="shared" si="73"/>
        <v>77465</v>
      </c>
      <c r="J102" s="1972">
        <f t="shared" si="73"/>
        <v>64019</v>
      </c>
      <c r="K102" s="1972">
        <f t="shared" si="73"/>
        <v>64018</v>
      </c>
      <c r="L102" s="1972">
        <f t="shared" si="73"/>
        <v>64018</v>
      </c>
      <c r="M102" s="1980">
        <f>M103+M104</f>
        <v>0</v>
      </c>
      <c r="N102" s="1980">
        <f>N103+N104</f>
        <v>0</v>
      </c>
      <c r="O102" s="3424"/>
      <c r="P102" s="1532">
        <v>356003</v>
      </c>
      <c r="Q102" s="1532"/>
    </row>
    <row r="103" spans="1:20" s="350" customFormat="1" ht="12.75" customHeight="1">
      <c r="A103" s="3433"/>
      <c r="B103" s="1680" t="s">
        <v>246</v>
      </c>
      <c r="C103" s="3436"/>
      <c r="D103" s="1913">
        <f t="shared" si="70"/>
        <v>576047</v>
      </c>
      <c r="E103" s="1981">
        <v>51728</v>
      </c>
      <c r="F103" s="1462">
        <f>70632+15201+19134+6435-3544-34119</f>
        <v>73739</v>
      </c>
      <c r="G103" s="1463">
        <f>70167+14504+8153</f>
        <v>92824</v>
      </c>
      <c r="H103" s="1463">
        <f>64019+3544+20673</f>
        <v>88236</v>
      </c>
      <c r="I103" s="1463">
        <f>64019+13446</f>
        <v>77465</v>
      </c>
      <c r="J103" s="1463">
        <v>64019</v>
      </c>
      <c r="K103" s="1463">
        <v>64018</v>
      </c>
      <c r="L103" s="1463">
        <v>64018</v>
      </c>
      <c r="M103" s="1982">
        <v>0</v>
      </c>
      <c r="N103" s="1982">
        <v>0</v>
      </c>
      <c r="O103" s="3424"/>
      <c r="P103" s="1532"/>
      <c r="Q103" s="1532"/>
    </row>
    <row r="104" spans="1:20" s="350" customFormat="1" ht="12.75" customHeight="1">
      <c r="A104" s="3433"/>
      <c r="B104" s="1680" t="s">
        <v>247</v>
      </c>
      <c r="C104" s="3436"/>
      <c r="D104" s="1913">
        <f t="shared" si="70"/>
        <v>538654</v>
      </c>
      <c r="E104" s="1981">
        <v>304275</v>
      </c>
      <c r="F104" s="1462">
        <f>390656-525+1+195845-377239+29967-4313-13</f>
        <v>234379</v>
      </c>
      <c r="G104" s="1463">
        <f>441506+300-2-441804</f>
        <v>0</v>
      </c>
      <c r="H104" s="1463">
        <f>406479-406479</f>
        <v>0</v>
      </c>
      <c r="I104" s="1463">
        <f>406478-406478</f>
        <v>0</v>
      </c>
      <c r="J104" s="1463">
        <f>406478-406478</f>
        <v>0</v>
      </c>
      <c r="K104" s="1463">
        <f>406479-406479</f>
        <v>0</v>
      </c>
      <c r="L104" s="1463">
        <f>406479-406479</f>
        <v>0</v>
      </c>
      <c r="M104" s="1982">
        <v>0</v>
      </c>
      <c r="N104" s="1982">
        <v>0</v>
      </c>
      <c r="O104" s="3424"/>
      <c r="P104" s="1532"/>
      <c r="Q104" s="1532"/>
    </row>
    <row r="105" spans="1:20" s="350" customFormat="1" ht="12.75" customHeight="1">
      <c r="A105" s="3433"/>
      <c r="B105" s="739" t="s">
        <v>18</v>
      </c>
      <c r="C105" s="3436"/>
      <c r="D105" s="1957">
        <f>+D106</f>
        <v>183334401</v>
      </c>
      <c r="E105" s="1957">
        <f>+E106</f>
        <v>19886757</v>
      </c>
      <c r="F105" s="1957">
        <f>+F106</f>
        <v>24271576</v>
      </c>
      <c r="G105" s="1983">
        <f t="shared" ref="G105:N105" si="74">+G106</f>
        <v>26461975</v>
      </c>
      <c r="H105" s="1983">
        <f t="shared" si="74"/>
        <v>23154112</v>
      </c>
      <c r="I105" s="1983">
        <f t="shared" si="74"/>
        <v>22672465</v>
      </c>
      <c r="J105" s="1983">
        <f t="shared" si="74"/>
        <v>22152678</v>
      </c>
      <c r="K105" s="1983">
        <f t="shared" si="74"/>
        <v>22493359</v>
      </c>
      <c r="L105" s="1983">
        <f t="shared" si="74"/>
        <v>22241479</v>
      </c>
      <c r="M105" s="1974">
        <f t="shared" si="74"/>
        <v>163447644</v>
      </c>
      <c r="N105" s="1974">
        <f t="shared" si="74"/>
        <v>139176068</v>
      </c>
      <c r="O105" s="3424"/>
      <c r="P105" s="1535">
        <f>+P106</f>
        <v>21473092</v>
      </c>
      <c r="Q105" s="1535"/>
    </row>
    <row r="106" spans="1:20" s="2051" customFormat="1" ht="13.5" thickBot="1">
      <c r="A106" s="3433"/>
      <c r="B106" s="1580" t="s">
        <v>21</v>
      </c>
      <c r="C106" s="3437"/>
      <c r="D106" s="1984">
        <f>E106+F106+G106+H106+I106+J106+K106+L106</f>
        <v>183334401</v>
      </c>
      <c r="E106" s="1972">
        <f>+E108+E109+E110+E111+E112+E113+E114</f>
        <v>19886757</v>
      </c>
      <c r="F106" s="1972">
        <f t="shared" ref="F106:L106" si="75">+F108+F109+F110+F111+F112+F113+F114</f>
        <v>24271576</v>
      </c>
      <c r="G106" s="1972">
        <f t="shared" si="75"/>
        <v>26461975</v>
      </c>
      <c r="H106" s="1972">
        <f t="shared" si="75"/>
        <v>23154112</v>
      </c>
      <c r="I106" s="1972">
        <f t="shared" si="75"/>
        <v>22672465</v>
      </c>
      <c r="J106" s="1972">
        <f t="shared" si="75"/>
        <v>22152678</v>
      </c>
      <c r="K106" s="1972">
        <f t="shared" si="75"/>
        <v>22493359</v>
      </c>
      <c r="L106" s="1972">
        <f t="shared" si="75"/>
        <v>22241479</v>
      </c>
      <c r="M106" s="749">
        <f>SUM(F106:L106)</f>
        <v>163447644</v>
      </c>
      <c r="N106" s="749">
        <f>SUM(G106:L106)</f>
        <v>139176068</v>
      </c>
      <c r="O106" s="3424"/>
      <c r="P106" s="1532">
        <v>21473092</v>
      </c>
      <c r="Q106" s="1532"/>
      <c r="T106" s="370"/>
    </row>
    <row r="107" spans="1:20" s="2051" customFormat="1" ht="15.75" hidden="1" customHeight="1">
      <c r="A107" s="3433"/>
      <c r="B107" s="1580" t="s">
        <v>150</v>
      </c>
      <c r="C107" s="1985"/>
      <c r="D107" s="1964"/>
      <c r="E107" s="1955"/>
      <c r="F107" s="1959"/>
      <c r="G107" s="1959"/>
      <c r="H107" s="1959"/>
      <c r="I107" s="1959"/>
      <c r="J107" s="1959"/>
      <c r="K107" s="1959"/>
      <c r="L107" s="1959"/>
      <c r="M107" s="1986"/>
      <c r="N107" s="1986"/>
      <c r="O107" s="3424"/>
      <c r="P107" s="1532"/>
      <c r="Q107" s="1534"/>
      <c r="T107" s="182"/>
    </row>
    <row r="108" spans="1:20" s="2051" customFormat="1" ht="12.75" hidden="1" customHeight="1">
      <c r="A108" s="3433"/>
      <c r="B108" s="451" t="s">
        <v>151</v>
      </c>
      <c r="C108" s="375"/>
      <c r="D108" s="1913">
        <f t="shared" ref="D108:D114" si="76">E108+F108+G108+H108+I108+J108+K108+L108</f>
        <v>33727170</v>
      </c>
      <c r="E108" s="1464">
        <f>6418+10696707</f>
        <v>10703125</v>
      </c>
      <c r="F108" s="1451">
        <f>2407721+10000000-9866168-241553+53444+1058102+58380+2400014-50000+1938307+1976201-349079+32463+337289+146679+936304</f>
        <v>10838104</v>
      </c>
      <c r="G108" s="1451">
        <f>2407721-107721+610000</f>
        <v>2910000</v>
      </c>
      <c r="H108" s="1451">
        <f>1820395+620000-140395+15000</f>
        <v>2315000</v>
      </c>
      <c r="I108" s="1451">
        <f>1820395+865067-985462+326000</f>
        <v>2026000</v>
      </c>
      <c r="J108" s="1451">
        <f>1820395-120395</f>
        <v>1700000</v>
      </c>
      <c r="K108" s="1451">
        <f>1820395-120395</f>
        <v>1700000</v>
      </c>
      <c r="L108" s="1451">
        <f>1820391-285524+74</f>
        <v>1534941</v>
      </c>
      <c r="M108" s="1465">
        <f t="shared" ref="M108:N114" si="77">+F108+G108+H108+I108+J108+K108</f>
        <v>21489104</v>
      </c>
      <c r="N108" s="1465">
        <f t="shared" si="77"/>
        <v>12185941</v>
      </c>
      <c r="O108" s="3424"/>
      <c r="P108" s="1532"/>
      <c r="Q108" s="1536"/>
      <c r="T108" s="182"/>
    </row>
    <row r="109" spans="1:20" s="2051" customFormat="1" ht="12.75" hidden="1" customHeight="1">
      <c r="A109" s="3433"/>
      <c r="B109" s="1678" t="s">
        <v>152</v>
      </c>
      <c r="C109" s="1987"/>
      <c r="D109" s="1913">
        <f t="shared" si="76"/>
        <v>17375040</v>
      </c>
      <c r="E109" s="1976">
        <f>5406+2022679</f>
        <v>2028085</v>
      </c>
      <c r="F109" s="1976">
        <f>2618000+177406-295406+300000-133900</f>
        <v>2666100</v>
      </c>
      <c r="G109" s="1976">
        <f>2618000-118000+599987</f>
        <v>3099987</v>
      </c>
      <c r="H109" s="1976">
        <f>1813339+841315-154654</f>
        <v>2500000</v>
      </c>
      <c r="I109" s="1976">
        <f>1813339-113339+446000</f>
        <v>2146000</v>
      </c>
      <c r="J109" s="1976">
        <f>1813339-113339</f>
        <v>1700000</v>
      </c>
      <c r="K109" s="1976">
        <f>1813339-113339</f>
        <v>1700000</v>
      </c>
      <c r="L109" s="1976">
        <f>1813335-278467</f>
        <v>1534868</v>
      </c>
      <c r="M109" s="1465">
        <f t="shared" si="77"/>
        <v>13812087</v>
      </c>
      <c r="N109" s="1465">
        <f t="shared" si="77"/>
        <v>12680855</v>
      </c>
      <c r="O109" s="3424"/>
      <c r="P109" s="1532"/>
      <c r="Q109" s="1529"/>
      <c r="T109" s="182"/>
    </row>
    <row r="110" spans="1:20" s="371" customFormat="1" ht="12.75" hidden="1" customHeight="1">
      <c r="A110" s="3433"/>
      <c r="B110" s="1681" t="s">
        <v>153</v>
      </c>
      <c r="C110" s="1988"/>
      <c r="D110" s="1913">
        <f t="shared" si="76"/>
        <v>107691425</v>
      </c>
      <c r="E110" s="1989">
        <f>71254+3533980</f>
        <v>3605234</v>
      </c>
      <c r="F110" s="1466">
        <f>4922901+7377557+542459+106789+2990770-53444-1058102-58380-2500014-1938307-1976201-32463-337289-146679-936304</f>
        <v>6903293</v>
      </c>
      <c r="G110" s="1466">
        <f>5021358+7525108+553309+4097213</f>
        <v>17196988</v>
      </c>
      <c r="H110" s="1466">
        <f>5121786+7675610+564375+1968441</f>
        <v>15330212</v>
      </c>
      <c r="I110" s="1466">
        <f>5224221+7829122+575662+2027494</f>
        <v>15656499</v>
      </c>
      <c r="J110" s="1466">
        <f>13901587+2088319</f>
        <v>15989906</v>
      </c>
      <c r="K110" s="1466">
        <f>14179618+2150968</f>
        <v>16330586</v>
      </c>
      <c r="L110" s="1466">
        <f>14463209+2215498</f>
        <v>16678707</v>
      </c>
      <c r="M110" s="1465">
        <f t="shared" si="77"/>
        <v>87407484</v>
      </c>
      <c r="N110" s="1465">
        <f t="shared" si="77"/>
        <v>97182898</v>
      </c>
      <c r="O110" s="3424"/>
      <c r="P110" s="1532"/>
      <c r="Q110" s="1529"/>
      <c r="T110" s="372"/>
    </row>
    <row r="111" spans="1:20" s="371" customFormat="1" ht="12.75" hidden="1" customHeight="1">
      <c r="A111" s="3433"/>
      <c r="B111" s="2598" t="s">
        <v>154</v>
      </c>
      <c r="C111" s="1990"/>
      <c r="D111" s="1913">
        <f t="shared" si="76"/>
        <v>15040137</v>
      </c>
      <c r="E111" s="1978">
        <v>1532968</v>
      </c>
      <c r="F111" s="1978">
        <f>2190000-99000-10000-304021</f>
        <v>1776979</v>
      </c>
      <c r="G111" s="1978">
        <f>2190000-190000</f>
        <v>2000000</v>
      </c>
      <c r="H111" s="1978">
        <f>2048339-48339</f>
        <v>2000000</v>
      </c>
      <c r="I111" s="1978">
        <f>2048339-48339</f>
        <v>2000000</v>
      </c>
      <c r="J111" s="1978">
        <f>2048339-48339</f>
        <v>2000000</v>
      </c>
      <c r="K111" s="1978">
        <f>2048339-48339</f>
        <v>2000000</v>
      </c>
      <c r="L111" s="1978">
        <f>2048336-148336-169810</f>
        <v>1730190</v>
      </c>
      <c r="M111" s="1465">
        <f t="shared" si="77"/>
        <v>11776979</v>
      </c>
      <c r="N111" s="1465">
        <f t="shared" si="77"/>
        <v>11730190</v>
      </c>
      <c r="O111" s="3424"/>
      <c r="P111" s="1532"/>
      <c r="Q111" s="1529"/>
      <c r="T111" s="372"/>
    </row>
    <row r="112" spans="1:20" s="371" customFormat="1" ht="12.75" hidden="1" customHeight="1">
      <c r="A112" s="3433"/>
      <c r="B112" s="2598" t="s">
        <v>369</v>
      </c>
      <c r="C112" s="1991"/>
      <c r="D112" s="1913">
        <f t="shared" si="76"/>
        <v>3184000</v>
      </c>
      <c r="E112" s="1978"/>
      <c r="F112" s="1467">
        <f>330000+100000-88900</f>
        <v>341100</v>
      </c>
      <c r="G112" s="1467">
        <f>420000+309000</f>
        <v>729000</v>
      </c>
      <c r="H112" s="1467">
        <f>420000+88900</f>
        <v>508900</v>
      </c>
      <c r="I112" s="1467">
        <v>405000</v>
      </c>
      <c r="J112" s="1467">
        <v>400000</v>
      </c>
      <c r="K112" s="1467">
        <v>400000</v>
      </c>
      <c r="L112" s="1467">
        <v>400000</v>
      </c>
      <c r="M112" s="1465">
        <f t="shared" si="77"/>
        <v>2784000</v>
      </c>
      <c r="N112" s="1465">
        <f t="shared" si="77"/>
        <v>2842900</v>
      </c>
      <c r="O112" s="3424"/>
      <c r="P112" s="1532"/>
      <c r="Q112" s="1529"/>
      <c r="T112" s="372"/>
    </row>
    <row r="113" spans="1:20" s="371" customFormat="1" ht="12.75" hidden="1" customHeight="1">
      <c r="A113" s="3433"/>
      <c r="B113" s="1680" t="s">
        <v>265</v>
      </c>
      <c r="C113" s="1992"/>
      <c r="D113" s="1913">
        <f t="shared" si="76"/>
        <v>3264265</v>
      </c>
      <c r="E113" s="1981">
        <v>293127</v>
      </c>
      <c r="F113" s="1468">
        <f>400248+86140-1+108427+36462-20083-193339</f>
        <v>417854</v>
      </c>
      <c r="G113" s="1469">
        <f>397613+82194+46193</f>
        <v>526000</v>
      </c>
      <c r="H113" s="1469">
        <f>362772+20083+117145</f>
        <v>500000</v>
      </c>
      <c r="I113" s="1469">
        <f>362772+76194</f>
        <v>438966</v>
      </c>
      <c r="J113" s="1469">
        <v>362772</v>
      </c>
      <c r="K113" s="1469">
        <v>362773</v>
      </c>
      <c r="L113" s="1469">
        <v>362773</v>
      </c>
      <c r="M113" s="1465">
        <f t="shared" si="77"/>
        <v>2608365</v>
      </c>
      <c r="N113" s="1465">
        <f t="shared" si="77"/>
        <v>2553284</v>
      </c>
      <c r="O113" s="3424"/>
      <c r="P113" s="1532"/>
      <c r="Q113" s="1529"/>
      <c r="T113" s="372"/>
    </row>
    <row r="114" spans="1:20" s="371" customFormat="1" ht="12.75" hidden="1" customHeight="1">
      <c r="A114" s="3433"/>
      <c r="B114" s="1680" t="s">
        <v>266</v>
      </c>
      <c r="C114" s="1993"/>
      <c r="D114" s="1913">
        <f t="shared" si="76"/>
        <v>3052364</v>
      </c>
      <c r="E114" s="1981">
        <v>1724218</v>
      </c>
      <c r="F114" s="1468">
        <f>2213719-2975+1109794-2137692+169810-24436-74</f>
        <v>1328146</v>
      </c>
      <c r="G114" s="1469">
        <f>2501869+1700-1-2503568</f>
        <v>0</v>
      </c>
      <c r="H114" s="1469">
        <f>2303378-2303378</f>
        <v>0</v>
      </c>
      <c r="I114" s="1469">
        <f>2303378-2303378</f>
        <v>0</v>
      </c>
      <c r="J114" s="1469">
        <f>2303378-2303378</f>
        <v>0</v>
      </c>
      <c r="K114" s="1469">
        <f>2303377-2303377</f>
        <v>0</v>
      </c>
      <c r="L114" s="1469">
        <f>2303377-2303377</f>
        <v>0</v>
      </c>
      <c r="M114" s="1465">
        <f t="shared" si="77"/>
        <v>1328146</v>
      </c>
      <c r="N114" s="1465">
        <f t="shared" si="77"/>
        <v>0</v>
      </c>
      <c r="O114" s="3424"/>
      <c r="P114" s="1532"/>
      <c r="Q114" s="1529"/>
      <c r="T114" s="372"/>
    </row>
    <row r="115" spans="1:20" s="2051" customFormat="1" ht="16.5" customHeight="1">
      <c r="A115" s="3086"/>
      <c r="B115" s="82" t="s">
        <v>22</v>
      </c>
      <c r="C115" s="180"/>
      <c r="D115" s="376">
        <f>+D116</f>
        <v>183334401</v>
      </c>
      <c r="E115" s="376">
        <f t="shared" ref="E115:L115" si="78">+E116</f>
        <v>14581335</v>
      </c>
      <c r="F115" s="376">
        <f t="shared" si="78"/>
        <v>24548844</v>
      </c>
      <c r="G115" s="376">
        <f t="shared" si="78"/>
        <v>26461975</v>
      </c>
      <c r="H115" s="1994">
        <f t="shared" si="78"/>
        <v>23154112</v>
      </c>
      <c r="I115" s="1994">
        <f t="shared" si="78"/>
        <v>22672465</v>
      </c>
      <c r="J115" s="1994">
        <f t="shared" si="78"/>
        <v>22152678</v>
      </c>
      <c r="K115" s="1994">
        <f t="shared" si="78"/>
        <v>22493359</v>
      </c>
      <c r="L115" s="1994">
        <f t="shared" si="78"/>
        <v>22241479</v>
      </c>
      <c r="M115" s="3344" t="s">
        <v>61</v>
      </c>
      <c r="N115" s="3344" t="s">
        <v>61</v>
      </c>
      <c r="O115" s="3424"/>
      <c r="P115" s="3418" t="s">
        <v>555</v>
      </c>
      <c r="Q115" s="3419"/>
      <c r="R115" s="3419"/>
      <c r="S115" s="3419"/>
    </row>
    <row r="116" spans="1:20" s="2051" customFormat="1">
      <c r="A116" s="3086"/>
      <c r="B116" s="1995" t="s">
        <v>18</v>
      </c>
      <c r="C116" s="3438" t="s">
        <v>245</v>
      </c>
      <c r="D116" s="1957">
        <f t="shared" ref="D116:L116" si="79">+D117</f>
        <v>183334401</v>
      </c>
      <c r="E116" s="1957">
        <f t="shared" si="79"/>
        <v>14581335</v>
      </c>
      <c r="F116" s="1983">
        <f t="shared" si="79"/>
        <v>24548844</v>
      </c>
      <c r="G116" s="1983">
        <f t="shared" si="79"/>
        <v>26461975</v>
      </c>
      <c r="H116" s="1983">
        <f t="shared" si="79"/>
        <v>23154112</v>
      </c>
      <c r="I116" s="1983">
        <f t="shared" si="79"/>
        <v>22672465</v>
      </c>
      <c r="J116" s="1983">
        <f t="shared" si="79"/>
        <v>22152678</v>
      </c>
      <c r="K116" s="1983">
        <f t="shared" si="79"/>
        <v>22493359</v>
      </c>
      <c r="L116" s="1983">
        <f t="shared" si="79"/>
        <v>22241479</v>
      </c>
      <c r="M116" s="3345"/>
      <c r="N116" s="3345"/>
      <c r="O116" s="3424"/>
      <c r="P116" s="3418"/>
      <c r="Q116" s="3419"/>
      <c r="R116" s="3419"/>
      <c r="S116" s="3419"/>
    </row>
    <row r="117" spans="1:20" s="2051" customFormat="1" ht="13.5" thickBot="1">
      <c r="A117" s="3087"/>
      <c r="B117" s="365" t="s">
        <v>450</v>
      </c>
      <c r="C117" s="3435"/>
      <c r="D117" s="1009">
        <f>E117+F117+G117+H117+I117+J117+K117+L117+2029435+2998719</f>
        <v>183334401</v>
      </c>
      <c r="E117" s="1966">
        <v>14581335</v>
      </c>
      <c r="F117" s="710">
        <f>51433208-8318334-17866393+1853416+1574979-50000-10000-74-4067958</f>
        <v>24548844</v>
      </c>
      <c r="G117" s="710">
        <f>30885930-8318334+1316270-584995-2464989+5628093</f>
        <v>26461975</v>
      </c>
      <c r="H117" s="710">
        <f>29939078-8229084+354097+1107218+5454925-5693167+221045</f>
        <v>23154112</v>
      </c>
      <c r="I117" s="710">
        <f>30223312-8246084-386089+82192+1168964-1018024+848194</f>
        <v>22672465</v>
      </c>
      <c r="J117" s="710">
        <f>30407494-8157684-97132</f>
        <v>22152678</v>
      </c>
      <c r="K117" s="710">
        <f>30073524-7545683-34482</f>
        <v>22493359</v>
      </c>
      <c r="L117" s="710">
        <f>30175721-7364300-400206-169810+74</f>
        <v>22241479</v>
      </c>
      <c r="M117" s="3346"/>
      <c r="N117" s="3346"/>
      <c r="O117" s="3425"/>
      <c r="P117" s="3418"/>
      <c r="Q117" s="3419"/>
      <c r="R117" s="3419"/>
      <c r="S117" s="3419"/>
    </row>
    <row r="118" spans="1:20" s="2051" customFormat="1" ht="26.25" customHeight="1">
      <c r="A118" s="3432" t="s">
        <v>87</v>
      </c>
      <c r="B118" s="171" t="s">
        <v>260</v>
      </c>
      <c r="C118" s="172" t="s">
        <v>81</v>
      </c>
      <c r="D118" s="402">
        <f>D119-D121</f>
        <v>2060891</v>
      </c>
      <c r="E118" s="402">
        <f t="shared" ref="E118:N118" si="80">E119-E121</f>
        <v>357504</v>
      </c>
      <c r="F118" s="402">
        <f t="shared" si="80"/>
        <v>471058</v>
      </c>
      <c r="G118" s="402">
        <f t="shared" si="80"/>
        <v>369922</v>
      </c>
      <c r="H118" s="402">
        <f t="shared" si="80"/>
        <v>216407</v>
      </c>
      <c r="I118" s="402">
        <f t="shared" si="80"/>
        <v>161500</v>
      </c>
      <c r="J118" s="402">
        <f t="shared" si="80"/>
        <v>161500</v>
      </c>
      <c r="K118" s="402">
        <f t="shared" si="80"/>
        <v>161500</v>
      </c>
      <c r="L118" s="402">
        <f t="shared" si="80"/>
        <v>161500</v>
      </c>
      <c r="M118" s="402">
        <f t="shared" si="80"/>
        <v>1703387</v>
      </c>
      <c r="N118" s="402">
        <f t="shared" si="80"/>
        <v>1232329</v>
      </c>
      <c r="O118" s="3420" t="s">
        <v>393</v>
      </c>
      <c r="P118" s="3418"/>
      <c r="Q118" s="3419"/>
      <c r="R118" s="3419"/>
      <c r="S118" s="3419"/>
    </row>
    <row r="119" spans="1:20" s="2051" customFormat="1" ht="14.25" customHeight="1">
      <c r="A119" s="3433"/>
      <c r="B119" s="715" t="s">
        <v>10</v>
      </c>
      <c r="C119" s="1967"/>
      <c r="D119" s="1968">
        <f t="shared" ref="D119:I119" si="81">+D124+D120</f>
        <v>2097414</v>
      </c>
      <c r="E119" s="1968">
        <f t="shared" ref="E119" si="82">+E124+E120</f>
        <v>392617</v>
      </c>
      <c r="F119" s="1968">
        <f t="shared" si="81"/>
        <v>471603</v>
      </c>
      <c r="G119" s="1968">
        <f t="shared" si="81"/>
        <v>369922</v>
      </c>
      <c r="H119" s="1968">
        <f t="shared" si="81"/>
        <v>217272</v>
      </c>
      <c r="I119" s="1968">
        <f t="shared" si="81"/>
        <v>161500</v>
      </c>
      <c r="J119" s="1968">
        <f>+J124+J120</f>
        <v>161500</v>
      </c>
      <c r="K119" s="1968">
        <f>+K124+K120</f>
        <v>161500</v>
      </c>
      <c r="L119" s="1968">
        <f>+L124+L120</f>
        <v>161500</v>
      </c>
      <c r="M119" s="1969">
        <f>+M124</f>
        <v>1703387</v>
      </c>
      <c r="N119" s="1969">
        <f>+N124</f>
        <v>1232329</v>
      </c>
      <c r="O119" s="3421"/>
      <c r="P119" s="3418"/>
      <c r="Q119" s="3419"/>
      <c r="R119" s="3419"/>
      <c r="S119" s="3419"/>
    </row>
    <row r="120" spans="1:20" s="2051" customFormat="1" ht="13.5" customHeight="1">
      <c r="A120" s="3433"/>
      <c r="B120" s="681" t="s">
        <v>24</v>
      </c>
      <c r="C120" s="3438" t="s">
        <v>384</v>
      </c>
      <c r="D120" s="1970">
        <f>+D121</f>
        <v>36523</v>
      </c>
      <c r="E120" s="1970">
        <f t="shared" ref="E120:L120" si="83">+E121</f>
        <v>35113</v>
      </c>
      <c r="F120" s="1970">
        <f t="shared" si="83"/>
        <v>545</v>
      </c>
      <c r="G120" s="1970">
        <f t="shared" si="83"/>
        <v>0</v>
      </c>
      <c r="H120" s="1970">
        <f t="shared" si="83"/>
        <v>865</v>
      </c>
      <c r="I120" s="1970">
        <f t="shared" si="83"/>
        <v>0</v>
      </c>
      <c r="J120" s="1970">
        <f t="shared" si="83"/>
        <v>0</v>
      </c>
      <c r="K120" s="1970">
        <f t="shared" si="83"/>
        <v>0</v>
      </c>
      <c r="L120" s="1970">
        <f t="shared" si="83"/>
        <v>0</v>
      </c>
      <c r="M120" s="2124">
        <f>+M121</f>
        <v>0</v>
      </c>
      <c r="N120" s="2124">
        <f>+N121</f>
        <v>0</v>
      </c>
      <c r="O120" s="3421"/>
      <c r="P120" s="3418"/>
      <c r="Q120" s="3419"/>
      <c r="R120" s="3419"/>
      <c r="S120" s="3419"/>
    </row>
    <row r="121" spans="1:20" s="2051" customFormat="1" ht="13.5" customHeight="1">
      <c r="A121" s="3433"/>
      <c r="B121" s="3709" t="s">
        <v>32</v>
      </c>
      <c r="C121" s="3436"/>
      <c r="D121" s="1972">
        <f>E121+F121+G121+H121+I121+J121+K121+L121</f>
        <v>36523</v>
      </c>
      <c r="E121" s="1972">
        <f t="shared" ref="E121:L121" si="84">SUM(E122:E123)</f>
        <v>35113</v>
      </c>
      <c r="F121" s="1972">
        <f t="shared" si="84"/>
        <v>545</v>
      </c>
      <c r="G121" s="1972">
        <f t="shared" si="84"/>
        <v>0</v>
      </c>
      <c r="H121" s="1972">
        <f t="shared" si="84"/>
        <v>865</v>
      </c>
      <c r="I121" s="1972">
        <f t="shared" si="84"/>
        <v>0</v>
      </c>
      <c r="J121" s="1972">
        <f t="shared" si="84"/>
        <v>0</v>
      </c>
      <c r="K121" s="1972">
        <f t="shared" si="84"/>
        <v>0</v>
      </c>
      <c r="L121" s="1972">
        <f t="shared" si="84"/>
        <v>0</v>
      </c>
      <c r="M121" s="2125">
        <v>0</v>
      </c>
      <c r="N121" s="2125">
        <v>0</v>
      </c>
      <c r="O121" s="3421"/>
      <c r="P121" s="3418"/>
      <c r="Q121" s="3419"/>
      <c r="R121" s="3419"/>
      <c r="S121" s="3419"/>
    </row>
    <row r="122" spans="1:20" s="2051" customFormat="1" ht="13.5" hidden="1" customHeight="1">
      <c r="A122" s="3433"/>
      <c r="B122" s="1680" t="s">
        <v>246</v>
      </c>
      <c r="C122" s="3436"/>
      <c r="D122" s="1981">
        <f>E122+F122+G122+H122+I122+J122+K122+L122</f>
        <v>8046</v>
      </c>
      <c r="E122" s="1981">
        <v>6636</v>
      </c>
      <c r="F122" s="1462">
        <f>1410-865</f>
        <v>545</v>
      </c>
      <c r="G122" s="1463">
        <f>865-865</f>
        <v>0</v>
      </c>
      <c r="H122" s="1463">
        <f>865</f>
        <v>865</v>
      </c>
      <c r="I122" s="1463"/>
      <c r="J122" s="1463"/>
      <c r="K122" s="1463"/>
      <c r="L122" s="1463"/>
      <c r="M122" s="1982">
        <v>0</v>
      </c>
      <c r="N122" s="1982">
        <v>0</v>
      </c>
      <c r="O122" s="3421"/>
      <c r="P122" s="3418"/>
      <c r="Q122" s="3419"/>
      <c r="R122" s="3419"/>
      <c r="S122" s="3419"/>
    </row>
    <row r="123" spans="1:20" s="2051" customFormat="1" ht="13.5" hidden="1" customHeight="1">
      <c r="A123" s="3433"/>
      <c r="B123" s="1680" t="s">
        <v>247</v>
      </c>
      <c r="C123" s="3436"/>
      <c r="D123" s="1981">
        <f>E123+F123+G123+H123+I123+J123+K123+L123</f>
        <v>28477</v>
      </c>
      <c r="E123" s="1981">
        <v>28477</v>
      </c>
      <c r="F123" s="1462">
        <f>975+525+5215-6715</f>
        <v>0</v>
      </c>
      <c r="G123" s="1463">
        <f>1800-300-1500</f>
        <v>0</v>
      </c>
      <c r="H123" s="1463">
        <f>975-975</f>
        <v>0</v>
      </c>
      <c r="I123" s="1463">
        <f>975-975</f>
        <v>0</v>
      </c>
      <c r="J123" s="1463">
        <f>975-975</f>
        <v>0</v>
      </c>
      <c r="K123" s="1463">
        <f>975-975</f>
        <v>0</v>
      </c>
      <c r="L123" s="1463">
        <f>975-975</f>
        <v>0</v>
      </c>
      <c r="M123" s="1982">
        <v>0</v>
      </c>
      <c r="N123" s="1982">
        <v>0</v>
      </c>
      <c r="O123" s="3421"/>
      <c r="P123" s="3418"/>
      <c r="Q123" s="3419"/>
      <c r="R123" s="3419"/>
      <c r="S123" s="3419"/>
    </row>
    <row r="124" spans="1:20" s="2051" customFormat="1" ht="13.5" customHeight="1">
      <c r="A124" s="3433"/>
      <c r="B124" s="739" t="s">
        <v>18</v>
      </c>
      <c r="C124" s="3436"/>
      <c r="D124" s="1957">
        <f>+D125</f>
        <v>2060891</v>
      </c>
      <c r="E124" s="1957">
        <f>+E125</f>
        <v>357504</v>
      </c>
      <c r="F124" s="1957">
        <f>+F125</f>
        <v>471058</v>
      </c>
      <c r="G124" s="1983">
        <f t="shared" ref="G124:N124" si="85">+G125</f>
        <v>369922</v>
      </c>
      <c r="H124" s="1983">
        <f t="shared" si="85"/>
        <v>216407</v>
      </c>
      <c r="I124" s="1983">
        <f t="shared" si="85"/>
        <v>161500</v>
      </c>
      <c r="J124" s="1983">
        <f t="shared" si="85"/>
        <v>161500</v>
      </c>
      <c r="K124" s="1983">
        <f t="shared" si="85"/>
        <v>161500</v>
      </c>
      <c r="L124" s="1983">
        <f t="shared" si="85"/>
        <v>161500</v>
      </c>
      <c r="M124" s="1974">
        <f t="shared" si="85"/>
        <v>1703387</v>
      </c>
      <c r="N124" s="1974">
        <f t="shared" si="85"/>
        <v>1232329</v>
      </c>
      <c r="O124" s="3421"/>
      <c r="P124" s="3418"/>
      <c r="Q124" s="3419"/>
      <c r="R124" s="3419"/>
      <c r="S124" s="3419"/>
    </row>
    <row r="125" spans="1:20" s="2051" customFormat="1">
      <c r="A125" s="3433"/>
      <c r="B125" s="1580" t="s">
        <v>21</v>
      </c>
      <c r="C125" s="3437"/>
      <c r="D125" s="1972">
        <f>E125+F125+G125+H125+I125+J125+K125+L125</f>
        <v>2060891</v>
      </c>
      <c r="E125" s="1972">
        <f>+E127+E128+E129+E130+E131+E132+E133</f>
        <v>357504</v>
      </c>
      <c r="F125" s="1972">
        <f t="shared" ref="F125:L125" si="86">+F127+F128+F129+F130+F131+F132+F133</f>
        <v>471058</v>
      </c>
      <c r="G125" s="1972">
        <f t="shared" si="86"/>
        <v>369922</v>
      </c>
      <c r="H125" s="1972">
        <f t="shared" si="86"/>
        <v>216407</v>
      </c>
      <c r="I125" s="1972">
        <f t="shared" si="86"/>
        <v>161500</v>
      </c>
      <c r="J125" s="1972">
        <f t="shared" si="86"/>
        <v>161500</v>
      </c>
      <c r="K125" s="1972">
        <f t="shared" si="86"/>
        <v>161500</v>
      </c>
      <c r="L125" s="1972">
        <f t="shared" si="86"/>
        <v>161500</v>
      </c>
      <c r="M125" s="1956">
        <f>SUM(F125:L125)</f>
        <v>1703387</v>
      </c>
      <c r="N125" s="1956">
        <f>SUM(G125:L125)</f>
        <v>1232329</v>
      </c>
      <c r="O125" s="3421"/>
      <c r="P125" s="3418"/>
      <c r="Q125" s="3419"/>
      <c r="R125" s="3419"/>
      <c r="S125" s="3419"/>
    </row>
    <row r="126" spans="1:20" s="2051" customFormat="1" ht="12.75" hidden="1" customHeight="1">
      <c r="A126" s="3433"/>
      <c r="B126" s="1580" t="s">
        <v>150</v>
      </c>
      <c r="C126" s="1985"/>
      <c r="D126" s="1955"/>
      <c r="E126" s="1955"/>
      <c r="F126" s="1959"/>
      <c r="G126" s="1959"/>
      <c r="H126" s="1959"/>
      <c r="I126" s="1959"/>
      <c r="J126" s="1959"/>
      <c r="K126" s="1959"/>
      <c r="L126" s="1959"/>
      <c r="M126" s="1986"/>
      <c r="N126" s="1986"/>
      <c r="O126" s="3421"/>
      <c r="P126" s="3418"/>
      <c r="Q126" s="3419"/>
      <c r="R126" s="3419"/>
      <c r="S126" s="3419"/>
    </row>
    <row r="127" spans="1:20" s="2051" customFormat="1" ht="12.75" hidden="1" customHeight="1">
      <c r="A127" s="3433"/>
      <c r="B127" s="451" t="s">
        <v>151</v>
      </c>
      <c r="C127" s="375"/>
      <c r="D127" s="1464">
        <f t="shared" ref="D127:D133" si="87">E127+F127+G127+H127+I127+J127+K127+L127</f>
        <v>1660924</v>
      </c>
      <c r="E127" s="1464">
        <v>144449</v>
      </c>
      <c r="F127" s="1451">
        <f>144500+224475+25000+50000-50000</f>
        <v>393975</v>
      </c>
      <c r="G127" s="1451">
        <f>144500+51+205449</f>
        <v>350000</v>
      </c>
      <c r="H127" s="1451">
        <f>144500+50000</f>
        <v>194500</v>
      </c>
      <c r="I127" s="1451">
        <v>144500</v>
      </c>
      <c r="J127" s="1451">
        <v>144500</v>
      </c>
      <c r="K127" s="1451">
        <v>144500</v>
      </c>
      <c r="L127" s="1451">
        <v>144500</v>
      </c>
      <c r="M127" s="1956">
        <f>SUM(F127:L127)</f>
        <v>1516475</v>
      </c>
      <c r="N127" s="1956">
        <f t="shared" ref="M127:N133" si="88">SUM(G127:L127)</f>
        <v>1122500</v>
      </c>
      <c r="O127" s="3421"/>
      <c r="P127" s="3418"/>
      <c r="Q127" s="3419"/>
      <c r="R127" s="3419"/>
      <c r="S127" s="3419"/>
    </row>
    <row r="128" spans="1:20" s="2051" customFormat="1" ht="12.75" hidden="1" customHeight="1">
      <c r="A128" s="3433"/>
      <c r="B128" s="1678" t="s">
        <v>152</v>
      </c>
      <c r="C128" s="1987"/>
      <c r="D128" s="1976">
        <f t="shared" si="87"/>
        <v>168000</v>
      </c>
      <c r="E128" s="1976">
        <v>14078</v>
      </c>
      <c r="F128" s="1976">
        <f>17000+32000</f>
        <v>49000</v>
      </c>
      <c r="G128" s="1976">
        <f>17000+2922</f>
        <v>19922</v>
      </c>
      <c r="H128" s="1976">
        <v>17000</v>
      </c>
      <c r="I128" s="1976">
        <v>17000</v>
      </c>
      <c r="J128" s="1976">
        <v>17000</v>
      </c>
      <c r="K128" s="1976">
        <v>17000</v>
      </c>
      <c r="L128" s="1976">
        <v>17000</v>
      </c>
      <c r="M128" s="1956">
        <f>SUM(F128:L128)</f>
        <v>153922</v>
      </c>
      <c r="N128" s="1956">
        <f t="shared" si="88"/>
        <v>104922</v>
      </c>
      <c r="O128" s="3421"/>
      <c r="P128" s="3418"/>
      <c r="Q128" s="3419"/>
      <c r="R128" s="3419"/>
      <c r="S128" s="3419"/>
    </row>
    <row r="129" spans="1:19" s="2051" customFormat="1" ht="12.75" hidden="1" customHeight="1">
      <c r="A129" s="3433"/>
      <c r="B129" s="1681" t="s">
        <v>153</v>
      </c>
      <c r="C129" s="1988"/>
      <c r="D129" s="1989">
        <f t="shared" si="87"/>
        <v>0</v>
      </c>
      <c r="E129" s="1989"/>
      <c r="F129" s="1466"/>
      <c r="G129" s="1466"/>
      <c r="H129" s="1466"/>
      <c r="I129" s="1466"/>
      <c r="J129" s="1466"/>
      <c r="K129" s="1466"/>
      <c r="L129" s="1466"/>
      <c r="M129" s="1956">
        <f t="shared" si="88"/>
        <v>0</v>
      </c>
      <c r="N129" s="1956">
        <f t="shared" si="88"/>
        <v>0</v>
      </c>
      <c r="O129" s="3421"/>
      <c r="P129" s="3418"/>
      <c r="Q129" s="3419"/>
      <c r="R129" s="3419"/>
      <c r="S129" s="3419"/>
    </row>
    <row r="130" spans="1:19" s="2051" customFormat="1" ht="12.75" hidden="1" customHeight="1">
      <c r="A130" s="3433"/>
      <c r="B130" s="2126" t="s">
        <v>154</v>
      </c>
      <c r="C130" s="1990"/>
      <c r="D130" s="1978">
        <f t="shared" si="87"/>
        <v>25000</v>
      </c>
      <c r="E130" s="1978">
        <v>0</v>
      </c>
      <c r="F130" s="1978">
        <f>6000+9000+10000</f>
        <v>25000</v>
      </c>
      <c r="G130" s="1978"/>
      <c r="H130" s="1978"/>
      <c r="I130" s="1978"/>
      <c r="J130" s="1978"/>
      <c r="K130" s="1978"/>
      <c r="L130" s="1978"/>
      <c r="M130" s="1956">
        <f>SUM(F130:L130)</f>
        <v>25000</v>
      </c>
      <c r="N130" s="1956">
        <f t="shared" si="88"/>
        <v>0</v>
      </c>
      <c r="O130" s="3421"/>
      <c r="P130" s="3418"/>
      <c r="Q130" s="3419"/>
      <c r="R130" s="3419"/>
      <c r="S130" s="3419"/>
    </row>
    <row r="131" spans="1:19" s="2051" customFormat="1" ht="12.75" hidden="1" customHeight="1">
      <c r="A131" s="3433"/>
      <c r="B131" s="2126" t="s">
        <v>370</v>
      </c>
      <c r="C131" s="1991"/>
      <c r="D131" s="1978">
        <f t="shared" si="87"/>
        <v>0</v>
      </c>
      <c r="E131" s="1978"/>
      <c r="F131" s="1978">
        <f>25000-25000</f>
        <v>0</v>
      </c>
      <c r="G131" s="1978"/>
      <c r="H131" s="1978"/>
      <c r="I131" s="1978"/>
      <c r="J131" s="1978"/>
      <c r="K131" s="1978"/>
      <c r="L131" s="1978"/>
      <c r="M131" s="1956">
        <f t="shared" si="88"/>
        <v>0</v>
      </c>
      <c r="N131" s="1956">
        <f t="shared" si="88"/>
        <v>0</v>
      </c>
      <c r="O131" s="3421"/>
      <c r="P131" s="3418"/>
      <c r="Q131" s="3419"/>
      <c r="R131" s="3419"/>
      <c r="S131" s="3419"/>
    </row>
    <row r="132" spans="1:19" s="2051" customFormat="1" ht="12.75" hidden="1" customHeight="1">
      <c r="A132" s="3433"/>
      <c r="B132" s="1680" t="s">
        <v>353</v>
      </c>
      <c r="C132" s="1992"/>
      <c r="D132" s="1981">
        <f t="shared" si="87"/>
        <v>45597</v>
      </c>
      <c r="E132" s="1981">
        <v>37607</v>
      </c>
      <c r="F132" s="1981">
        <f>7990-4907</f>
        <v>3083</v>
      </c>
      <c r="G132" s="1981">
        <f>4907-4907</f>
        <v>0</v>
      </c>
      <c r="H132" s="1981">
        <v>4907</v>
      </c>
      <c r="I132" s="1981"/>
      <c r="J132" s="1981"/>
      <c r="K132" s="1981"/>
      <c r="L132" s="1981"/>
      <c r="M132" s="1956">
        <f>SUM(F132:L132)</f>
        <v>7990</v>
      </c>
      <c r="N132" s="1956">
        <f t="shared" si="88"/>
        <v>4907</v>
      </c>
      <c r="O132" s="3421"/>
      <c r="P132" s="3418"/>
      <c r="Q132" s="3419"/>
      <c r="R132" s="3419"/>
      <c r="S132" s="3419"/>
    </row>
    <row r="133" spans="1:19" s="2051" customFormat="1" ht="12.75" hidden="1" customHeight="1">
      <c r="A133" s="3433"/>
      <c r="B133" s="1680" t="s">
        <v>266</v>
      </c>
      <c r="C133" s="1993"/>
      <c r="D133" s="1981">
        <f t="shared" si="87"/>
        <v>161370</v>
      </c>
      <c r="E133" s="1981">
        <v>161370</v>
      </c>
      <c r="F133" s="1981">
        <f>5525+2975+29556-38056</f>
        <v>0</v>
      </c>
      <c r="G133" s="1981">
        <f>10200-1700-8500</f>
        <v>0</v>
      </c>
      <c r="H133" s="1981">
        <f>5525-5525</f>
        <v>0</v>
      </c>
      <c r="I133" s="1981">
        <f>5525-5525</f>
        <v>0</v>
      </c>
      <c r="J133" s="1981">
        <f>5525-5525</f>
        <v>0</v>
      </c>
      <c r="K133" s="1981">
        <f>5525-5525</f>
        <v>0</v>
      </c>
      <c r="L133" s="1981">
        <f>5525-5525</f>
        <v>0</v>
      </c>
      <c r="M133" s="1956">
        <f t="shared" si="88"/>
        <v>0</v>
      </c>
      <c r="N133" s="1956">
        <f t="shared" si="88"/>
        <v>0</v>
      </c>
      <c r="O133" s="3421"/>
      <c r="P133" s="3418"/>
      <c r="Q133" s="3419"/>
      <c r="R133" s="3419"/>
      <c r="S133" s="3419"/>
    </row>
    <row r="134" spans="1:19" s="2051" customFormat="1" ht="14.25" customHeight="1">
      <c r="A134" s="3433"/>
      <c r="B134" s="82" t="s">
        <v>22</v>
      </c>
      <c r="C134" s="180"/>
      <c r="D134" s="376">
        <f>+D135</f>
        <v>2060891</v>
      </c>
      <c r="E134" s="376">
        <f t="shared" ref="E134:L134" si="89">+E135</f>
        <v>236568</v>
      </c>
      <c r="F134" s="376">
        <f t="shared" si="89"/>
        <v>580404</v>
      </c>
      <c r="G134" s="376">
        <f t="shared" si="89"/>
        <v>369922</v>
      </c>
      <c r="H134" s="376">
        <f t="shared" si="89"/>
        <v>216407</v>
      </c>
      <c r="I134" s="376">
        <f t="shared" si="89"/>
        <v>161500</v>
      </c>
      <c r="J134" s="376">
        <f t="shared" si="89"/>
        <v>161500</v>
      </c>
      <c r="K134" s="376">
        <f t="shared" si="89"/>
        <v>161500</v>
      </c>
      <c r="L134" s="376">
        <f t="shared" si="89"/>
        <v>161500</v>
      </c>
      <c r="M134" s="3344" t="s">
        <v>61</v>
      </c>
      <c r="N134" s="3344" t="s">
        <v>61</v>
      </c>
      <c r="O134" s="3421"/>
      <c r="P134" s="3418"/>
      <c r="Q134" s="3419"/>
      <c r="R134" s="3419"/>
      <c r="S134" s="3419"/>
    </row>
    <row r="135" spans="1:19" s="2051" customFormat="1" ht="15.75" customHeight="1">
      <c r="A135" s="3433"/>
      <c r="B135" s="2062" t="s">
        <v>18</v>
      </c>
      <c r="C135" s="3438" t="s">
        <v>245</v>
      </c>
      <c r="D135" s="2127">
        <f t="shared" ref="D135:L135" si="90">+D136</f>
        <v>2060891</v>
      </c>
      <c r="E135" s="2127">
        <f t="shared" si="90"/>
        <v>236568</v>
      </c>
      <c r="F135" s="2127">
        <f t="shared" si="90"/>
        <v>580404</v>
      </c>
      <c r="G135" s="2127">
        <f t="shared" si="90"/>
        <v>369922</v>
      </c>
      <c r="H135" s="2127">
        <f t="shared" si="90"/>
        <v>216407</v>
      </c>
      <c r="I135" s="2127">
        <f t="shared" si="90"/>
        <v>161500</v>
      </c>
      <c r="J135" s="2127">
        <f t="shared" si="90"/>
        <v>161500</v>
      </c>
      <c r="K135" s="2127">
        <f t="shared" si="90"/>
        <v>161500</v>
      </c>
      <c r="L135" s="2127">
        <f t="shared" si="90"/>
        <v>161500</v>
      </c>
      <c r="M135" s="3345"/>
      <c r="N135" s="3345"/>
      <c r="O135" s="3421"/>
      <c r="P135" s="3418"/>
      <c r="Q135" s="3419"/>
      <c r="R135" s="3419"/>
      <c r="S135" s="3419"/>
    </row>
    <row r="136" spans="1:19" s="2051" customFormat="1" ht="13.5" customHeight="1" thickBot="1">
      <c r="A136" s="3434"/>
      <c r="B136" s="365" t="s">
        <v>517</v>
      </c>
      <c r="C136" s="3435"/>
      <c r="D136" s="2860">
        <f>E136+F136+G136+H136+I136+J136+K136+L136+11590</f>
        <v>2060891</v>
      </c>
      <c r="E136" s="3710">
        <v>236568</v>
      </c>
      <c r="F136" s="3711">
        <f>192515-22515+300021+111973+50000+10000-61590</f>
        <v>580404</v>
      </c>
      <c r="G136" s="3711">
        <f>171700-1700-620+200542</f>
        <v>369922</v>
      </c>
      <c r="H136" s="3711">
        <f>167025-5525+4907+50000</f>
        <v>216407</v>
      </c>
      <c r="I136" s="3711">
        <f>167025-5525</f>
        <v>161500</v>
      </c>
      <c r="J136" s="3711">
        <f>167025-5525</f>
        <v>161500</v>
      </c>
      <c r="K136" s="3711">
        <f>167025-5525</f>
        <v>161500</v>
      </c>
      <c r="L136" s="3711">
        <f>167025-5525</f>
        <v>161500</v>
      </c>
      <c r="M136" s="3346"/>
      <c r="N136" s="3346"/>
      <c r="O136" s="3422"/>
      <c r="P136" s="3418"/>
      <c r="Q136" s="3419"/>
      <c r="R136" s="3419"/>
      <c r="S136" s="3419"/>
    </row>
    <row r="137" spans="1:19" s="2051" customFormat="1" ht="25.5" customHeight="1">
      <c r="A137" s="3432" t="s">
        <v>88</v>
      </c>
      <c r="B137" s="1715" t="s">
        <v>305</v>
      </c>
      <c r="C137" s="2599" t="s">
        <v>81</v>
      </c>
      <c r="D137" s="188"/>
      <c r="E137" s="403"/>
      <c r="F137" s="187"/>
      <c r="G137" s="187"/>
      <c r="H137" s="187"/>
      <c r="I137" s="187"/>
      <c r="J137" s="187"/>
      <c r="K137" s="187"/>
      <c r="L137" s="261"/>
      <c r="M137" s="2600"/>
      <c r="N137" s="2600"/>
      <c r="O137" s="3420" t="s">
        <v>324</v>
      </c>
      <c r="P137" s="331"/>
    </row>
    <row r="138" spans="1:19" s="2051" customFormat="1" ht="13.5" customHeight="1">
      <c r="A138" s="3433"/>
      <c r="B138" s="525" t="s">
        <v>10</v>
      </c>
      <c r="C138" s="2601"/>
      <c r="D138" s="2602">
        <f>+D139+D142</f>
        <v>98152110</v>
      </c>
      <c r="E138" s="2603">
        <f>+E139+E142</f>
        <v>360377</v>
      </c>
      <c r="F138" s="2603">
        <f t="shared" ref="F138:L138" si="91">+F139+F142</f>
        <v>1086751</v>
      </c>
      <c r="G138" s="2603">
        <f t="shared" si="91"/>
        <v>14006344</v>
      </c>
      <c r="H138" s="2603">
        <f t="shared" si="91"/>
        <v>49539954</v>
      </c>
      <c r="I138" s="2603">
        <f t="shared" si="91"/>
        <v>33158684</v>
      </c>
      <c r="J138" s="2603">
        <f t="shared" si="91"/>
        <v>0</v>
      </c>
      <c r="K138" s="2603">
        <f t="shared" si="91"/>
        <v>0</v>
      </c>
      <c r="L138" s="2603">
        <f t="shared" si="91"/>
        <v>0</v>
      </c>
      <c r="M138" s="2604">
        <f>+M139+M142</f>
        <v>97791733</v>
      </c>
      <c r="N138" s="2604">
        <f>+N139+N142</f>
        <v>96704982</v>
      </c>
      <c r="O138" s="3421"/>
      <c r="P138" s="331"/>
    </row>
    <row r="139" spans="1:19" s="2051" customFormat="1" ht="13.5" customHeight="1">
      <c r="A139" s="3433"/>
      <c r="B139" s="721" t="s">
        <v>24</v>
      </c>
      <c r="C139" s="3440" t="s">
        <v>272</v>
      </c>
      <c r="D139" s="2605">
        <f>+D140+D141</f>
        <v>28902110</v>
      </c>
      <c r="E139" s="2606">
        <f t="shared" ref="E139" si="92">+E140+E141</f>
        <v>0</v>
      </c>
      <c r="F139" s="2606">
        <f t="shared" ref="F139:L139" si="93">+F140+F141</f>
        <v>3321</v>
      </c>
      <c r="G139" s="2606">
        <f t="shared" si="93"/>
        <v>4494195</v>
      </c>
      <c r="H139" s="2606">
        <f t="shared" si="93"/>
        <v>12080850</v>
      </c>
      <c r="I139" s="2606">
        <f t="shared" si="93"/>
        <v>12323744</v>
      </c>
      <c r="J139" s="2606">
        <f t="shared" si="93"/>
        <v>0</v>
      </c>
      <c r="K139" s="2606">
        <f t="shared" si="93"/>
        <v>0</v>
      </c>
      <c r="L139" s="2606">
        <f t="shared" si="93"/>
        <v>0</v>
      </c>
      <c r="M139" s="2607">
        <f>+M140</f>
        <v>28902110</v>
      </c>
      <c r="N139" s="2607">
        <f>+N140</f>
        <v>28898789</v>
      </c>
      <c r="O139" s="3421"/>
      <c r="P139" s="331"/>
    </row>
    <row r="140" spans="1:19" s="2051" customFormat="1" ht="13.5" customHeight="1">
      <c r="A140" s="3433"/>
      <c r="B140" s="2608" t="s">
        <v>12</v>
      </c>
      <c r="C140" s="3440"/>
      <c r="D140" s="2609">
        <f>E140+F140+G140+H140+I140+J140+K140+L140</f>
        <v>28902110</v>
      </c>
      <c r="E140" s="1579">
        <v>0</v>
      </c>
      <c r="F140" s="1716">
        <f t="shared" ref="F140:L140" si="94">+F158+F172+F188+F199</f>
        <v>3321</v>
      </c>
      <c r="G140" s="1716">
        <f t="shared" si="94"/>
        <v>4494195</v>
      </c>
      <c r="H140" s="1716">
        <f t="shared" si="94"/>
        <v>12080850</v>
      </c>
      <c r="I140" s="1716">
        <f t="shared" si="94"/>
        <v>12323744</v>
      </c>
      <c r="J140" s="1716">
        <f t="shared" si="94"/>
        <v>0</v>
      </c>
      <c r="K140" s="1716">
        <f t="shared" si="94"/>
        <v>0</v>
      </c>
      <c r="L140" s="1716">
        <f t="shared" si="94"/>
        <v>0</v>
      </c>
      <c r="M140" s="749">
        <f>SUM(F140:L140)</f>
        <v>28902110</v>
      </c>
      <c r="N140" s="749">
        <f>SUM(G140:L140)</f>
        <v>28898789</v>
      </c>
      <c r="O140" s="3421"/>
      <c r="P140" s="331"/>
    </row>
    <row r="141" spans="1:19" s="2051" customFormat="1" ht="13.5" customHeight="1">
      <c r="A141" s="3433"/>
      <c r="B141" s="2608" t="s">
        <v>16</v>
      </c>
      <c r="C141" s="3440"/>
      <c r="D141" s="2609">
        <f>E141+F141+G141+H141+I141+J141+K141+L141</f>
        <v>0</v>
      </c>
      <c r="E141" s="2610">
        <v>0</v>
      </c>
      <c r="F141" s="1716">
        <f t="shared" ref="F141:L141" si="95">+F159+F173+F200</f>
        <v>0</v>
      </c>
      <c r="G141" s="1716">
        <f t="shared" si="95"/>
        <v>0</v>
      </c>
      <c r="H141" s="1716">
        <f t="shared" si="95"/>
        <v>0</v>
      </c>
      <c r="I141" s="1716">
        <f t="shared" si="95"/>
        <v>0</v>
      </c>
      <c r="J141" s="1716">
        <f t="shared" si="95"/>
        <v>0</v>
      </c>
      <c r="K141" s="1716">
        <f t="shared" si="95"/>
        <v>0</v>
      </c>
      <c r="L141" s="1716">
        <f t="shared" si="95"/>
        <v>0</v>
      </c>
      <c r="M141" s="749">
        <f>SUM(F141:K141)</f>
        <v>0</v>
      </c>
      <c r="N141" s="749">
        <f>SUM(G141:L141)</f>
        <v>0</v>
      </c>
      <c r="O141" s="3421"/>
      <c r="P141" s="331"/>
    </row>
    <row r="142" spans="1:19" s="2051" customFormat="1" ht="13.5" customHeight="1">
      <c r="A142" s="3433"/>
      <c r="B142" s="2611" t="s">
        <v>18</v>
      </c>
      <c r="C142" s="3440"/>
      <c r="D142" s="2612">
        <f>+D143</f>
        <v>69250000</v>
      </c>
      <c r="E142" s="2612">
        <f t="shared" ref="E142" si="96">+E143</f>
        <v>360377</v>
      </c>
      <c r="F142" s="2613">
        <f t="shared" ref="F142:L142" si="97">+F143</f>
        <v>1083430</v>
      </c>
      <c r="G142" s="2613">
        <f t="shared" si="97"/>
        <v>9512149</v>
      </c>
      <c r="H142" s="2613">
        <f t="shared" si="97"/>
        <v>37459104</v>
      </c>
      <c r="I142" s="2613">
        <f t="shared" si="97"/>
        <v>20834940</v>
      </c>
      <c r="J142" s="2613">
        <f t="shared" si="97"/>
        <v>0</v>
      </c>
      <c r="K142" s="2613">
        <f t="shared" si="97"/>
        <v>0</v>
      </c>
      <c r="L142" s="2613">
        <f t="shared" si="97"/>
        <v>0</v>
      </c>
      <c r="M142" s="2607">
        <f>+M143</f>
        <v>68889623</v>
      </c>
      <c r="N142" s="2607">
        <f>+N143</f>
        <v>67806193</v>
      </c>
      <c r="O142" s="3421"/>
      <c r="P142" s="331"/>
    </row>
    <row r="143" spans="1:19" s="2051" customFormat="1" ht="12.75" customHeight="1">
      <c r="A143" s="3433"/>
      <c r="B143" s="771" t="s">
        <v>21</v>
      </c>
      <c r="C143" s="3440"/>
      <c r="D143" s="2609">
        <f>E143+F143+G143+H143+I143+J143+K143+L143</f>
        <v>69250000</v>
      </c>
      <c r="E143" s="2614">
        <f>+E144+E145+E146</f>
        <v>360377</v>
      </c>
      <c r="F143" s="1716">
        <f>+F144+F145+F146</f>
        <v>1083430</v>
      </c>
      <c r="G143" s="1716">
        <f t="shared" ref="G143:L143" si="98">+G144+G145+G146</f>
        <v>9512149</v>
      </c>
      <c r="H143" s="1716">
        <f t="shared" si="98"/>
        <v>37459104</v>
      </c>
      <c r="I143" s="1716">
        <f t="shared" si="98"/>
        <v>20834940</v>
      </c>
      <c r="J143" s="1716">
        <f t="shared" si="98"/>
        <v>0</v>
      </c>
      <c r="K143" s="1716">
        <f t="shared" si="98"/>
        <v>0</v>
      </c>
      <c r="L143" s="1716">
        <f t="shared" si="98"/>
        <v>0</v>
      </c>
      <c r="M143" s="749">
        <f>SUM(F143:L143)</f>
        <v>68889623</v>
      </c>
      <c r="N143" s="749">
        <f t="shared" ref="M143:N146" si="99">SUM(G143:L143)</f>
        <v>67806193</v>
      </c>
      <c r="O143" s="3421"/>
      <c r="P143" s="331"/>
    </row>
    <row r="144" spans="1:19" s="2051" customFormat="1" ht="23.25" hidden="1" customHeight="1">
      <c r="A144" s="3433"/>
      <c r="B144" s="2608" t="s">
        <v>273</v>
      </c>
      <c r="C144" s="3440"/>
      <c r="D144" s="2614">
        <f>+D176</f>
        <v>18000000</v>
      </c>
      <c r="E144" s="2614">
        <f t="shared" ref="E144:L144" si="100">+E162+E176+E191+E203</f>
        <v>360377</v>
      </c>
      <c r="F144" s="1716">
        <f t="shared" si="100"/>
        <v>1083430</v>
      </c>
      <c r="G144" s="1716">
        <f t="shared" si="100"/>
        <v>5294849</v>
      </c>
      <c r="H144" s="1716">
        <f t="shared" si="100"/>
        <v>11261344</v>
      </c>
      <c r="I144" s="1716">
        <f t="shared" si="100"/>
        <v>0</v>
      </c>
      <c r="J144" s="1716">
        <f t="shared" si="100"/>
        <v>0</v>
      </c>
      <c r="K144" s="1716">
        <f t="shared" si="100"/>
        <v>0</v>
      </c>
      <c r="L144" s="1716">
        <f t="shared" si="100"/>
        <v>0</v>
      </c>
      <c r="M144" s="2590">
        <f t="shared" si="99"/>
        <v>17639623</v>
      </c>
      <c r="N144" s="2590">
        <f t="shared" si="99"/>
        <v>16556193</v>
      </c>
      <c r="O144" s="3421"/>
      <c r="P144" s="331"/>
    </row>
    <row r="145" spans="1:16" s="2051" customFormat="1" ht="20.25" hidden="1" customHeight="1">
      <c r="A145" s="3433"/>
      <c r="B145" s="2608" t="s">
        <v>274</v>
      </c>
      <c r="C145" s="3440"/>
      <c r="D145" s="2614">
        <f>+D177</f>
        <v>10250000</v>
      </c>
      <c r="E145" s="1716">
        <v>0</v>
      </c>
      <c r="F145" s="1716">
        <f t="shared" ref="F145:L145" si="101">+F177</f>
        <v>0</v>
      </c>
      <c r="G145" s="1716">
        <f t="shared" si="101"/>
        <v>4217300</v>
      </c>
      <c r="H145" s="1716">
        <f t="shared" si="101"/>
        <v>5985496</v>
      </c>
      <c r="I145" s="1716">
        <f t="shared" si="101"/>
        <v>47204</v>
      </c>
      <c r="J145" s="1716">
        <f t="shared" si="101"/>
        <v>0</v>
      </c>
      <c r="K145" s="1716">
        <f t="shared" si="101"/>
        <v>0</v>
      </c>
      <c r="L145" s="1716">
        <f t="shared" si="101"/>
        <v>0</v>
      </c>
      <c r="M145" s="2590">
        <f t="shared" si="99"/>
        <v>10250000</v>
      </c>
      <c r="N145" s="2590">
        <f t="shared" si="99"/>
        <v>10250000</v>
      </c>
      <c r="O145" s="3421"/>
      <c r="P145" s="331"/>
    </row>
    <row r="146" spans="1:16" s="2051" customFormat="1" ht="27" hidden="1" customHeight="1">
      <c r="A146" s="3433"/>
      <c r="B146" s="2608" t="s">
        <v>275</v>
      </c>
      <c r="C146" s="3440"/>
      <c r="D146" s="2614">
        <f>+D178</f>
        <v>28250000</v>
      </c>
      <c r="E146" s="2615">
        <v>0</v>
      </c>
      <c r="F146" s="2615">
        <f t="shared" ref="F146:L146" si="102">+F204</f>
        <v>0</v>
      </c>
      <c r="G146" s="2615">
        <f t="shared" si="102"/>
        <v>0</v>
      </c>
      <c r="H146" s="2615">
        <f t="shared" si="102"/>
        <v>20212264</v>
      </c>
      <c r="I146" s="2615">
        <f t="shared" si="102"/>
        <v>20787736</v>
      </c>
      <c r="J146" s="2615">
        <f t="shared" si="102"/>
        <v>0</v>
      </c>
      <c r="K146" s="2615">
        <f t="shared" si="102"/>
        <v>0</v>
      </c>
      <c r="L146" s="2615">
        <f t="shared" si="102"/>
        <v>0</v>
      </c>
      <c r="M146" s="2590">
        <f t="shared" si="99"/>
        <v>41000000</v>
      </c>
      <c r="N146" s="2590">
        <f t="shared" si="99"/>
        <v>41000000</v>
      </c>
      <c r="O146" s="3421"/>
      <c r="P146" s="331"/>
    </row>
    <row r="147" spans="1:16" s="2051" customFormat="1" ht="15">
      <c r="A147" s="3433"/>
      <c r="B147" s="189" t="s">
        <v>276</v>
      </c>
      <c r="C147" s="2601"/>
      <c r="D147" s="2602">
        <f t="shared" ref="D147:L147" si="103">+D148+D150</f>
        <v>69250000</v>
      </c>
      <c r="E147" s="2603">
        <f t="shared" si="103"/>
        <v>226180</v>
      </c>
      <c r="F147" s="2603">
        <f t="shared" si="103"/>
        <v>1085079</v>
      </c>
      <c r="G147" s="2603">
        <f t="shared" si="103"/>
        <v>9512149</v>
      </c>
      <c r="H147" s="2603">
        <f t="shared" si="103"/>
        <v>37591652</v>
      </c>
      <c r="I147" s="2603">
        <f t="shared" si="103"/>
        <v>20834940</v>
      </c>
      <c r="J147" s="2603">
        <f t="shared" si="103"/>
        <v>0</v>
      </c>
      <c r="K147" s="2603">
        <f t="shared" si="103"/>
        <v>0</v>
      </c>
      <c r="L147" s="2603">
        <f t="shared" si="103"/>
        <v>0</v>
      </c>
      <c r="M147" s="3431" t="s">
        <v>61</v>
      </c>
      <c r="N147" s="3431" t="s">
        <v>61</v>
      </c>
      <c r="O147" s="3421"/>
      <c r="P147" s="331"/>
    </row>
    <row r="148" spans="1:16" s="2051" customFormat="1" ht="13.5" customHeight="1">
      <c r="A148" s="3433"/>
      <c r="B148" s="721" t="s">
        <v>24</v>
      </c>
      <c r="C148" s="3439" t="s">
        <v>277</v>
      </c>
      <c r="D148" s="2605">
        <f>+D149</f>
        <v>0</v>
      </c>
      <c r="E148" s="2606">
        <f t="shared" ref="E148:L148" si="104">+E149</f>
        <v>0</v>
      </c>
      <c r="F148" s="2606">
        <f t="shared" si="104"/>
        <v>0</v>
      </c>
      <c r="G148" s="2606">
        <f t="shared" si="104"/>
        <v>0</v>
      </c>
      <c r="H148" s="2606">
        <f t="shared" si="104"/>
        <v>0</v>
      </c>
      <c r="I148" s="2606">
        <f t="shared" si="104"/>
        <v>0</v>
      </c>
      <c r="J148" s="2606">
        <f t="shared" si="104"/>
        <v>0</v>
      </c>
      <c r="K148" s="2606">
        <f t="shared" si="104"/>
        <v>0</v>
      </c>
      <c r="L148" s="2606">
        <f t="shared" si="104"/>
        <v>0</v>
      </c>
      <c r="M148" s="3342"/>
      <c r="N148" s="3342"/>
      <c r="O148" s="3421"/>
      <c r="P148" s="331"/>
    </row>
    <row r="149" spans="1:16" s="2051" customFormat="1" ht="13.5" customHeight="1">
      <c r="A149" s="3433"/>
      <c r="B149" s="2608" t="s">
        <v>16</v>
      </c>
      <c r="C149" s="3440"/>
      <c r="D149" s="2609">
        <f>E149+F149+G149+H149+I149+J149+K149+L149</f>
        <v>0</v>
      </c>
      <c r="E149" s="1579">
        <v>0</v>
      </c>
      <c r="F149" s="2616">
        <f t="shared" ref="F149:L149" si="105">+F180+F207</f>
        <v>0</v>
      </c>
      <c r="G149" s="2616">
        <f t="shared" si="105"/>
        <v>0</v>
      </c>
      <c r="H149" s="2616">
        <f t="shared" si="105"/>
        <v>0</v>
      </c>
      <c r="I149" s="2616">
        <f t="shared" si="105"/>
        <v>0</v>
      </c>
      <c r="J149" s="2616">
        <f t="shared" si="105"/>
        <v>0</v>
      </c>
      <c r="K149" s="2616">
        <f t="shared" si="105"/>
        <v>0</v>
      </c>
      <c r="L149" s="2616">
        <f t="shared" si="105"/>
        <v>0</v>
      </c>
      <c r="M149" s="3342"/>
      <c r="N149" s="3342"/>
      <c r="O149" s="3421"/>
      <c r="P149" s="331"/>
    </row>
    <row r="150" spans="1:16" s="2051" customFormat="1" ht="13.5" customHeight="1">
      <c r="A150" s="3433"/>
      <c r="B150" s="2611" t="s">
        <v>18</v>
      </c>
      <c r="C150" s="3440"/>
      <c r="D150" s="2605">
        <f>+D151</f>
        <v>69250000</v>
      </c>
      <c r="E150" s="2606">
        <f>+E151</f>
        <v>226180</v>
      </c>
      <c r="F150" s="2606">
        <f>+F151</f>
        <v>1085079</v>
      </c>
      <c r="G150" s="2606">
        <f t="shared" ref="G150:L150" si="106">+G151</f>
        <v>9512149</v>
      </c>
      <c r="H150" s="2606">
        <f t="shared" si="106"/>
        <v>37591652</v>
      </c>
      <c r="I150" s="2606">
        <f t="shared" si="106"/>
        <v>20834940</v>
      </c>
      <c r="J150" s="2606">
        <f t="shared" si="106"/>
        <v>0</v>
      </c>
      <c r="K150" s="2606">
        <f t="shared" si="106"/>
        <v>0</v>
      </c>
      <c r="L150" s="2606">
        <f t="shared" si="106"/>
        <v>0</v>
      </c>
      <c r="M150" s="3342"/>
      <c r="N150" s="3342"/>
      <c r="O150" s="3421"/>
      <c r="P150" s="331"/>
    </row>
    <row r="151" spans="1:16" s="2051" customFormat="1" ht="14.25" customHeight="1" thickBot="1">
      <c r="A151" s="3434"/>
      <c r="B151" s="81" t="s">
        <v>21</v>
      </c>
      <c r="C151" s="3441"/>
      <c r="D151" s="1008">
        <f>E151+F151+G151+H151+I151+J151+K151+L151</f>
        <v>69250000</v>
      </c>
      <c r="E151" s="1717">
        <f t="shared" ref="E151:L151" si="107">+E167+E182+E209+E194</f>
        <v>226180</v>
      </c>
      <c r="F151" s="1717">
        <f t="shared" si="107"/>
        <v>1085079</v>
      </c>
      <c r="G151" s="1717">
        <f t="shared" si="107"/>
        <v>9512149</v>
      </c>
      <c r="H151" s="1717">
        <f t="shared" si="107"/>
        <v>37591652</v>
      </c>
      <c r="I151" s="1717">
        <f t="shared" si="107"/>
        <v>20834940</v>
      </c>
      <c r="J151" s="1717">
        <f t="shared" si="107"/>
        <v>0</v>
      </c>
      <c r="K151" s="1717">
        <f t="shared" si="107"/>
        <v>0</v>
      </c>
      <c r="L151" s="1717">
        <f t="shared" si="107"/>
        <v>0</v>
      </c>
      <c r="M151" s="3343"/>
      <c r="N151" s="3343"/>
      <c r="O151" s="3422"/>
      <c r="P151" s="331"/>
    </row>
    <row r="152" spans="1:16" s="2051" customFormat="1" ht="24" hidden="1" customHeight="1">
      <c r="A152" s="2842"/>
      <c r="B152" s="1718" t="s">
        <v>273</v>
      </c>
      <c r="C152" s="1719"/>
      <c r="D152" s="1720">
        <f t="shared" ref="D152:L152" si="108">+D168+D183+D195+D210</f>
        <v>18000000</v>
      </c>
      <c r="E152" s="1720">
        <f t="shared" si="108"/>
        <v>226180</v>
      </c>
      <c r="F152" s="1720">
        <f t="shared" si="108"/>
        <v>1085079</v>
      </c>
      <c r="G152" s="1720">
        <f t="shared" si="108"/>
        <v>5294849</v>
      </c>
      <c r="H152" s="1720">
        <f t="shared" si="108"/>
        <v>11393892</v>
      </c>
      <c r="I152" s="1720">
        <f t="shared" si="108"/>
        <v>0</v>
      </c>
      <c r="J152" s="1720">
        <f t="shared" si="108"/>
        <v>0</v>
      </c>
      <c r="K152" s="1720">
        <f t="shared" si="108"/>
        <v>0</v>
      </c>
      <c r="L152" s="1720">
        <f t="shared" si="108"/>
        <v>0</v>
      </c>
      <c r="M152" s="1721"/>
      <c r="N152" s="1721"/>
      <c r="O152" s="1722"/>
      <c r="P152" s="331"/>
    </row>
    <row r="153" spans="1:16" s="2051" customFormat="1" ht="24" hidden="1" customHeight="1">
      <c r="A153" s="2842"/>
      <c r="B153" s="723" t="s">
        <v>274</v>
      </c>
      <c r="C153" s="1719"/>
      <c r="D153" s="1716">
        <f>+D184</f>
        <v>10250000</v>
      </c>
      <c r="E153" s="1716">
        <v>0</v>
      </c>
      <c r="F153" s="1716">
        <f t="shared" ref="F153:L153" si="109">+F184</f>
        <v>0</v>
      </c>
      <c r="G153" s="1716">
        <f t="shared" si="109"/>
        <v>4217300</v>
      </c>
      <c r="H153" s="1716">
        <f t="shared" si="109"/>
        <v>5985496</v>
      </c>
      <c r="I153" s="1716">
        <f t="shared" si="109"/>
        <v>47204</v>
      </c>
      <c r="J153" s="1716">
        <f t="shared" si="109"/>
        <v>0</v>
      </c>
      <c r="K153" s="1716">
        <f t="shared" si="109"/>
        <v>0</v>
      </c>
      <c r="L153" s="1716">
        <f t="shared" si="109"/>
        <v>0</v>
      </c>
      <c r="M153" s="1721"/>
      <c r="N153" s="1721"/>
      <c r="O153" s="1722"/>
      <c r="P153" s="331"/>
    </row>
    <row r="154" spans="1:16" s="2051" customFormat="1" ht="24" hidden="1" customHeight="1" thickBot="1">
      <c r="A154" s="2843"/>
      <c r="B154" s="1723" t="s">
        <v>275</v>
      </c>
      <c r="C154" s="1724"/>
      <c r="D154" s="1717">
        <f>+D211</f>
        <v>41000000</v>
      </c>
      <c r="E154" s="1717">
        <v>0</v>
      </c>
      <c r="F154" s="1717">
        <f t="shared" ref="F154:L154" si="110">+F211</f>
        <v>0</v>
      </c>
      <c r="G154" s="1717">
        <f t="shared" si="110"/>
        <v>0</v>
      </c>
      <c r="H154" s="1717">
        <f t="shared" si="110"/>
        <v>20212264</v>
      </c>
      <c r="I154" s="1717">
        <f t="shared" si="110"/>
        <v>20787736</v>
      </c>
      <c r="J154" s="1717">
        <f t="shared" si="110"/>
        <v>0</v>
      </c>
      <c r="K154" s="1717">
        <f t="shared" si="110"/>
        <v>0</v>
      </c>
      <c r="L154" s="1717">
        <f t="shared" si="110"/>
        <v>0</v>
      </c>
      <c r="M154" s="1725"/>
      <c r="N154" s="1725"/>
      <c r="O154" s="1726"/>
      <c r="P154" s="331"/>
    </row>
    <row r="155" spans="1:16" s="2051" customFormat="1" ht="18.75" hidden="1" customHeight="1">
      <c r="A155" s="3432" t="s">
        <v>457</v>
      </c>
      <c r="B155" s="1727" t="s">
        <v>278</v>
      </c>
      <c r="C155" s="1728" t="s">
        <v>109</v>
      </c>
      <c r="D155" s="1729"/>
      <c r="E155" s="1731"/>
      <c r="F155" s="1730"/>
      <c r="G155" s="1730"/>
      <c r="H155" s="1730"/>
      <c r="I155" s="1730"/>
      <c r="J155" s="1730"/>
      <c r="K155" s="1730"/>
      <c r="L155" s="1732"/>
      <c r="M155" s="1733"/>
      <c r="N155" s="1733"/>
      <c r="O155" s="1722"/>
      <c r="P155" s="331"/>
    </row>
    <row r="156" spans="1:16" s="2051" customFormat="1" ht="13.5" hidden="1" customHeight="1">
      <c r="A156" s="3433"/>
      <c r="B156" s="82" t="s">
        <v>10</v>
      </c>
      <c r="C156" s="1734"/>
      <c r="D156" s="1735">
        <f t="shared" ref="D156:D168" si="111">SUM(E156:L156)</f>
        <v>0</v>
      </c>
      <c r="E156" s="376">
        <v>0</v>
      </c>
      <c r="F156" s="376">
        <f t="shared" ref="F156:L156" si="112">+F157+F160</f>
        <v>0</v>
      </c>
      <c r="G156" s="376">
        <f t="shared" si="112"/>
        <v>0</v>
      </c>
      <c r="H156" s="376">
        <f t="shared" si="112"/>
        <v>0</v>
      </c>
      <c r="I156" s="376">
        <f t="shared" si="112"/>
        <v>0</v>
      </c>
      <c r="J156" s="376">
        <f t="shared" si="112"/>
        <v>0</v>
      </c>
      <c r="K156" s="376">
        <f t="shared" si="112"/>
        <v>0</v>
      </c>
      <c r="L156" s="376">
        <f t="shared" si="112"/>
        <v>0</v>
      </c>
      <c r="M156" s="379">
        <f t="shared" ref="M156:N162" si="113">SUM(D156:K156)</f>
        <v>0</v>
      </c>
      <c r="N156" s="379">
        <f t="shared" si="113"/>
        <v>0</v>
      </c>
      <c r="O156" s="1722"/>
      <c r="P156" s="331"/>
    </row>
    <row r="157" spans="1:16" s="2051" customFormat="1" ht="13.5" hidden="1" customHeight="1">
      <c r="A157" s="3433"/>
      <c r="B157" s="173" t="s">
        <v>24</v>
      </c>
      <c r="C157" s="3442" t="s">
        <v>285</v>
      </c>
      <c r="D157" s="1736">
        <f t="shared" si="111"/>
        <v>0</v>
      </c>
      <c r="E157" s="361">
        <v>0</v>
      </c>
      <c r="F157" s="361">
        <f t="shared" ref="F157:L157" si="114">+F158+F159</f>
        <v>0</v>
      </c>
      <c r="G157" s="361">
        <f t="shared" si="114"/>
        <v>0</v>
      </c>
      <c r="H157" s="361">
        <f t="shared" si="114"/>
        <v>0</v>
      </c>
      <c r="I157" s="361">
        <f t="shared" si="114"/>
        <v>0</v>
      </c>
      <c r="J157" s="361">
        <f t="shared" si="114"/>
        <v>0</v>
      </c>
      <c r="K157" s="361">
        <f t="shared" si="114"/>
        <v>0</v>
      </c>
      <c r="L157" s="361">
        <f t="shared" si="114"/>
        <v>0</v>
      </c>
      <c r="M157" s="379">
        <f t="shared" si="113"/>
        <v>0</v>
      </c>
      <c r="N157" s="379">
        <f t="shared" si="113"/>
        <v>0</v>
      </c>
      <c r="O157" s="1722"/>
      <c r="P157" s="331"/>
    </row>
    <row r="158" spans="1:16" s="2051" customFormat="1" ht="13.5" hidden="1" customHeight="1">
      <c r="A158" s="3433"/>
      <c r="B158" s="1737" t="s">
        <v>12</v>
      </c>
      <c r="C158" s="3465"/>
      <c r="D158" s="1738">
        <f t="shared" si="111"/>
        <v>0</v>
      </c>
      <c r="E158" s="360"/>
      <c r="F158" s="1738">
        <f>1524390-1524390</f>
        <v>0</v>
      </c>
      <c r="G158" s="1738">
        <f>1840690-1840690</f>
        <v>0</v>
      </c>
      <c r="H158" s="1738"/>
      <c r="I158" s="1738"/>
      <c r="J158" s="1739"/>
      <c r="K158" s="1739"/>
      <c r="L158" s="1739"/>
      <c r="M158" s="1740">
        <f t="shared" si="113"/>
        <v>0</v>
      </c>
      <c r="N158" s="1740">
        <f t="shared" si="113"/>
        <v>0</v>
      </c>
      <c r="O158" s="1722"/>
      <c r="P158" s="331"/>
    </row>
    <row r="159" spans="1:16" s="2051" customFormat="1" ht="13.5" hidden="1" customHeight="1">
      <c r="A159" s="3433"/>
      <c r="B159" s="1737" t="s">
        <v>62</v>
      </c>
      <c r="C159" s="3465"/>
      <c r="D159" s="1741">
        <f t="shared" si="111"/>
        <v>0</v>
      </c>
      <c r="E159" s="1742"/>
      <c r="F159" s="1741"/>
      <c r="G159" s="1741"/>
      <c r="H159" s="1741"/>
      <c r="I159" s="1741"/>
      <c r="J159" s="1743"/>
      <c r="K159" s="1743"/>
      <c r="L159" s="1743"/>
      <c r="M159" s="1744">
        <f t="shared" si="113"/>
        <v>0</v>
      </c>
      <c r="N159" s="1744">
        <f t="shared" si="113"/>
        <v>0</v>
      </c>
      <c r="O159" s="1722"/>
      <c r="P159" s="331"/>
    </row>
    <row r="160" spans="1:16" s="2051" customFormat="1" ht="13.5" hidden="1" customHeight="1">
      <c r="A160" s="3433"/>
      <c r="B160" s="83" t="s">
        <v>18</v>
      </c>
      <c r="C160" s="3465"/>
      <c r="D160" s="1736">
        <f t="shared" si="111"/>
        <v>0</v>
      </c>
      <c r="E160" s="361">
        <v>0</v>
      </c>
      <c r="F160" s="361">
        <f t="shared" ref="F160:L160" si="115">+F161</f>
        <v>0</v>
      </c>
      <c r="G160" s="361">
        <f t="shared" si="115"/>
        <v>0</v>
      </c>
      <c r="H160" s="361">
        <f t="shared" si="115"/>
        <v>0</v>
      </c>
      <c r="I160" s="361">
        <f t="shared" si="115"/>
        <v>0</v>
      </c>
      <c r="J160" s="361">
        <f t="shared" si="115"/>
        <v>0</v>
      </c>
      <c r="K160" s="361">
        <f t="shared" si="115"/>
        <v>0</v>
      </c>
      <c r="L160" s="361">
        <f t="shared" si="115"/>
        <v>0</v>
      </c>
      <c r="M160" s="1745">
        <f t="shared" si="113"/>
        <v>0</v>
      </c>
      <c r="N160" s="1745">
        <f t="shared" si="113"/>
        <v>0</v>
      </c>
      <c r="O160" s="1722"/>
      <c r="P160" s="331"/>
    </row>
    <row r="161" spans="1:16" s="2051" customFormat="1" ht="13.5" hidden="1" customHeight="1">
      <c r="A161" s="3433"/>
      <c r="B161" s="1746" t="s">
        <v>21</v>
      </c>
      <c r="C161" s="3465"/>
      <c r="D161" s="1738">
        <f t="shared" si="111"/>
        <v>0</v>
      </c>
      <c r="E161" s="360">
        <v>0</v>
      </c>
      <c r="F161" s="360">
        <f t="shared" ref="F161:L161" si="116">+F162</f>
        <v>0</v>
      </c>
      <c r="G161" s="360">
        <f t="shared" si="116"/>
        <v>0</v>
      </c>
      <c r="H161" s="360">
        <f t="shared" si="116"/>
        <v>0</v>
      </c>
      <c r="I161" s="360">
        <f t="shared" si="116"/>
        <v>0</v>
      </c>
      <c r="J161" s="360">
        <f t="shared" si="116"/>
        <v>0</v>
      </c>
      <c r="K161" s="360">
        <f t="shared" si="116"/>
        <v>0</v>
      </c>
      <c r="L161" s="360">
        <f t="shared" si="116"/>
        <v>0</v>
      </c>
      <c r="M161" s="1740">
        <f t="shared" si="113"/>
        <v>0</v>
      </c>
      <c r="N161" s="1740">
        <f t="shared" si="113"/>
        <v>0</v>
      </c>
      <c r="O161" s="1722"/>
      <c r="P161" s="331"/>
    </row>
    <row r="162" spans="1:16" s="2051" customFormat="1" ht="24.75" hidden="1" customHeight="1">
      <c r="A162" s="3433"/>
      <c r="B162" s="1747" t="s">
        <v>279</v>
      </c>
      <c r="C162" s="3443"/>
      <c r="D162" s="1741">
        <f t="shared" si="111"/>
        <v>0</v>
      </c>
      <c r="E162" s="1742"/>
      <c r="F162" s="1741">
        <f>624800-624800</f>
        <v>0</v>
      </c>
      <c r="G162" s="1741">
        <f>312400-312400</f>
        <v>0</v>
      </c>
      <c r="H162" s="1741"/>
      <c r="I162" s="1741"/>
      <c r="J162" s="1743"/>
      <c r="K162" s="1743"/>
      <c r="L162" s="1741"/>
      <c r="M162" s="1744">
        <f t="shared" si="113"/>
        <v>0</v>
      </c>
      <c r="N162" s="1744">
        <f t="shared" si="113"/>
        <v>0</v>
      </c>
      <c r="O162" s="1722"/>
      <c r="P162" s="331"/>
    </row>
    <row r="163" spans="1:16" s="2051" customFormat="1" ht="13.5" hidden="1" customHeight="1">
      <c r="A163" s="3433"/>
      <c r="B163" s="21" t="s">
        <v>276</v>
      </c>
      <c r="C163" s="176"/>
      <c r="D163" s="1748">
        <f t="shared" si="111"/>
        <v>0</v>
      </c>
      <c r="E163" s="1748">
        <v>0</v>
      </c>
      <c r="F163" s="1748">
        <f t="shared" ref="F163:L163" si="117">+F164+F166</f>
        <v>0</v>
      </c>
      <c r="G163" s="1748">
        <f t="shared" si="117"/>
        <v>0</v>
      </c>
      <c r="H163" s="1748">
        <f t="shared" si="117"/>
        <v>0</v>
      </c>
      <c r="I163" s="1748">
        <f t="shared" si="117"/>
        <v>0</v>
      </c>
      <c r="J163" s="1748">
        <f t="shared" si="117"/>
        <v>0</v>
      </c>
      <c r="K163" s="1748">
        <f t="shared" si="117"/>
        <v>0</v>
      </c>
      <c r="L163" s="1748">
        <f t="shared" si="117"/>
        <v>0</v>
      </c>
      <c r="M163" s="3344" t="s">
        <v>61</v>
      </c>
      <c r="N163" s="3344" t="s">
        <v>61</v>
      </c>
      <c r="O163" s="1722"/>
      <c r="P163" s="331"/>
    </row>
    <row r="164" spans="1:16" s="2051" customFormat="1" ht="13.5" hidden="1" customHeight="1">
      <c r="A164" s="3433"/>
      <c r="B164" s="173" t="s">
        <v>24</v>
      </c>
      <c r="C164" s="3442" t="s">
        <v>285</v>
      </c>
      <c r="D164" s="1749">
        <f t="shared" si="111"/>
        <v>0</v>
      </c>
      <c r="E164" s="1750">
        <v>0</v>
      </c>
      <c r="F164" s="1750">
        <f t="shared" ref="F164:L164" si="118">+F165</f>
        <v>0</v>
      </c>
      <c r="G164" s="1750">
        <f t="shared" si="118"/>
        <v>0</v>
      </c>
      <c r="H164" s="1750">
        <f t="shared" si="118"/>
        <v>0</v>
      </c>
      <c r="I164" s="1750">
        <f t="shared" si="118"/>
        <v>0</v>
      </c>
      <c r="J164" s="1750">
        <f t="shared" si="118"/>
        <v>0</v>
      </c>
      <c r="K164" s="1750">
        <f t="shared" si="118"/>
        <v>0</v>
      </c>
      <c r="L164" s="1750">
        <f t="shared" si="118"/>
        <v>0</v>
      </c>
      <c r="M164" s="3345"/>
      <c r="N164" s="3345"/>
      <c r="O164" s="1722"/>
      <c r="P164" s="331"/>
    </row>
    <row r="165" spans="1:16" s="2051" customFormat="1" ht="13.5" hidden="1" customHeight="1">
      <c r="A165" s="3433"/>
      <c r="B165" s="1737" t="s">
        <v>62</v>
      </c>
      <c r="C165" s="3443"/>
      <c r="D165" s="1751">
        <f t="shared" si="111"/>
        <v>0</v>
      </c>
      <c r="E165" s="418"/>
      <c r="F165" s="1752"/>
      <c r="G165" s="1752"/>
      <c r="H165" s="1752"/>
      <c r="I165" s="1752"/>
      <c r="J165" s="1752"/>
      <c r="K165" s="1752"/>
      <c r="L165" s="1752"/>
      <c r="M165" s="3345"/>
      <c r="N165" s="3345"/>
      <c r="O165" s="1722"/>
      <c r="P165" s="331"/>
    </row>
    <row r="166" spans="1:16" s="2051" customFormat="1" ht="12" hidden="1" customHeight="1">
      <c r="A166" s="3433"/>
      <c r="B166" s="83" t="s">
        <v>18</v>
      </c>
      <c r="C166" s="3462" t="s">
        <v>245</v>
      </c>
      <c r="D166" s="1753">
        <f t="shared" si="111"/>
        <v>0</v>
      </c>
      <c r="E166" s="1754">
        <v>0</v>
      </c>
      <c r="F166" s="1754">
        <f t="shared" ref="F166:L166" si="119">+F167</f>
        <v>0</v>
      </c>
      <c r="G166" s="1754">
        <f t="shared" si="119"/>
        <v>0</v>
      </c>
      <c r="H166" s="1754">
        <f t="shared" si="119"/>
        <v>0</v>
      </c>
      <c r="I166" s="1754">
        <f t="shared" si="119"/>
        <v>0</v>
      </c>
      <c r="J166" s="1754">
        <f t="shared" si="119"/>
        <v>0</v>
      </c>
      <c r="K166" s="1754">
        <f t="shared" si="119"/>
        <v>0</v>
      </c>
      <c r="L166" s="1754">
        <f t="shared" si="119"/>
        <v>0</v>
      </c>
      <c r="M166" s="3345"/>
      <c r="N166" s="3345"/>
      <c r="O166" s="1722"/>
      <c r="P166" s="331"/>
    </row>
    <row r="167" spans="1:16" s="2051" customFormat="1" ht="15" hidden="1" customHeight="1">
      <c r="A167" s="3433"/>
      <c r="B167" s="1746" t="s">
        <v>21</v>
      </c>
      <c r="C167" s="3463"/>
      <c r="D167" s="1751">
        <f t="shared" si="111"/>
        <v>0</v>
      </c>
      <c r="E167" s="418">
        <v>0</v>
      </c>
      <c r="F167" s="418">
        <f t="shared" ref="F167:L167" si="120">+F168</f>
        <v>0</v>
      </c>
      <c r="G167" s="418">
        <f t="shared" si="120"/>
        <v>0</v>
      </c>
      <c r="H167" s="418">
        <f t="shared" si="120"/>
        <v>0</v>
      </c>
      <c r="I167" s="418">
        <f t="shared" si="120"/>
        <v>0</v>
      </c>
      <c r="J167" s="418">
        <f t="shared" si="120"/>
        <v>0</v>
      </c>
      <c r="K167" s="418">
        <f t="shared" si="120"/>
        <v>0</v>
      </c>
      <c r="L167" s="418">
        <f t="shared" si="120"/>
        <v>0</v>
      </c>
      <c r="M167" s="3345"/>
      <c r="N167" s="3345"/>
      <c r="O167" s="1722"/>
      <c r="P167" s="331"/>
    </row>
    <row r="168" spans="1:16" s="2051" customFormat="1" ht="24" hidden="1" customHeight="1">
      <c r="A168" s="2846"/>
      <c r="B168" s="1755" t="s">
        <v>273</v>
      </c>
      <c r="C168" s="3464"/>
      <c r="D168" s="1756">
        <f t="shared" si="111"/>
        <v>0</v>
      </c>
      <c r="E168" s="1757"/>
      <c r="F168" s="1756">
        <f>624800-624800</f>
        <v>0</v>
      </c>
      <c r="G168" s="1756">
        <f>312400-312400</f>
        <v>0</v>
      </c>
      <c r="H168" s="1756"/>
      <c r="I168" s="1756"/>
      <c r="J168" s="1756"/>
      <c r="K168" s="1756"/>
      <c r="L168" s="1756"/>
      <c r="M168" s="3446"/>
      <c r="N168" s="3446"/>
      <c r="O168" s="1722"/>
      <c r="P168" s="331"/>
    </row>
    <row r="169" spans="1:16" s="2051" customFormat="1" ht="15.75" hidden="1" customHeight="1">
      <c r="A169" s="3448" t="s">
        <v>458</v>
      </c>
      <c r="B169" s="2617" t="s">
        <v>278</v>
      </c>
      <c r="C169" s="2618" t="s">
        <v>81</v>
      </c>
      <c r="D169" s="2619"/>
      <c r="E169" s="2620"/>
      <c r="F169" s="2621"/>
      <c r="G169" s="2621"/>
      <c r="H169" s="2621"/>
      <c r="I169" s="2621"/>
      <c r="J169" s="2621"/>
      <c r="K169" s="2621"/>
      <c r="L169" s="2622"/>
      <c r="M169" s="2623"/>
      <c r="N169" s="2623"/>
      <c r="O169" s="1722"/>
      <c r="P169" s="331"/>
    </row>
    <row r="170" spans="1:16" s="2051" customFormat="1" ht="13.5" hidden="1" customHeight="1">
      <c r="A170" s="3433"/>
      <c r="B170" s="189" t="s">
        <v>10</v>
      </c>
      <c r="C170" s="2624"/>
      <c r="D170" s="421">
        <f t="shared" ref="D170:D177" si="121">SUM(E170:L170)</f>
        <v>32593801</v>
      </c>
      <c r="E170" s="2625">
        <f t="shared" ref="E170" si="122">+E171+E174</f>
        <v>360377</v>
      </c>
      <c r="F170" s="2625">
        <f t="shared" ref="F170:L170" si="123">+F171+F174</f>
        <v>1086751</v>
      </c>
      <c r="G170" s="2625">
        <f t="shared" si="123"/>
        <v>13852629</v>
      </c>
      <c r="H170" s="2625">
        <f t="shared" si="123"/>
        <v>17246840</v>
      </c>
      <c r="I170" s="2625">
        <f t="shared" si="123"/>
        <v>47204</v>
      </c>
      <c r="J170" s="2625">
        <f t="shared" si="123"/>
        <v>0</v>
      </c>
      <c r="K170" s="2625">
        <f t="shared" si="123"/>
        <v>0</v>
      </c>
      <c r="L170" s="2625">
        <f t="shared" si="123"/>
        <v>0</v>
      </c>
      <c r="M170" s="2604">
        <f>+M171+M174</f>
        <v>32233424</v>
      </c>
      <c r="N170" s="2604">
        <f>+N171+N174</f>
        <v>31146673</v>
      </c>
      <c r="O170" s="1722"/>
      <c r="P170" s="331"/>
    </row>
    <row r="171" spans="1:16" s="2051" customFormat="1" ht="14.25" hidden="1" customHeight="1">
      <c r="A171" s="3433"/>
      <c r="B171" s="229" t="s">
        <v>24</v>
      </c>
      <c r="C171" s="3450" t="s">
        <v>285</v>
      </c>
      <c r="D171" s="2626">
        <f t="shared" si="121"/>
        <v>4343801</v>
      </c>
      <c r="E171" s="2627">
        <f t="shared" ref="E171" si="124">+E172+E173</f>
        <v>0</v>
      </c>
      <c r="F171" s="2627">
        <f t="shared" ref="F171:L171" si="125">+F172+F173</f>
        <v>3321</v>
      </c>
      <c r="G171" s="2627">
        <f t="shared" si="125"/>
        <v>4340480</v>
      </c>
      <c r="H171" s="2627">
        <f t="shared" si="125"/>
        <v>0</v>
      </c>
      <c r="I171" s="2627">
        <f t="shared" si="125"/>
        <v>0</v>
      </c>
      <c r="J171" s="2627">
        <f t="shared" si="125"/>
        <v>0</v>
      </c>
      <c r="K171" s="2627">
        <f t="shared" si="125"/>
        <v>0</v>
      </c>
      <c r="L171" s="2627">
        <f t="shared" si="125"/>
        <v>0</v>
      </c>
      <c r="M171" s="2628">
        <f>+M172+M173</f>
        <v>4343801</v>
      </c>
      <c r="N171" s="2628">
        <f>+N172+N173</f>
        <v>4340480</v>
      </c>
      <c r="O171" s="1722"/>
      <c r="P171" s="331"/>
    </row>
    <row r="172" spans="1:16" s="2051" customFormat="1" ht="15" hidden="1" customHeight="1">
      <c r="A172" s="3433"/>
      <c r="B172" s="1737" t="s">
        <v>12</v>
      </c>
      <c r="C172" s="3465"/>
      <c r="D172" s="2629">
        <f t="shared" si="121"/>
        <v>4343801</v>
      </c>
      <c r="E172" s="2630">
        <v>0</v>
      </c>
      <c r="F172" s="2629">
        <f>2771900+1650960-4222860-196679</f>
        <v>3321</v>
      </c>
      <c r="G172" s="2629">
        <f>1331570+1528290+1746993-424083+157710</f>
        <v>4340480</v>
      </c>
      <c r="H172" s="2629">
        <f>504177+3517230-4021407</f>
        <v>0</v>
      </c>
      <c r="I172" s="2629"/>
      <c r="J172" s="2629"/>
      <c r="K172" s="2629"/>
      <c r="L172" s="2629"/>
      <c r="M172" s="2631">
        <f>SUM(F172:K172)</f>
        <v>4343801</v>
      </c>
      <c r="N172" s="2631">
        <f>SUM(G172:L172)</f>
        <v>4340480</v>
      </c>
      <c r="O172" s="1722"/>
      <c r="P172" s="331"/>
    </row>
    <row r="173" spans="1:16" s="2051" customFormat="1" ht="17.25" hidden="1" customHeight="1">
      <c r="A173" s="3433"/>
      <c r="B173" s="1737" t="s">
        <v>62</v>
      </c>
      <c r="C173" s="3465"/>
      <c r="D173" s="2632">
        <f t="shared" si="121"/>
        <v>0</v>
      </c>
      <c r="E173" s="2633"/>
      <c r="F173" s="2632"/>
      <c r="G173" s="2632"/>
      <c r="H173" s="2632"/>
      <c r="I173" s="2632"/>
      <c r="J173" s="2632"/>
      <c r="K173" s="2632"/>
      <c r="L173" s="2632"/>
      <c r="M173" s="2631">
        <f>SUM(F173:K173)</f>
        <v>0</v>
      </c>
      <c r="N173" s="2631">
        <f>SUM(G173:L173)</f>
        <v>0</v>
      </c>
      <c r="O173" s="1722"/>
      <c r="P173" s="331"/>
    </row>
    <row r="174" spans="1:16" s="283" customFormat="1" ht="15.75" hidden="1" customHeight="1">
      <c r="A174" s="3433"/>
      <c r="B174" s="931" t="s">
        <v>18</v>
      </c>
      <c r="C174" s="3465"/>
      <c r="D174" s="2626">
        <f t="shared" si="121"/>
        <v>28250000</v>
      </c>
      <c r="E174" s="2626">
        <f>+E175</f>
        <v>360377</v>
      </c>
      <c r="F174" s="2626">
        <f>+F175</f>
        <v>1083430</v>
      </c>
      <c r="G174" s="2626">
        <f t="shared" ref="G174:L174" si="126">+G175</f>
        <v>9512149</v>
      </c>
      <c r="H174" s="2626">
        <f t="shared" si="126"/>
        <v>17246840</v>
      </c>
      <c r="I174" s="2626">
        <f t="shared" si="126"/>
        <v>47204</v>
      </c>
      <c r="J174" s="2626">
        <f t="shared" si="126"/>
        <v>0</v>
      </c>
      <c r="K174" s="2626">
        <f t="shared" si="126"/>
        <v>0</v>
      </c>
      <c r="L174" s="2626">
        <f t="shared" si="126"/>
        <v>0</v>
      </c>
      <c r="M174" s="2628">
        <f>+M175</f>
        <v>27889623</v>
      </c>
      <c r="N174" s="2628">
        <f>+N175</f>
        <v>26806193</v>
      </c>
      <c r="O174" s="1722"/>
      <c r="P174" s="374"/>
    </row>
    <row r="175" spans="1:16" s="2051" customFormat="1" ht="13.5" hidden="1" customHeight="1">
      <c r="A175" s="3433"/>
      <c r="B175" s="1746" t="s">
        <v>21</v>
      </c>
      <c r="C175" s="3465"/>
      <c r="D175" s="2629">
        <f t="shared" si="121"/>
        <v>28250000</v>
      </c>
      <c r="E175" s="2630">
        <f>+E176+E177</f>
        <v>360377</v>
      </c>
      <c r="F175" s="2630">
        <f>+F176+F177</f>
        <v>1083430</v>
      </c>
      <c r="G175" s="2630">
        <f t="shared" ref="G175:L175" si="127">+G176+G177</f>
        <v>9512149</v>
      </c>
      <c r="H175" s="2630">
        <f t="shared" si="127"/>
        <v>17246840</v>
      </c>
      <c r="I175" s="2630">
        <f t="shared" si="127"/>
        <v>47204</v>
      </c>
      <c r="J175" s="2630">
        <f t="shared" si="127"/>
        <v>0</v>
      </c>
      <c r="K175" s="2630">
        <f t="shared" si="127"/>
        <v>0</v>
      </c>
      <c r="L175" s="2630">
        <f t="shared" si="127"/>
        <v>0</v>
      </c>
      <c r="M175" s="2631">
        <f>+M176+M177</f>
        <v>27889623</v>
      </c>
      <c r="N175" s="2631">
        <f>+N176+N177</f>
        <v>26806193</v>
      </c>
      <c r="O175" s="1722"/>
      <c r="P175" s="331"/>
    </row>
    <row r="176" spans="1:16" s="2051" customFormat="1" ht="27" hidden="1" customHeight="1">
      <c r="A176" s="3433"/>
      <c r="B176" s="1747" t="s">
        <v>273</v>
      </c>
      <c r="C176" s="3465"/>
      <c r="D176" s="2632">
        <f t="shared" si="121"/>
        <v>18000000</v>
      </c>
      <c r="E176" s="2633">
        <v>360377</v>
      </c>
      <c r="F176" s="2632">
        <f>6627800+624800-3893137-346286-1929747</f>
        <v>1083430</v>
      </c>
      <c r="G176" s="2632">
        <f>8003000+624800+1372200+2609637-7314788</f>
        <v>5294849</v>
      </c>
      <c r="H176" s="2632">
        <f>3584737+432072+5314788+1929747</f>
        <v>11261344</v>
      </c>
      <c r="I176" s="2632">
        <v>0</v>
      </c>
      <c r="J176" s="2632">
        <v>0</v>
      </c>
      <c r="K176" s="2632">
        <v>0</v>
      </c>
      <c r="L176" s="2632">
        <v>0</v>
      </c>
      <c r="M176" s="2631">
        <f>SUM(F176:K176)</f>
        <v>17639623</v>
      </c>
      <c r="N176" s="2631">
        <f>SUM(G176:L176)</f>
        <v>16556193</v>
      </c>
      <c r="O176" s="1722"/>
      <c r="P176" s="331"/>
    </row>
    <row r="177" spans="1:16" s="2051" customFormat="1" ht="21.75" hidden="1" customHeight="1">
      <c r="A177" s="3433"/>
      <c r="B177" s="1747" t="s">
        <v>274</v>
      </c>
      <c r="C177" s="3443"/>
      <c r="D177" s="2632">
        <f t="shared" si="121"/>
        <v>10250000</v>
      </c>
      <c r="E177" s="2633">
        <v>0</v>
      </c>
      <c r="F177" s="2632">
        <f>3000000-3000000</f>
        <v>0</v>
      </c>
      <c r="G177" s="2632">
        <f>7000000+143000-583000-2342700</f>
        <v>4217300</v>
      </c>
      <c r="H177" s="2632">
        <f>2857000+833000+2295496</f>
        <v>5985496</v>
      </c>
      <c r="I177" s="2632">
        <v>47204</v>
      </c>
      <c r="J177" s="2632">
        <v>0</v>
      </c>
      <c r="K177" s="2632">
        <v>0</v>
      </c>
      <c r="L177" s="2632">
        <v>0</v>
      </c>
      <c r="M177" s="2631">
        <f>SUM(F177:K177)</f>
        <v>10250000</v>
      </c>
      <c r="N177" s="2631">
        <f>SUM(G177:L177)</f>
        <v>10250000</v>
      </c>
      <c r="O177" s="1722"/>
      <c r="P177" s="331"/>
    </row>
    <row r="178" spans="1:16" s="2051" customFormat="1" ht="17.25" hidden="1" customHeight="1">
      <c r="A178" s="3433"/>
      <c r="B178" s="189" t="s">
        <v>276</v>
      </c>
      <c r="C178" s="176"/>
      <c r="D178" s="2625">
        <f t="shared" ref="D178:L178" si="128">+D179+D181</f>
        <v>28250000</v>
      </c>
      <c r="E178" s="2625">
        <f t="shared" ref="E178" si="129">+E179+E181</f>
        <v>226180</v>
      </c>
      <c r="F178" s="2625">
        <f t="shared" si="128"/>
        <v>1085079</v>
      </c>
      <c r="G178" s="2625">
        <f t="shared" si="128"/>
        <v>9512149</v>
      </c>
      <c r="H178" s="2625">
        <f t="shared" si="128"/>
        <v>17379388</v>
      </c>
      <c r="I178" s="2625">
        <f t="shared" si="128"/>
        <v>47204</v>
      </c>
      <c r="J178" s="2625">
        <f t="shared" si="128"/>
        <v>0</v>
      </c>
      <c r="K178" s="2625">
        <f t="shared" si="128"/>
        <v>0</v>
      </c>
      <c r="L178" s="2625">
        <f t="shared" si="128"/>
        <v>0</v>
      </c>
      <c r="M178" s="3444" t="s">
        <v>61</v>
      </c>
      <c r="N178" s="3444" t="s">
        <v>61</v>
      </c>
      <c r="O178" s="1722"/>
      <c r="P178" s="331"/>
    </row>
    <row r="179" spans="1:16" s="2051" customFormat="1" ht="13.5" hidden="1" customHeight="1">
      <c r="A179" s="3433"/>
      <c r="B179" s="229" t="s">
        <v>24</v>
      </c>
      <c r="C179" s="3450" t="s">
        <v>285</v>
      </c>
      <c r="D179" s="2626">
        <f t="shared" ref="D179:D184" si="130">SUM(E179:L179)</f>
        <v>0</v>
      </c>
      <c r="E179" s="2627">
        <f t="shared" ref="E179:L179" si="131">+E180</f>
        <v>0</v>
      </c>
      <c r="F179" s="2627">
        <f t="shared" si="131"/>
        <v>0</v>
      </c>
      <c r="G179" s="2627">
        <f t="shared" si="131"/>
        <v>0</v>
      </c>
      <c r="H179" s="2627">
        <f t="shared" si="131"/>
        <v>0</v>
      </c>
      <c r="I179" s="2627">
        <f t="shared" si="131"/>
        <v>0</v>
      </c>
      <c r="J179" s="2627">
        <f t="shared" si="131"/>
        <v>0</v>
      </c>
      <c r="K179" s="2627">
        <f t="shared" si="131"/>
        <v>0</v>
      </c>
      <c r="L179" s="2627">
        <f t="shared" si="131"/>
        <v>0</v>
      </c>
      <c r="M179" s="3342"/>
      <c r="N179" s="3342"/>
      <c r="O179" s="1722"/>
      <c r="P179" s="331"/>
    </row>
    <row r="180" spans="1:16" s="2051" customFormat="1" ht="15" hidden="1" customHeight="1">
      <c r="A180" s="3433"/>
      <c r="B180" s="1737" t="s">
        <v>62</v>
      </c>
      <c r="C180" s="3443"/>
      <c r="D180" s="2632">
        <f t="shared" si="130"/>
        <v>0</v>
      </c>
      <c r="E180" s="2632"/>
      <c r="F180" s="2632"/>
      <c r="G180" s="2632"/>
      <c r="H180" s="2632"/>
      <c r="I180" s="2632"/>
      <c r="J180" s="2632"/>
      <c r="K180" s="2632"/>
      <c r="L180" s="2632"/>
      <c r="M180" s="3342"/>
      <c r="N180" s="3342"/>
      <c r="O180" s="1722"/>
      <c r="P180" s="331"/>
    </row>
    <row r="181" spans="1:16" s="2051" customFormat="1" ht="18.75" hidden="1" customHeight="1">
      <c r="A181" s="3433"/>
      <c r="B181" s="931" t="s">
        <v>18</v>
      </c>
      <c r="C181" s="3450" t="s">
        <v>291</v>
      </c>
      <c r="D181" s="2626">
        <f t="shared" si="130"/>
        <v>28250000</v>
      </c>
      <c r="E181" s="2627">
        <f t="shared" ref="E181:L181" si="132">+E182</f>
        <v>226180</v>
      </c>
      <c r="F181" s="2627">
        <f t="shared" si="132"/>
        <v>1085079</v>
      </c>
      <c r="G181" s="2627">
        <f t="shared" si="132"/>
        <v>9512149</v>
      </c>
      <c r="H181" s="2627">
        <f t="shared" si="132"/>
        <v>17379388</v>
      </c>
      <c r="I181" s="2627">
        <f t="shared" si="132"/>
        <v>47204</v>
      </c>
      <c r="J181" s="2627">
        <f t="shared" si="132"/>
        <v>0</v>
      </c>
      <c r="K181" s="2627">
        <f t="shared" si="132"/>
        <v>0</v>
      </c>
      <c r="L181" s="2627">
        <f t="shared" si="132"/>
        <v>0</v>
      </c>
      <c r="M181" s="3342"/>
      <c r="N181" s="3342"/>
      <c r="O181" s="1722"/>
      <c r="P181" s="331"/>
    </row>
    <row r="182" spans="1:16" s="2051" customFormat="1" ht="18" hidden="1" customHeight="1">
      <c r="A182" s="3449"/>
      <c r="B182" s="459" t="s">
        <v>21</v>
      </c>
      <c r="C182" s="3490"/>
      <c r="D182" s="2629">
        <f t="shared" si="130"/>
        <v>28250000</v>
      </c>
      <c r="E182" s="2629">
        <f t="shared" ref="E182:L182" si="133">+E183+E184</f>
        <v>226180</v>
      </c>
      <c r="F182" s="2629">
        <f t="shared" si="133"/>
        <v>1085079</v>
      </c>
      <c r="G182" s="2629">
        <f t="shared" si="133"/>
        <v>9512149</v>
      </c>
      <c r="H182" s="2629">
        <f t="shared" si="133"/>
        <v>17379388</v>
      </c>
      <c r="I182" s="2629">
        <f t="shared" si="133"/>
        <v>47204</v>
      </c>
      <c r="J182" s="2629">
        <f t="shared" si="133"/>
        <v>0</v>
      </c>
      <c r="K182" s="2629">
        <f t="shared" si="133"/>
        <v>0</v>
      </c>
      <c r="L182" s="2629">
        <f t="shared" si="133"/>
        <v>0</v>
      </c>
      <c r="M182" s="3342"/>
      <c r="N182" s="3342"/>
      <c r="O182" s="1722"/>
      <c r="P182" s="331"/>
    </row>
    <row r="183" spans="1:16" s="2051" customFormat="1" ht="22.5" hidden="1" customHeight="1">
      <c r="A183" s="2634"/>
      <c r="B183" s="1718" t="s">
        <v>280</v>
      </c>
      <c r="C183" s="2635" t="s">
        <v>245</v>
      </c>
      <c r="D183" s="2632">
        <f t="shared" si="130"/>
        <v>18000000</v>
      </c>
      <c r="E183" s="2633">
        <v>226180</v>
      </c>
      <c r="F183" s="2632">
        <f>6627800+624800-3893137-212089-2062295</f>
        <v>1085079</v>
      </c>
      <c r="G183" s="2632">
        <f>8003000+624800+1372200+2609637-7314788</f>
        <v>5294849</v>
      </c>
      <c r="H183" s="2632">
        <f>3584737+432072+5314788+2062295</f>
        <v>11393892</v>
      </c>
      <c r="I183" s="2632"/>
      <c r="J183" s="2632"/>
      <c r="K183" s="2632"/>
      <c r="L183" s="2632"/>
      <c r="M183" s="3342"/>
      <c r="N183" s="3342"/>
      <c r="O183" s="1722"/>
      <c r="P183" s="331"/>
    </row>
    <row r="184" spans="1:16" s="2051" customFormat="1" ht="24" hidden="1" customHeight="1">
      <c r="A184" s="2634"/>
      <c r="B184" s="1747" t="s">
        <v>281</v>
      </c>
      <c r="C184" s="2635" t="s">
        <v>221</v>
      </c>
      <c r="D184" s="2629">
        <f t="shared" si="130"/>
        <v>10250000</v>
      </c>
      <c r="E184" s="2630"/>
      <c r="F184" s="2629">
        <f>3000000-3000000</f>
        <v>0</v>
      </c>
      <c r="G184" s="2629">
        <f>7000000+143000-583000-2342700</f>
        <v>4217300</v>
      </c>
      <c r="H184" s="2629">
        <f>2857000+833000+2295496</f>
        <v>5985496</v>
      </c>
      <c r="I184" s="2629">
        <v>47204</v>
      </c>
      <c r="J184" s="2629"/>
      <c r="K184" s="2629"/>
      <c r="L184" s="2629"/>
      <c r="M184" s="3445"/>
      <c r="N184" s="3445"/>
      <c r="O184" s="1722"/>
      <c r="P184" s="331"/>
    </row>
    <row r="185" spans="1:16" s="2051" customFormat="1" ht="15" hidden="1" customHeight="1">
      <c r="A185" s="3433" t="s">
        <v>297</v>
      </c>
      <c r="B185" s="1727" t="s">
        <v>282</v>
      </c>
      <c r="C185" s="1728" t="s">
        <v>109</v>
      </c>
      <c r="D185" s="2636"/>
      <c r="E185" s="2637"/>
      <c r="F185" s="2638"/>
      <c r="G185" s="2638"/>
      <c r="H185" s="2638"/>
      <c r="I185" s="2638"/>
      <c r="J185" s="2638"/>
      <c r="K185" s="2638"/>
      <c r="L185" s="2639"/>
      <c r="M185" s="2640"/>
      <c r="N185" s="2640"/>
      <c r="O185" s="1722"/>
      <c r="P185" s="331"/>
    </row>
    <row r="186" spans="1:16" s="2051" customFormat="1" ht="13.5" hidden="1" customHeight="1">
      <c r="A186" s="3433"/>
      <c r="B186" s="82" t="s">
        <v>10</v>
      </c>
      <c r="C186" s="2641"/>
      <c r="D186" s="1735">
        <f>+D187+D189</f>
        <v>0</v>
      </c>
      <c r="E186" s="1735">
        <v>0</v>
      </c>
      <c r="F186" s="1735">
        <f t="shared" ref="F186:L186" si="134">+F187+F189</f>
        <v>0</v>
      </c>
      <c r="G186" s="1735">
        <f t="shared" si="134"/>
        <v>0</v>
      </c>
      <c r="H186" s="1735">
        <f t="shared" si="134"/>
        <v>0</v>
      </c>
      <c r="I186" s="1735">
        <f t="shared" si="134"/>
        <v>0</v>
      </c>
      <c r="J186" s="1735">
        <f t="shared" si="134"/>
        <v>0</v>
      </c>
      <c r="K186" s="1735">
        <f t="shared" si="134"/>
        <v>0</v>
      </c>
      <c r="L186" s="1735">
        <f t="shared" si="134"/>
        <v>0</v>
      </c>
      <c r="M186" s="2642">
        <f>+M187+M189</f>
        <v>0</v>
      </c>
      <c r="N186" s="2642">
        <f>+N187+N189</f>
        <v>0</v>
      </c>
      <c r="O186" s="1722"/>
      <c r="P186" s="331"/>
    </row>
    <row r="187" spans="1:16" s="2051" customFormat="1" ht="13.5" hidden="1" customHeight="1">
      <c r="A187" s="3433"/>
      <c r="B187" s="2643" t="s">
        <v>24</v>
      </c>
      <c r="C187" s="3451" t="s">
        <v>285</v>
      </c>
      <c r="D187" s="1749">
        <f>SUM(E187:L187)</f>
        <v>0</v>
      </c>
      <c r="E187" s="1750">
        <v>0</v>
      </c>
      <c r="F187" s="1750">
        <f t="shared" ref="F187:L187" si="135">+F188</f>
        <v>0</v>
      </c>
      <c r="G187" s="1750">
        <f t="shared" si="135"/>
        <v>0</v>
      </c>
      <c r="H187" s="1750">
        <f t="shared" si="135"/>
        <v>0</v>
      </c>
      <c r="I187" s="1750">
        <f t="shared" si="135"/>
        <v>0</v>
      </c>
      <c r="J187" s="1750">
        <f t="shared" si="135"/>
        <v>0</v>
      </c>
      <c r="K187" s="1750">
        <f t="shared" si="135"/>
        <v>0</v>
      </c>
      <c r="L187" s="1750">
        <f t="shared" si="135"/>
        <v>0</v>
      </c>
      <c r="M187" s="2644">
        <f t="shared" ref="M187:N191" si="136">SUM(D187:K187)</f>
        <v>0</v>
      </c>
      <c r="N187" s="2644">
        <f t="shared" si="136"/>
        <v>0</v>
      </c>
      <c r="O187" s="1722"/>
      <c r="P187" s="331"/>
    </row>
    <row r="188" spans="1:16" s="2051" customFormat="1" ht="13.5" hidden="1" customHeight="1">
      <c r="A188" s="3433"/>
      <c r="B188" s="2645" t="s">
        <v>12</v>
      </c>
      <c r="C188" s="3452"/>
      <c r="D188" s="1752">
        <f>SUM(E188:L188)</f>
        <v>0</v>
      </c>
      <c r="E188" s="2646">
        <v>0</v>
      </c>
      <c r="F188" s="1752">
        <v>0</v>
      </c>
      <c r="G188" s="1752">
        <v>0</v>
      </c>
      <c r="H188" s="1752">
        <v>0</v>
      </c>
      <c r="I188" s="1752">
        <v>0</v>
      </c>
      <c r="J188" s="1752">
        <v>0</v>
      </c>
      <c r="K188" s="1752">
        <v>0</v>
      </c>
      <c r="L188" s="1752"/>
      <c r="M188" s="2647">
        <f t="shared" si="136"/>
        <v>0</v>
      </c>
      <c r="N188" s="2647">
        <f t="shared" si="136"/>
        <v>0</v>
      </c>
      <c r="O188" s="1722"/>
      <c r="P188" s="331"/>
    </row>
    <row r="189" spans="1:16" s="2051" customFormat="1" ht="13.5" hidden="1" customHeight="1">
      <c r="A189" s="3433"/>
      <c r="B189" s="83" t="s">
        <v>18</v>
      </c>
      <c r="C189" s="3486" t="s">
        <v>149</v>
      </c>
      <c r="D189" s="1749">
        <f>SUM(E189:L189)</f>
        <v>0</v>
      </c>
      <c r="E189" s="1750">
        <v>0</v>
      </c>
      <c r="F189" s="1750">
        <f t="shared" ref="F189:L189" si="137">+F190</f>
        <v>0</v>
      </c>
      <c r="G189" s="1750">
        <f t="shared" si="137"/>
        <v>0</v>
      </c>
      <c r="H189" s="1750">
        <f t="shared" si="137"/>
        <v>0</v>
      </c>
      <c r="I189" s="1750">
        <f t="shared" si="137"/>
        <v>0</v>
      </c>
      <c r="J189" s="1750">
        <f t="shared" si="137"/>
        <v>0</v>
      </c>
      <c r="K189" s="1750">
        <f t="shared" si="137"/>
        <v>0</v>
      </c>
      <c r="L189" s="1750">
        <f t="shared" si="137"/>
        <v>0</v>
      </c>
      <c r="M189" s="2644">
        <f t="shared" si="136"/>
        <v>0</v>
      </c>
      <c r="N189" s="2644">
        <f t="shared" si="136"/>
        <v>0</v>
      </c>
      <c r="O189" s="1722"/>
      <c r="P189" s="331"/>
    </row>
    <row r="190" spans="1:16" s="2051" customFormat="1" ht="13.5" hidden="1" customHeight="1">
      <c r="A190" s="3433"/>
      <c r="B190" s="1746" t="s">
        <v>21</v>
      </c>
      <c r="C190" s="3488"/>
      <c r="D190" s="1751">
        <f>SUM(E190:L190)</f>
        <v>0</v>
      </c>
      <c r="E190" s="418">
        <v>0</v>
      </c>
      <c r="F190" s="418">
        <f t="shared" ref="F190:L190" si="138">+F191</f>
        <v>0</v>
      </c>
      <c r="G190" s="418">
        <f t="shared" si="138"/>
        <v>0</v>
      </c>
      <c r="H190" s="418">
        <f t="shared" si="138"/>
        <v>0</v>
      </c>
      <c r="I190" s="418">
        <f t="shared" si="138"/>
        <v>0</v>
      </c>
      <c r="J190" s="418">
        <f t="shared" si="138"/>
        <v>0</v>
      </c>
      <c r="K190" s="418">
        <f t="shared" si="138"/>
        <v>0</v>
      </c>
      <c r="L190" s="418">
        <f t="shared" si="138"/>
        <v>0</v>
      </c>
      <c r="M190" s="2648">
        <f t="shared" si="136"/>
        <v>0</v>
      </c>
      <c r="N190" s="2648">
        <f t="shared" si="136"/>
        <v>0</v>
      </c>
      <c r="O190" s="1722"/>
      <c r="P190" s="331"/>
    </row>
    <row r="191" spans="1:16" s="2051" customFormat="1" ht="22.5" hidden="1" customHeight="1">
      <c r="A191" s="3433"/>
      <c r="B191" s="2649" t="s">
        <v>279</v>
      </c>
      <c r="C191" s="3489"/>
      <c r="D191" s="1752">
        <f>SUM(E191:L191)</f>
        <v>0</v>
      </c>
      <c r="E191" s="2646">
        <v>0</v>
      </c>
      <c r="F191" s="1752">
        <v>0</v>
      </c>
      <c r="G191" s="1752">
        <f>312400-312400</f>
        <v>0</v>
      </c>
      <c r="H191" s="1752">
        <f>624800-624800</f>
        <v>0</v>
      </c>
      <c r="I191" s="1752">
        <f>625000-625000</f>
        <v>0</v>
      </c>
      <c r="J191" s="1752">
        <v>0</v>
      </c>
      <c r="K191" s="1752">
        <v>0</v>
      </c>
      <c r="L191" s="1752">
        <v>0</v>
      </c>
      <c r="M191" s="2647">
        <f t="shared" si="136"/>
        <v>0</v>
      </c>
      <c r="N191" s="2647">
        <f t="shared" si="136"/>
        <v>0</v>
      </c>
      <c r="O191" s="1722"/>
      <c r="P191" s="331"/>
    </row>
    <row r="192" spans="1:16" s="2051" customFormat="1" ht="13.5" hidden="1" customHeight="1">
      <c r="A192" s="3433"/>
      <c r="B192" s="82" t="s">
        <v>276</v>
      </c>
      <c r="C192" s="180"/>
      <c r="D192" s="376">
        <f>+D193</f>
        <v>0</v>
      </c>
      <c r="E192" s="376">
        <v>0</v>
      </c>
      <c r="F192" s="376">
        <f t="shared" ref="F192:L192" si="139">+F193</f>
        <v>0</v>
      </c>
      <c r="G192" s="376">
        <f t="shared" si="139"/>
        <v>0</v>
      </c>
      <c r="H192" s="376">
        <f t="shared" si="139"/>
        <v>0</v>
      </c>
      <c r="I192" s="376">
        <f t="shared" si="139"/>
        <v>0</v>
      </c>
      <c r="J192" s="376">
        <f t="shared" si="139"/>
        <v>0</v>
      </c>
      <c r="K192" s="376">
        <f t="shared" si="139"/>
        <v>0</v>
      </c>
      <c r="L192" s="376">
        <f t="shared" si="139"/>
        <v>0</v>
      </c>
      <c r="M192" s="3427" t="s">
        <v>61</v>
      </c>
      <c r="N192" s="3427" t="s">
        <v>61</v>
      </c>
      <c r="O192" s="1722"/>
      <c r="P192" s="331"/>
    </row>
    <row r="193" spans="1:16" s="2051" customFormat="1" ht="13.5" hidden="1" customHeight="1">
      <c r="A193" s="3433"/>
      <c r="B193" s="83" t="s">
        <v>18</v>
      </c>
      <c r="C193" s="3486" t="s">
        <v>245</v>
      </c>
      <c r="D193" s="1749">
        <f>SUM(E193:L193)</f>
        <v>0</v>
      </c>
      <c r="E193" s="438">
        <v>0</v>
      </c>
      <c r="F193" s="438">
        <f t="shared" ref="F193:L194" si="140">+F194</f>
        <v>0</v>
      </c>
      <c r="G193" s="438">
        <f t="shared" si="140"/>
        <v>0</v>
      </c>
      <c r="H193" s="438">
        <f t="shared" si="140"/>
        <v>0</v>
      </c>
      <c r="I193" s="438">
        <f t="shared" si="140"/>
        <v>0</v>
      </c>
      <c r="J193" s="438">
        <f t="shared" si="140"/>
        <v>0</v>
      </c>
      <c r="K193" s="438">
        <f t="shared" si="140"/>
        <v>0</v>
      </c>
      <c r="L193" s="438">
        <f t="shared" si="140"/>
        <v>0</v>
      </c>
      <c r="M193" s="3345"/>
      <c r="N193" s="3345"/>
      <c r="O193" s="1722"/>
      <c r="P193" s="331"/>
    </row>
    <row r="194" spans="1:16" s="2051" customFormat="1" ht="13.5" hidden="1" customHeight="1" thickBot="1">
      <c r="A194" s="3434"/>
      <c r="B194" s="81" t="s">
        <v>21</v>
      </c>
      <c r="C194" s="3487"/>
      <c r="D194" s="2650">
        <f>SUM(E194:L194)</f>
        <v>0</v>
      </c>
      <c r="E194" s="2651">
        <v>0</v>
      </c>
      <c r="F194" s="2651">
        <f t="shared" si="140"/>
        <v>0</v>
      </c>
      <c r="G194" s="2651">
        <f t="shared" si="140"/>
        <v>0</v>
      </c>
      <c r="H194" s="2651">
        <f t="shared" si="140"/>
        <v>0</v>
      </c>
      <c r="I194" s="2651">
        <f t="shared" si="140"/>
        <v>0</v>
      </c>
      <c r="J194" s="2651">
        <f t="shared" si="140"/>
        <v>0</v>
      </c>
      <c r="K194" s="2651">
        <f t="shared" si="140"/>
        <v>0</v>
      </c>
      <c r="L194" s="2651">
        <f t="shared" si="140"/>
        <v>0</v>
      </c>
      <c r="M194" s="3346"/>
      <c r="N194" s="3346"/>
      <c r="O194" s="1726"/>
      <c r="P194" s="331">
        <f>+D190+D201</f>
        <v>41000000</v>
      </c>
    </row>
    <row r="195" spans="1:16" s="2051" customFormat="1" ht="12" hidden="1" customHeight="1" thickBot="1">
      <c r="A195" s="2652"/>
      <c r="B195" s="2653" t="s">
        <v>273</v>
      </c>
      <c r="C195" s="2654"/>
      <c r="D195" s="2655">
        <f>SUM(E195:L195)</f>
        <v>0</v>
      </c>
      <c r="E195" s="2656"/>
      <c r="F195" s="2655">
        <v>0</v>
      </c>
      <c r="G195" s="2655">
        <f>312400-312400</f>
        <v>0</v>
      </c>
      <c r="H195" s="2655">
        <f>624800-624800</f>
        <v>0</v>
      </c>
      <c r="I195" s="2655">
        <f>625000-625000</f>
        <v>0</v>
      </c>
      <c r="J195" s="2657"/>
      <c r="K195" s="2657"/>
      <c r="L195" s="2655"/>
      <c r="M195" s="2658"/>
      <c r="N195" s="2658"/>
      <c r="O195" s="1726"/>
      <c r="P195" s="331"/>
    </row>
    <row r="196" spans="1:16" s="2051" customFormat="1" ht="16.5" hidden="1" customHeight="1">
      <c r="A196" s="3433" t="s">
        <v>296</v>
      </c>
      <c r="B196" s="1727" t="s">
        <v>282</v>
      </c>
      <c r="C196" s="2659" t="s">
        <v>81</v>
      </c>
      <c r="D196" s="1729"/>
      <c r="E196" s="1731"/>
      <c r="F196" s="1730"/>
      <c r="G196" s="1730"/>
      <c r="H196" s="1730"/>
      <c r="I196" s="1730"/>
      <c r="J196" s="1730"/>
      <c r="K196" s="1730"/>
      <c r="L196" s="1732"/>
      <c r="M196" s="2845"/>
      <c r="N196" s="2845"/>
      <c r="O196" s="1722"/>
      <c r="P196" s="331"/>
    </row>
    <row r="197" spans="1:16" s="2051" customFormat="1" ht="13.5" hidden="1" customHeight="1">
      <c r="A197" s="3433"/>
      <c r="B197" s="82" t="s">
        <v>10</v>
      </c>
      <c r="C197" s="2660"/>
      <c r="D197" s="1735">
        <f t="shared" ref="D197:N197" si="141">+D198+D201</f>
        <v>65558309</v>
      </c>
      <c r="E197" s="1735">
        <v>0</v>
      </c>
      <c r="F197" s="1735">
        <f t="shared" si="141"/>
        <v>0</v>
      </c>
      <c r="G197" s="1735">
        <f t="shared" si="141"/>
        <v>153715</v>
      </c>
      <c r="H197" s="1735">
        <f t="shared" si="141"/>
        <v>32293114</v>
      </c>
      <c r="I197" s="1735">
        <f t="shared" si="141"/>
        <v>33111480</v>
      </c>
      <c r="J197" s="1735">
        <f t="shared" si="141"/>
        <v>0</v>
      </c>
      <c r="K197" s="1735">
        <f t="shared" si="141"/>
        <v>0</v>
      </c>
      <c r="L197" s="1735">
        <f t="shared" si="141"/>
        <v>0</v>
      </c>
      <c r="M197" s="379">
        <f t="shared" ref="M197" si="142">+M198+M201</f>
        <v>65558309</v>
      </c>
      <c r="N197" s="379">
        <f t="shared" si="141"/>
        <v>65558309</v>
      </c>
      <c r="O197" s="1722"/>
      <c r="P197" s="331"/>
    </row>
    <row r="198" spans="1:16" s="2051" customFormat="1" ht="13.5" hidden="1" customHeight="1">
      <c r="A198" s="3433"/>
      <c r="B198" s="2643" t="s">
        <v>24</v>
      </c>
      <c r="C198" s="3450" t="s">
        <v>285</v>
      </c>
      <c r="D198" s="1736">
        <f>SUM(E198:L198)</f>
        <v>24558309</v>
      </c>
      <c r="E198" s="361">
        <v>0</v>
      </c>
      <c r="F198" s="361">
        <f>+F199+F200</f>
        <v>0</v>
      </c>
      <c r="G198" s="361">
        <f>+G199+G200</f>
        <v>153715</v>
      </c>
      <c r="H198" s="361">
        <f>+H199+H200</f>
        <v>12080850</v>
      </c>
      <c r="I198" s="361">
        <f t="shared" ref="I198:L198" si="143">+I199+I200</f>
        <v>12323744</v>
      </c>
      <c r="J198" s="361">
        <f t="shared" si="143"/>
        <v>0</v>
      </c>
      <c r="K198" s="361">
        <f t="shared" si="143"/>
        <v>0</v>
      </c>
      <c r="L198" s="361">
        <f t="shared" si="143"/>
        <v>0</v>
      </c>
      <c r="M198" s="2661">
        <f>SUM(F198:L198)</f>
        <v>24558309</v>
      </c>
      <c r="N198" s="2661">
        <f>SUM(E198:L198)</f>
        <v>24558309</v>
      </c>
      <c r="O198" s="1722"/>
      <c r="P198" s="331"/>
    </row>
    <row r="199" spans="1:16" s="2051" customFormat="1" ht="13.5" hidden="1" customHeight="1">
      <c r="A199" s="3433"/>
      <c r="B199" s="1737" t="s">
        <v>12</v>
      </c>
      <c r="C199" s="3465"/>
      <c r="D199" s="1738">
        <f>SUM(E199:L199)</f>
        <v>24558309</v>
      </c>
      <c r="E199" s="363"/>
      <c r="F199" s="1738">
        <v>0</v>
      </c>
      <c r="G199" s="1738">
        <f>298890-145175</f>
        <v>153715</v>
      </c>
      <c r="H199" s="1738">
        <f>4006159-2149730+11478766-1254345</f>
        <v>12080850</v>
      </c>
      <c r="I199" s="1738">
        <f>825200-119869+1136000+9043924+1438489</f>
        <v>12323744</v>
      </c>
      <c r="J199" s="1738"/>
      <c r="K199" s="1738"/>
      <c r="L199" s="1738"/>
      <c r="M199" s="2631">
        <f>SUM(F199:K199)</f>
        <v>24558309</v>
      </c>
      <c r="N199" s="2631">
        <f>SUM(G199:L199)</f>
        <v>24558309</v>
      </c>
      <c r="O199" s="1722"/>
      <c r="P199" s="331"/>
    </row>
    <row r="200" spans="1:16" s="2051" customFormat="1" ht="13.5" hidden="1" customHeight="1">
      <c r="A200" s="3433"/>
      <c r="B200" s="1737" t="s">
        <v>16</v>
      </c>
      <c r="C200" s="3465"/>
      <c r="D200" s="1738">
        <f>SUM(E200:L200)</f>
        <v>0</v>
      </c>
      <c r="E200" s="363"/>
      <c r="F200" s="1738">
        <v>0</v>
      </c>
      <c r="G200" s="1738">
        <f>277300-277300</f>
        <v>0</v>
      </c>
      <c r="H200" s="1738">
        <f>3328200-3328200</f>
        <v>0</v>
      </c>
      <c r="I200" s="1738">
        <f>1394500+277300-1671800</f>
        <v>0</v>
      </c>
      <c r="J200" s="1738"/>
      <c r="K200" s="1738"/>
      <c r="L200" s="1738"/>
      <c r="M200" s="2631">
        <f>SUM(F200:K200)</f>
        <v>0</v>
      </c>
      <c r="N200" s="2631">
        <f>SUM(G200:L200)</f>
        <v>0</v>
      </c>
      <c r="O200" s="1722"/>
      <c r="P200" s="331"/>
    </row>
    <row r="201" spans="1:16" s="2051" customFormat="1" ht="15.75" hidden="1" customHeight="1">
      <c r="A201" s="3433"/>
      <c r="B201" s="488" t="s">
        <v>18</v>
      </c>
      <c r="C201" s="3465"/>
      <c r="D201" s="1736">
        <f>SUM(E201:L201)</f>
        <v>41000000</v>
      </c>
      <c r="E201" s="1736">
        <v>0</v>
      </c>
      <c r="F201" s="1736">
        <f t="shared" ref="F201:L201" si="144">+F202</f>
        <v>0</v>
      </c>
      <c r="G201" s="1736">
        <f t="shared" si="144"/>
        <v>0</v>
      </c>
      <c r="H201" s="1736">
        <f t="shared" si="144"/>
        <v>20212264</v>
      </c>
      <c r="I201" s="1736">
        <f t="shared" si="144"/>
        <v>20787736</v>
      </c>
      <c r="J201" s="1736">
        <f t="shared" si="144"/>
        <v>0</v>
      </c>
      <c r="K201" s="1736">
        <f t="shared" si="144"/>
        <v>0</v>
      </c>
      <c r="L201" s="1736">
        <f t="shared" si="144"/>
        <v>0</v>
      </c>
      <c r="M201" s="2662">
        <f>SUM(F201:K201)</f>
        <v>41000000</v>
      </c>
      <c r="N201" s="2662">
        <f>SUM(E201:L201)</f>
        <v>41000000</v>
      </c>
      <c r="O201" s="1722"/>
      <c r="P201" s="331"/>
    </row>
    <row r="202" spans="1:16" s="2051" customFormat="1" ht="12" hidden="1" customHeight="1">
      <c r="A202" s="3433"/>
      <c r="B202" s="459" t="s">
        <v>21</v>
      </c>
      <c r="C202" s="3465"/>
      <c r="D202" s="1738">
        <f>+D203+D204</f>
        <v>41000000</v>
      </c>
      <c r="E202" s="1738">
        <v>0</v>
      </c>
      <c r="F202" s="1738">
        <f t="shared" ref="F202:L202" si="145">+F203+F204</f>
        <v>0</v>
      </c>
      <c r="G202" s="1738">
        <f t="shared" si="145"/>
        <v>0</v>
      </c>
      <c r="H202" s="1738">
        <f t="shared" si="145"/>
        <v>20212264</v>
      </c>
      <c r="I202" s="1738">
        <f t="shared" si="145"/>
        <v>20787736</v>
      </c>
      <c r="J202" s="1738">
        <f t="shared" si="145"/>
        <v>0</v>
      </c>
      <c r="K202" s="1738">
        <f t="shared" si="145"/>
        <v>0</v>
      </c>
      <c r="L202" s="1738">
        <f t="shared" si="145"/>
        <v>0</v>
      </c>
      <c r="M202" s="2631">
        <f>SUM(F202:K202)</f>
        <v>41000000</v>
      </c>
      <c r="N202" s="2631">
        <f t="shared" ref="M202:N204" si="146">SUM(G202:L202)</f>
        <v>41000000</v>
      </c>
      <c r="O202" s="1722"/>
      <c r="P202" s="331"/>
    </row>
    <row r="203" spans="1:16" s="2051" customFormat="1" ht="22.5" hidden="1" customHeight="1">
      <c r="A203" s="3433"/>
      <c r="B203" s="1718" t="s">
        <v>283</v>
      </c>
      <c r="C203" s="3465"/>
      <c r="D203" s="1741">
        <f>+E203+F203+G203+H203+I203+J203+K203+L203</f>
        <v>0</v>
      </c>
      <c r="E203" s="2663">
        <v>0</v>
      </c>
      <c r="F203" s="1741">
        <v>0</v>
      </c>
      <c r="G203" s="1741">
        <v>0</v>
      </c>
      <c r="H203" s="1741">
        <f>915000+624800-1539800</f>
        <v>0</v>
      </c>
      <c r="I203" s="1741">
        <f>511000+625000-1136000</f>
        <v>0</v>
      </c>
      <c r="J203" s="1741">
        <v>0</v>
      </c>
      <c r="K203" s="1741">
        <v>0</v>
      </c>
      <c r="L203" s="1741">
        <v>0</v>
      </c>
      <c r="M203" s="2631">
        <f t="shared" si="146"/>
        <v>0</v>
      </c>
      <c r="N203" s="2631">
        <f t="shared" si="146"/>
        <v>0</v>
      </c>
      <c r="O203" s="1722"/>
      <c r="P203" s="331"/>
    </row>
    <row r="204" spans="1:16" s="2051" customFormat="1" ht="23.25" hidden="1" customHeight="1">
      <c r="A204" s="3433"/>
      <c r="B204" s="2664" t="s">
        <v>275</v>
      </c>
      <c r="C204" s="3443"/>
      <c r="D204" s="1741">
        <f>+E204+F204+G204+H204+I204+J204+K204+L204</f>
        <v>41000000</v>
      </c>
      <c r="E204" s="2665">
        <v>0</v>
      </c>
      <c r="F204" s="2666">
        <v>0</v>
      </c>
      <c r="G204" s="2666">
        <f>2328000-2328000</f>
        <v>0</v>
      </c>
      <c r="H204" s="2666">
        <f>27936000-5731740+345740-2337736</f>
        <v>20212264</v>
      </c>
      <c r="I204" s="2666">
        <f>11600000+8059740-1209740+2337736</f>
        <v>20787736</v>
      </c>
      <c r="J204" s="2666">
        <v>0</v>
      </c>
      <c r="K204" s="2666">
        <v>0</v>
      </c>
      <c r="L204" s="2666">
        <v>0</v>
      </c>
      <c r="M204" s="2631">
        <f t="shared" si="146"/>
        <v>41000000</v>
      </c>
      <c r="N204" s="2631">
        <f t="shared" si="146"/>
        <v>41000000</v>
      </c>
      <c r="O204" s="1722"/>
      <c r="P204" s="331"/>
    </row>
    <row r="205" spans="1:16" s="2051" customFormat="1" ht="13.5" hidden="1" customHeight="1">
      <c r="A205" s="3433"/>
      <c r="B205" s="21" t="s">
        <v>276</v>
      </c>
      <c r="C205" s="176"/>
      <c r="D205" s="373">
        <f t="shared" ref="D205:L205" si="147">+D206+D208</f>
        <v>41000000</v>
      </c>
      <c r="E205" s="373">
        <v>0</v>
      </c>
      <c r="F205" s="373">
        <f t="shared" si="147"/>
        <v>0</v>
      </c>
      <c r="G205" s="373">
        <f t="shared" si="147"/>
        <v>0</v>
      </c>
      <c r="H205" s="373">
        <f t="shared" si="147"/>
        <v>20212264</v>
      </c>
      <c r="I205" s="373">
        <f t="shared" si="147"/>
        <v>20787736</v>
      </c>
      <c r="J205" s="373">
        <f t="shared" si="147"/>
        <v>0</v>
      </c>
      <c r="K205" s="373">
        <f t="shared" si="147"/>
        <v>0</v>
      </c>
      <c r="L205" s="373">
        <f t="shared" si="147"/>
        <v>0</v>
      </c>
      <c r="M205" s="3416" t="s">
        <v>61</v>
      </c>
      <c r="N205" s="3416" t="s">
        <v>61</v>
      </c>
      <c r="O205" s="1722"/>
      <c r="P205" s="331"/>
    </row>
    <row r="206" spans="1:16" s="2051" customFormat="1" ht="15" hidden="1" customHeight="1">
      <c r="A206" s="3433"/>
      <c r="B206" s="2643" t="s">
        <v>24</v>
      </c>
      <c r="C206" s="3483" t="s">
        <v>291</v>
      </c>
      <c r="D206" s="1736">
        <f>+D207</f>
        <v>0</v>
      </c>
      <c r="E206" s="1736">
        <v>0</v>
      </c>
      <c r="F206" s="1736">
        <f t="shared" ref="F206:L206" si="148">+F207</f>
        <v>0</v>
      </c>
      <c r="G206" s="1736">
        <f t="shared" si="148"/>
        <v>0</v>
      </c>
      <c r="H206" s="1736">
        <f t="shared" si="148"/>
        <v>0</v>
      </c>
      <c r="I206" s="1736">
        <f t="shared" si="148"/>
        <v>0</v>
      </c>
      <c r="J206" s="1736">
        <f t="shared" si="148"/>
        <v>0</v>
      </c>
      <c r="K206" s="1736">
        <f t="shared" si="148"/>
        <v>0</v>
      </c>
      <c r="L206" s="1736">
        <f t="shared" si="148"/>
        <v>0</v>
      </c>
      <c r="M206" s="3345"/>
      <c r="N206" s="3345"/>
      <c r="O206" s="1722"/>
      <c r="P206" s="331"/>
    </row>
    <row r="207" spans="1:16" s="2051" customFormat="1" ht="16.5" hidden="1" customHeight="1">
      <c r="A207" s="3433"/>
      <c r="B207" s="1737" t="s">
        <v>16</v>
      </c>
      <c r="C207" s="3484"/>
      <c r="D207" s="1738">
        <f>SUM(E207:L207)</f>
        <v>0</v>
      </c>
      <c r="E207" s="363"/>
      <c r="F207" s="1738">
        <v>0</v>
      </c>
      <c r="G207" s="1738">
        <f>277300-277300</f>
        <v>0</v>
      </c>
      <c r="H207" s="1738">
        <f>3328200-3328200</f>
        <v>0</v>
      </c>
      <c r="I207" s="1738">
        <f>1394500+277300-1671800</f>
        <v>0</v>
      </c>
      <c r="J207" s="1738"/>
      <c r="K207" s="1738"/>
      <c r="L207" s="1738"/>
      <c r="M207" s="3345"/>
      <c r="N207" s="3345"/>
      <c r="O207" s="1722"/>
      <c r="P207" s="331"/>
    </row>
    <row r="208" spans="1:16" s="2051" customFormat="1" ht="16.5" hidden="1" customHeight="1">
      <c r="A208" s="3433"/>
      <c r="B208" s="488" t="s">
        <v>18</v>
      </c>
      <c r="C208" s="3484"/>
      <c r="D208" s="1736">
        <f>SUM(E208:L208)</f>
        <v>41000000</v>
      </c>
      <c r="E208" s="1736">
        <v>0</v>
      </c>
      <c r="F208" s="1736">
        <f t="shared" ref="F208:L208" si="149">+F209</f>
        <v>0</v>
      </c>
      <c r="G208" s="1736">
        <f t="shared" si="149"/>
        <v>0</v>
      </c>
      <c r="H208" s="1736">
        <f t="shared" si="149"/>
        <v>20212264</v>
      </c>
      <c r="I208" s="1736">
        <f t="shared" si="149"/>
        <v>20787736</v>
      </c>
      <c r="J208" s="1736">
        <f t="shared" si="149"/>
        <v>0</v>
      </c>
      <c r="K208" s="1736">
        <f t="shared" si="149"/>
        <v>0</v>
      </c>
      <c r="L208" s="1736">
        <f t="shared" si="149"/>
        <v>0</v>
      </c>
      <c r="M208" s="3345"/>
      <c r="N208" s="3345"/>
      <c r="O208" s="1722"/>
      <c r="P208" s="331"/>
    </row>
    <row r="209" spans="1:16" s="2051" customFormat="1" ht="15" hidden="1" customHeight="1">
      <c r="A209" s="2634"/>
      <c r="B209" s="459" t="s">
        <v>21</v>
      </c>
      <c r="C209" s="3485"/>
      <c r="D209" s="1738">
        <f>SUM(E209:L209)</f>
        <v>41000000</v>
      </c>
      <c r="E209" s="1738">
        <v>0</v>
      </c>
      <c r="F209" s="1738">
        <f t="shared" ref="F209:L209" si="150">+F210+F211</f>
        <v>0</v>
      </c>
      <c r="G209" s="1738">
        <f>+G210+G211</f>
        <v>0</v>
      </c>
      <c r="H209" s="1738">
        <f t="shared" si="150"/>
        <v>20212264</v>
      </c>
      <c r="I209" s="1738">
        <f t="shared" si="150"/>
        <v>20787736</v>
      </c>
      <c r="J209" s="1738">
        <f t="shared" si="150"/>
        <v>0</v>
      </c>
      <c r="K209" s="1738">
        <f t="shared" si="150"/>
        <v>0</v>
      </c>
      <c r="L209" s="1738">
        <f t="shared" si="150"/>
        <v>0</v>
      </c>
      <c r="M209" s="3345"/>
      <c r="N209" s="3345"/>
      <c r="O209" s="1722"/>
      <c r="P209" s="331"/>
    </row>
    <row r="210" spans="1:16" s="2051" customFormat="1" ht="27.75" hidden="1" customHeight="1">
      <c r="A210" s="2634"/>
      <c r="B210" s="1718" t="s">
        <v>273</v>
      </c>
      <c r="C210" s="2844" t="s">
        <v>245</v>
      </c>
      <c r="D210" s="2667">
        <f>SUM(E210:L210)</f>
        <v>0</v>
      </c>
      <c r="E210" s="2668">
        <v>0</v>
      </c>
      <c r="F210" s="2667">
        <v>0</v>
      </c>
      <c r="G210" s="2667">
        <v>0</v>
      </c>
      <c r="H210" s="2667">
        <f>915000+624800-1539800</f>
        <v>0</v>
      </c>
      <c r="I210" s="2667">
        <f>511000+625000-1136000</f>
        <v>0</v>
      </c>
      <c r="J210" s="2667">
        <v>0</v>
      </c>
      <c r="K210" s="2667">
        <v>0</v>
      </c>
      <c r="L210" s="2667">
        <v>0</v>
      </c>
      <c r="M210" s="3345"/>
      <c r="N210" s="3345"/>
      <c r="O210" s="2669"/>
      <c r="P210" s="331"/>
    </row>
    <row r="211" spans="1:16" s="2051" customFormat="1" ht="21.75" hidden="1" customHeight="1" thickBot="1">
      <c r="A211" s="2634"/>
      <c r="B211" s="1723" t="s">
        <v>284</v>
      </c>
      <c r="C211" s="2844" t="s">
        <v>221</v>
      </c>
      <c r="D211" s="2670">
        <f>SUM(E211:L211)</f>
        <v>41000000</v>
      </c>
      <c r="E211" s="2671">
        <v>0</v>
      </c>
      <c r="F211" s="2670">
        <v>0</v>
      </c>
      <c r="G211" s="2670">
        <f>2328000-2328000</f>
        <v>0</v>
      </c>
      <c r="H211" s="2670">
        <f>27936000-5731740+345740-2337736</f>
        <v>20212264</v>
      </c>
      <c r="I211" s="2670">
        <f>11600000+8059740-1209740+2337736</f>
        <v>20787736</v>
      </c>
      <c r="J211" s="2670">
        <v>0</v>
      </c>
      <c r="K211" s="2670">
        <v>0</v>
      </c>
      <c r="L211" s="2670">
        <v>0</v>
      </c>
      <c r="M211" s="3346"/>
      <c r="N211" s="3346"/>
      <c r="O211" s="2669"/>
      <c r="P211" s="331"/>
    </row>
    <row r="212" spans="1:16" s="2051" customFormat="1" ht="24.75" customHeight="1">
      <c r="A212" s="3432" t="s">
        <v>89</v>
      </c>
      <c r="B212" s="171" t="s">
        <v>295</v>
      </c>
      <c r="C212" s="172" t="s">
        <v>109</v>
      </c>
      <c r="D212" s="403"/>
      <c r="E212" s="403"/>
      <c r="F212" s="403">
        <f>+F215+F216+F218</f>
        <v>1061748</v>
      </c>
      <c r="G212" s="403">
        <f>+G215+G216+G218</f>
        <v>3843338</v>
      </c>
      <c r="H212" s="187"/>
      <c r="I212" s="187"/>
      <c r="J212" s="187"/>
      <c r="K212" s="187"/>
      <c r="L212" s="261"/>
      <c r="M212" s="356"/>
      <c r="N212" s="356"/>
      <c r="O212" s="3428" t="s">
        <v>323</v>
      </c>
      <c r="P212" s="331"/>
    </row>
    <row r="213" spans="1:16" s="2051" customFormat="1">
      <c r="A213" s="3433"/>
      <c r="B213" s="21" t="s">
        <v>10</v>
      </c>
      <c r="C213" s="454"/>
      <c r="D213" s="373">
        <f>+D214+D218</f>
        <v>5491442</v>
      </c>
      <c r="E213" s="373">
        <f t="shared" ref="E213" si="151">+E214+E218</f>
        <v>131150</v>
      </c>
      <c r="F213" s="373">
        <f t="shared" ref="F213" si="152">+F214+F218</f>
        <v>1125694</v>
      </c>
      <c r="G213" s="373">
        <f>+G214+G218</f>
        <v>4234598</v>
      </c>
      <c r="H213" s="357"/>
      <c r="I213" s="357"/>
      <c r="J213" s="357"/>
      <c r="K213" s="357"/>
      <c r="L213" s="357"/>
      <c r="M213" s="455">
        <f>M214+M218</f>
        <v>4905086</v>
      </c>
      <c r="N213" s="455">
        <f>N214+N218</f>
        <v>3843338</v>
      </c>
      <c r="O213" s="3429"/>
      <c r="P213" s="331"/>
    </row>
    <row r="214" spans="1:16" s="2051" customFormat="1">
      <c r="A214" s="3433"/>
      <c r="B214" s="173" t="s">
        <v>24</v>
      </c>
      <c r="C214" s="3482" t="s">
        <v>206</v>
      </c>
      <c r="D214" s="358">
        <f>SUM(D215:D217)</f>
        <v>1295641</v>
      </c>
      <c r="E214" s="358">
        <f>SUM(E215:E217)</f>
        <v>28691</v>
      </c>
      <c r="F214" s="358">
        <f t="shared" ref="F214:G214" si="153">SUM(F215:F217)</f>
        <v>248405</v>
      </c>
      <c r="G214" s="358">
        <f t="shared" si="153"/>
        <v>1018545</v>
      </c>
      <c r="H214" s="358"/>
      <c r="I214" s="358"/>
      <c r="J214" s="358"/>
      <c r="K214" s="358"/>
      <c r="L214" s="358"/>
      <c r="M214" s="359">
        <f>SUM(M215:M216)</f>
        <v>811744</v>
      </c>
      <c r="N214" s="359">
        <f>SUM(N215:N216)</f>
        <v>627285</v>
      </c>
      <c r="O214" s="3429"/>
      <c r="P214" s="331"/>
    </row>
    <row r="215" spans="1:16" s="2051" customFormat="1">
      <c r="A215" s="3433"/>
      <c r="B215" s="174" t="s">
        <v>12</v>
      </c>
      <c r="C215" s="3457"/>
      <c r="D215" s="249">
        <f>E215+F215+G215+H215+I215+J215+K215+L215</f>
        <v>100000</v>
      </c>
      <c r="E215" s="1579">
        <v>10611</v>
      </c>
      <c r="F215" s="1470">
        <f>50000+1902-22258</f>
        <v>29644</v>
      </c>
      <c r="G215" s="1470">
        <f>12500+24987+22258</f>
        <v>59745</v>
      </c>
      <c r="H215" s="456"/>
      <c r="I215" s="456"/>
      <c r="J215" s="456"/>
      <c r="K215" s="456"/>
      <c r="L215" s="456"/>
      <c r="M215" s="749">
        <f>SUM(F215:L215)</f>
        <v>89389</v>
      </c>
      <c r="N215" s="749">
        <f>SUM(G215:L215)</f>
        <v>59745</v>
      </c>
      <c r="O215" s="3429"/>
      <c r="P215" s="331"/>
    </row>
    <row r="216" spans="1:16" s="2051" customFormat="1">
      <c r="A216" s="3433"/>
      <c r="B216" s="174" t="s">
        <v>13</v>
      </c>
      <c r="C216" s="3436"/>
      <c r="D216" s="249">
        <f>E216+F216+G216+H216+I216+J216+K216+L216</f>
        <v>740435</v>
      </c>
      <c r="E216" s="1579">
        <v>18080</v>
      </c>
      <c r="F216" s="175">
        <f>412301+81979+118367-457832</f>
        <v>154815</v>
      </c>
      <c r="G216" s="175">
        <f>163259+60000-113551+457832</f>
        <v>567540</v>
      </c>
      <c r="H216" s="175"/>
      <c r="I216" s="175"/>
      <c r="J216" s="175"/>
      <c r="K216" s="175"/>
      <c r="L216" s="175"/>
      <c r="M216" s="749">
        <f>SUM(F216:L216)</f>
        <v>722355</v>
      </c>
      <c r="N216" s="749">
        <f>SUM(G216:L216)</f>
        <v>567540</v>
      </c>
      <c r="O216" s="3429"/>
      <c r="P216" s="331"/>
    </row>
    <row r="217" spans="1:16" s="2051" customFormat="1">
      <c r="A217" s="3433"/>
      <c r="B217" s="453" t="s">
        <v>32</v>
      </c>
      <c r="C217" s="3436"/>
      <c r="D217" s="249">
        <f>E217+F217+G217+H217+I217+J217+K217+L217</f>
        <v>455206</v>
      </c>
      <c r="E217" s="1579">
        <v>0</v>
      </c>
      <c r="F217" s="175">
        <f>255556+48066-239676</f>
        <v>63946</v>
      </c>
      <c r="G217" s="175">
        <f>110761+40823+239676</f>
        <v>391260</v>
      </c>
      <c r="H217" s="175"/>
      <c r="I217" s="175"/>
      <c r="J217" s="175"/>
      <c r="K217" s="175"/>
      <c r="L217" s="175"/>
      <c r="M217" s="457" t="s">
        <v>61</v>
      </c>
      <c r="N217" s="457" t="s">
        <v>61</v>
      </c>
      <c r="O217" s="3429"/>
      <c r="P217" s="331"/>
    </row>
    <row r="218" spans="1:16" s="2051" customFormat="1">
      <c r="A218" s="3433"/>
      <c r="B218" s="83" t="s">
        <v>18</v>
      </c>
      <c r="C218" s="3436"/>
      <c r="D218" s="361">
        <f>+D219</f>
        <v>4195801</v>
      </c>
      <c r="E218" s="361">
        <f t="shared" ref="E218:G218" si="154">E219</f>
        <v>102459</v>
      </c>
      <c r="F218" s="361">
        <f t="shared" si="154"/>
        <v>877289</v>
      </c>
      <c r="G218" s="361">
        <f t="shared" si="154"/>
        <v>3216053</v>
      </c>
      <c r="H218" s="361"/>
      <c r="I218" s="361"/>
      <c r="J218" s="361"/>
      <c r="K218" s="361"/>
      <c r="L218" s="361"/>
      <c r="M218" s="359">
        <f>+M219</f>
        <v>4093342</v>
      </c>
      <c r="N218" s="359">
        <f>+N219</f>
        <v>3216053</v>
      </c>
      <c r="O218" s="3429"/>
      <c r="P218" s="331"/>
    </row>
    <row r="219" spans="1:16" s="2051" customFormat="1">
      <c r="A219" s="3433"/>
      <c r="B219" s="362" t="s">
        <v>21</v>
      </c>
      <c r="C219" s="3437"/>
      <c r="D219" s="249">
        <f>E219+F219+G219+H219+I219+J219+K219+L219</f>
        <v>4195801</v>
      </c>
      <c r="E219" s="1579">
        <v>102459</v>
      </c>
      <c r="F219" s="137">
        <f>2336375+464546+670747-2594379</f>
        <v>877289</v>
      </c>
      <c r="G219" s="137">
        <f>925133+340000-643459+2594379</f>
        <v>3216053</v>
      </c>
      <c r="H219" s="137"/>
      <c r="I219" s="137"/>
      <c r="J219" s="137"/>
      <c r="K219" s="137"/>
      <c r="L219" s="137"/>
      <c r="M219" s="749">
        <f>SUM(F219:L219)</f>
        <v>4093342</v>
      </c>
      <c r="N219" s="749">
        <f>SUM(G219:L219)</f>
        <v>3216053</v>
      </c>
      <c r="O219" s="3429"/>
      <c r="P219" s="331"/>
    </row>
    <row r="220" spans="1:16" s="2051" customFormat="1">
      <c r="A220" s="3086"/>
      <c r="B220" s="21" t="s">
        <v>22</v>
      </c>
      <c r="C220" s="176"/>
      <c r="D220" s="357">
        <f>+D221+D223</f>
        <v>4936236</v>
      </c>
      <c r="E220" s="357">
        <f t="shared" ref="E220" si="155">E221+E223</f>
        <v>120539</v>
      </c>
      <c r="F220" s="357">
        <f t="shared" ref="F220:G220" si="156">F221+F223</f>
        <v>1032104</v>
      </c>
      <c r="G220" s="357">
        <f t="shared" si="156"/>
        <v>3783593</v>
      </c>
      <c r="H220" s="366"/>
      <c r="I220" s="357"/>
      <c r="J220" s="357"/>
      <c r="K220" s="357"/>
      <c r="L220" s="357"/>
      <c r="M220" s="3416" t="s">
        <v>61</v>
      </c>
      <c r="N220" s="3416" t="s">
        <v>61</v>
      </c>
      <c r="O220" s="3429"/>
      <c r="P220" s="331"/>
    </row>
    <row r="221" spans="1:16" s="2051" customFormat="1">
      <c r="A221" s="3086"/>
      <c r="B221" s="177" t="s">
        <v>24</v>
      </c>
      <c r="C221" s="3482" t="s">
        <v>206</v>
      </c>
      <c r="D221" s="358">
        <f>+D222</f>
        <v>740435</v>
      </c>
      <c r="E221" s="358">
        <f t="shared" ref="E221:G221" si="157">E222</f>
        <v>18080</v>
      </c>
      <c r="F221" s="358">
        <f t="shared" si="157"/>
        <v>154815</v>
      </c>
      <c r="G221" s="358">
        <f t="shared" si="157"/>
        <v>567540</v>
      </c>
      <c r="H221" s="367"/>
      <c r="I221" s="358"/>
      <c r="J221" s="358"/>
      <c r="K221" s="358"/>
      <c r="L221" s="358"/>
      <c r="M221" s="3345"/>
      <c r="N221" s="3345"/>
      <c r="O221" s="3429"/>
      <c r="P221" s="331"/>
    </row>
    <row r="222" spans="1:16" s="2051" customFormat="1">
      <c r="A222" s="3086"/>
      <c r="B222" s="178" t="s">
        <v>13</v>
      </c>
      <c r="C222" s="3436"/>
      <c r="D222" s="249">
        <f>E222+F222+G222+H222+I222+J222+K222+L222</f>
        <v>740435</v>
      </c>
      <c r="E222" s="1579">
        <v>18080</v>
      </c>
      <c r="F222" s="722">
        <f>412301+81979+118367-457832</f>
        <v>154815</v>
      </c>
      <c r="G222" s="722">
        <f>163259+60000-113551+457832</f>
        <v>567540</v>
      </c>
      <c r="H222" s="363"/>
      <c r="I222" s="363"/>
      <c r="J222" s="363"/>
      <c r="K222" s="363"/>
      <c r="L222" s="363"/>
      <c r="M222" s="3345"/>
      <c r="N222" s="3345"/>
      <c r="O222" s="3429"/>
      <c r="P222" s="331"/>
    </row>
    <row r="223" spans="1:16" s="2051" customFormat="1">
      <c r="A223" s="3086"/>
      <c r="B223" s="364" t="s">
        <v>18</v>
      </c>
      <c r="C223" s="3436"/>
      <c r="D223" s="361">
        <f>+D224</f>
        <v>4195801</v>
      </c>
      <c r="E223" s="361">
        <f t="shared" ref="E223:G223" si="158">E224</f>
        <v>102459</v>
      </c>
      <c r="F223" s="361">
        <f t="shared" si="158"/>
        <v>877289</v>
      </c>
      <c r="G223" s="361">
        <f t="shared" si="158"/>
        <v>3216053</v>
      </c>
      <c r="H223" s="368"/>
      <c r="I223" s="361"/>
      <c r="J223" s="361"/>
      <c r="K223" s="361"/>
      <c r="L223" s="361"/>
      <c r="M223" s="3345"/>
      <c r="N223" s="3345"/>
      <c r="O223" s="3429"/>
      <c r="P223" s="331"/>
    </row>
    <row r="224" spans="1:16" s="2051" customFormat="1" ht="13.5" thickBot="1">
      <c r="A224" s="3087"/>
      <c r="B224" s="365" t="s">
        <v>21</v>
      </c>
      <c r="C224" s="3435"/>
      <c r="D224" s="249">
        <f>E224+F224+G224+H224+I224+J224+K224+L224</f>
        <v>4195801</v>
      </c>
      <c r="E224" s="1579">
        <v>102459</v>
      </c>
      <c r="F224" s="710">
        <f>2336375+464546+670747-2594379</f>
        <v>877289</v>
      </c>
      <c r="G224" s="710">
        <f>925133+340000-643459+2594379</f>
        <v>3216053</v>
      </c>
      <c r="H224" s="179"/>
      <c r="I224" s="179"/>
      <c r="J224" s="179"/>
      <c r="K224" s="179"/>
      <c r="L224" s="179"/>
      <c r="M224" s="3346"/>
      <c r="N224" s="3346"/>
      <c r="O224" s="3430"/>
      <c r="P224" s="331"/>
    </row>
    <row r="225" spans="1:16" s="2051" customFormat="1" ht="36" customHeight="1">
      <c r="A225" s="3432" t="s">
        <v>90</v>
      </c>
      <c r="B225" s="171" t="s">
        <v>346</v>
      </c>
      <c r="C225" s="172" t="s">
        <v>81</v>
      </c>
      <c r="D225" s="188"/>
      <c r="E225" s="187"/>
      <c r="F225" s="187"/>
      <c r="G225" s="187"/>
      <c r="H225" s="187"/>
      <c r="I225" s="187"/>
      <c r="J225" s="187"/>
      <c r="K225" s="187"/>
      <c r="L225" s="261"/>
      <c r="M225" s="356"/>
      <c r="N225" s="356"/>
      <c r="O225" s="3428" t="s">
        <v>323</v>
      </c>
      <c r="P225" s="331"/>
    </row>
    <row r="226" spans="1:16" s="2051" customFormat="1">
      <c r="A226" s="3433"/>
      <c r="B226" s="715" t="s">
        <v>10</v>
      </c>
      <c r="C226" s="1996"/>
      <c r="D226" s="1968">
        <f t="shared" ref="D226:G226" si="159">+D227+D229</f>
        <v>5764</v>
      </c>
      <c r="E226" s="1968">
        <f t="shared" ref="E226" si="160">+E227+E229</f>
        <v>5764</v>
      </c>
      <c r="F226" s="1968">
        <f t="shared" si="159"/>
        <v>0</v>
      </c>
      <c r="G226" s="1968">
        <f t="shared" si="159"/>
        <v>0</v>
      </c>
      <c r="H226" s="1962"/>
      <c r="I226" s="1962"/>
      <c r="J226" s="1962"/>
      <c r="K226" s="1962"/>
      <c r="L226" s="1962"/>
      <c r="M226" s="1997">
        <f>M227+M229</f>
        <v>0</v>
      </c>
      <c r="N226" s="1997">
        <f>N227+N229</f>
        <v>0</v>
      </c>
      <c r="O226" s="3429"/>
      <c r="P226" s="331"/>
    </row>
    <row r="227" spans="1:16" s="2051" customFormat="1">
      <c r="A227" s="3433"/>
      <c r="B227" s="681" t="s">
        <v>24</v>
      </c>
      <c r="C227" s="3447" t="s">
        <v>206</v>
      </c>
      <c r="D227" s="1951">
        <f t="shared" ref="D227:G227" si="161">SUM(D228:D228)</f>
        <v>865</v>
      </c>
      <c r="E227" s="1951">
        <f t="shared" si="161"/>
        <v>865</v>
      </c>
      <c r="F227" s="1951">
        <f t="shared" si="161"/>
        <v>0</v>
      </c>
      <c r="G227" s="1951">
        <f t="shared" si="161"/>
        <v>0</v>
      </c>
      <c r="H227" s="1951"/>
      <c r="I227" s="1951"/>
      <c r="J227" s="1951"/>
      <c r="K227" s="1951"/>
      <c r="L227" s="1951"/>
      <c r="M227" s="749">
        <f>SUM(F227:K227)</f>
        <v>0</v>
      </c>
      <c r="N227" s="749">
        <f>SUM(G227:L227)</f>
        <v>0</v>
      </c>
      <c r="O227" s="3429"/>
      <c r="P227" s="331"/>
    </row>
    <row r="228" spans="1:16" s="2051" customFormat="1">
      <c r="A228" s="3433"/>
      <c r="B228" s="174" t="s">
        <v>13</v>
      </c>
      <c r="C228" s="3436"/>
      <c r="D228" s="1913">
        <f>E228+F228+G228+H228+I228+J228+K228+L228</f>
        <v>865</v>
      </c>
      <c r="E228" s="1954">
        <v>865</v>
      </c>
      <c r="F228" s="175">
        <v>0</v>
      </c>
      <c r="G228" s="175">
        <v>0</v>
      </c>
      <c r="H228" s="175"/>
      <c r="I228" s="175"/>
      <c r="J228" s="175"/>
      <c r="K228" s="175"/>
      <c r="L228" s="175"/>
      <c r="M228" s="749">
        <f>SUM(F228:K228)</f>
        <v>0</v>
      </c>
      <c r="N228" s="749">
        <f>SUM(G228:L228)</f>
        <v>0</v>
      </c>
      <c r="O228" s="3429"/>
      <c r="P228" s="331"/>
    </row>
    <row r="229" spans="1:16" s="2051" customFormat="1">
      <c r="A229" s="3433"/>
      <c r="B229" s="739" t="s">
        <v>18</v>
      </c>
      <c r="C229" s="3436"/>
      <c r="D229" s="1957">
        <f>+D230</f>
        <v>4899</v>
      </c>
      <c r="E229" s="1957">
        <f t="shared" ref="E229:G229" si="162">E230</f>
        <v>4899</v>
      </c>
      <c r="F229" s="1957">
        <f t="shared" si="162"/>
        <v>0</v>
      </c>
      <c r="G229" s="1957">
        <f t="shared" si="162"/>
        <v>0</v>
      </c>
      <c r="H229" s="1957"/>
      <c r="I229" s="1957"/>
      <c r="J229" s="1957"/>
      <c r="K229" s="1957"/>
      <c r="L229" s="1957"/>
      <c r="M229" s="1953">
        <f>+M230</f>
        <v>0</v>
      </c>
      <c r="N229" s="1953">
        <f>+N230</f>
        <v>0</v>
      </c>
      <c r="O229" s="3429"/>
      <c r="P229" s="331"/>
    </row>
    <row r="230" spans="1:16" s="2051" customFormat="1">
      <c r="A230" s="3433"/>
      <c r="B230" s="1998" t="s">
        <v>21</v>
      </c>
      <c r="C230" s="3437"/>
      <c r="D230" s="1913">
        <f>E230+F230+G230+H230+I230+J230+K230+L230</f>
        <v>4899</v>
      </c>
      <c r="E230" s="1954">
        <v>4899</v>
      </c>
      <c r="F230" s="137">
        <v>0</v>
      </c>
      <c r="G230" s="137">
        <v>0</v>
      </c>
      <c r="H230" s="137"/>
      <c r="I230" s="137"/>
      <c r="J230" s="137"/>
      <c r="K230" s="137"/>
      <c r="L230" s="137"/>
      <c r="M230" s="749">
        <f>SUM(F230:K230)</f>
        <v>0</v>
      </c>
      <c r="N230" s="749">
        <f>SUM(G230:L230)</f>
        <v>0</v>
      </c>
      <c r="O230" s="3429"/>
      <c r="P230" s="331"/>
    </row>
    <row r="231" spans="1:16" s="2051" customFormat="1">
      <c r="A231" s="3086"/>
      <c r="B231" s="715" t="s">
        <v>22</v>
      </c>
      <c r="C231" s="1961"/>
      <c r="D231" s="1962">
        <f>+D232+D234</f>
        <v>5764</v>
      </c>
      <c r="E231" s="1962">
        <f t="shared" ref="E231" si="163">E232+E234</f>
        <v>5764</v>
      </c>
      <c r="F231" s="1962">
        <f t="shared" ref="F231:G231" si="164">F232+F234</f>
        <v>0</v>
      </c>
      <c r="G231" s="1962">
        <f t="shared" si="164"/>
        <v>0</v>
      </c>
      <c r="H231" s="1999"/>
      <c r="I231" s="1962"/>
      <c r="J231" s="1962"/>
      <c r="K231" s="1962"/>
      <c r="L231" s="1962"/>
      <c r="M231" s="3344" t="s">
        <v>61</v>
      </c>
      <c r="N231" s="3344" t="s">
        <v>61</v>
      </c>
      <c r="O231" s="3429"/>
      <c r="P231" s="331"/>
    </row>
    <row r="232" spans="1:16" s="2051" customFormat="1">
      <c r="A232" s="3086"/>
      <c r="B232" s="1963" t="s">
        <v>24</v>
      </c>
      <c r="C232" s="3447" t="s">
        <v>206</v>
      </c>
      <c r="D232" s="1951">
        <f>+D233</f>
        <v>865</v>
      </c>
      <c r="E232" s="1951">
        <f t="shared" ref="E232:G232" si="165">E233</f>
        <v>865</v>
      </c>
      <c r="F232" s="1951">
        <f t="shared" si="165"/>
        <v>0</v>
      </c>
      <c r="G232" s="1951">
        <f t="shared" si="165"/>
        <v>0</v>
      </c>
      <c r="H232" s="2000"/>
      <c r="I232" s="1951"/>
      <c r="J232" s="1951"/>
      <c r="K232" s="1951"/>
      <c r="L232" s="1951"/>
      <c r="M232" s="3345"/>
      <c r="N232" s="3345"/>
      <c r="O232" s="3429"/>
      <c r="P232" s="331"/>
    </row>
    <row r="233" spans="1:16" s="2051" customFormat="1">
      <c r="A233" s="3086"/>
      <c r="B233" s="178" t="s">
        <v>13</v>
      </c>
      <c r="C233" s="3436"/>
      <c r="D233" s="1913">
        <f>E233+F233+G233+H233+I233+J233+K233+L233</f>
        <v>865</v>
      </c>
      <c r="E233" s="1954">
        <v>865</v>
      </c>
      <c r="F233" s="1964">
        <v>0</v>
      </c>
      <c r="G233" s="1964">
        <v>0</v>
      </c>
      <c r="H233" s="1964"/>
      <c r="I233" s="1964"/>
      <c r="J233" s="1964"/>
      <c r="K233" s="1964"/>
      <c r="L233" s="1964"/>
      <c r="M233" s="3345"/>
      <c r="N233" s="3345"/>
      <c r="O233" s="3429"/>
      <c r="P233" s="331"/>
    </row>
    <row r="234" spans="1:16" s="2051" customFormat="1">
      <c r="A234" s="3086"/>
      <c r="B234" s="1965" t="s">
        <v>18</v>
      </c>
      <c r="C234" s="3436"/>
      <c r="D234" s="1957">
        <f>+D235</f>
        <v>4899</v>
      </c>
      <c r="E234" s="1957">
        <f t="shared" ref="E234:G234" si="166">E235</f>
        <v>4899</v>
      </c>
      <c r="F234" s="1957">
        <f t="shared" si="166"/>
        <v>0</v>
      </c>
      <c r="G234" s="1957">
        <f t="shared" si="166"/>
        <v>0</v>
      </c>
      <c r="H234" s="1983"/>
      <c r="I234" s="1957"/>
      <c r="J234" s="1957"/>
      <c r="K234" s="1957"/>
      <c r="L234" s="1957"/>
      <c r="M234" s="3345"/>
      <c r="N234" s="3345"/>
      <c r="O234" s="3429"/>
      <c r="P234" s="331"/>
    </row>
    <row r="235" spans="1:16" s="2051" customFormat="1" ht="11.25" customHeight="1" thickBot="1">
      <c r="A235" s="3087"/>
      <c r="B235" s="365" t="s">
        <v>21</v>
      </c>
      <c r="C235" s="3435"/>
      <c r="D235" s="1009">
        <f>E235+F235+G235+H235+I235+J235+K235+L235</f>
        <v>4899</v>
      </c>
      <c r="E235" s="1966">
        <v>4899</v>
      </c>
      <c r="F235" s="710">
        <v>0</v>
      </c>
      <c r="G235" s="710">
        <v>0</v>
      </c>
      <c r="H235" s="710"/>
      <c r="I235" s="710"/>
      <c r="J235" s="710"/>
      <c r="K235" s="710"/>
      <c r="L235" s="710"/>
      <c r="M235" s="3346"/>
      <c r="N235" s="3346"/>
      <c r="O235" s="3430"/>
      <c r="P235" s="331"/>
    </row>
    <row r="236" spans="1:16" s="2051" customFormat="1" ht="6.75" customHeight="1" thickBot="1">
      <c r="A236" s="563"/>
      <c r="B236" s="564"/>
      <c r="C236" s="565"/>
      <c r="D236" s="566"/>
      <c r="E236" s="566"/>
      <c r="F236" s="567"/>
      <c r="G236" s="567"/>
      <c r="H236" s="567"/>
      <c r="I236" s="567"/>
      <c r="J236" s="567"/>
      <c r="K236" s="567"/>
      <c r="L236" s="567"/>
      <c r="M236" s="568"/>
      <c r="N236" s="568"/>
      <c r="O236" s="569"/>
      <c r="P236" s="331"/>
    </row>
    <row r="237" spans="1:16" s="327" customFormat="1" ht="26.25" customHeight="1" thickBot="1">
      <c r="A237" s="193" t="s">
        <v>155</v>
      </c>
      <c r="B237" s="194"/>
      <c r="C237" s="194"/>
      <c r="D237" s="194"/>
      <c r="E237" s="1899"/>
      <c r="F237" s="194"/>
      <c r="G237" s="194"/>
      <c r="H237" s="194"/>
      <c r="I237" s="194"/>
      <c r="J237" s="194"/>
      <c r="K237" s="194"/>
      <c r="L237" s="194"/>
      <c r="M237" s="1155"/>
      <c r="N237" s="1155"/>
      <c r="O237" s="195"/>
    </row>
    <row r="238" spans="1:16" s="2051" customFormat="1">
      <c r="A238" s="1812"/>
      <c r="B238" s="211" t="s">
        <v>76</v>
      </c>
      <c r="C238" s="212"/>
      <c r="D238" s="213">
        <f>+D239+D240</f>
        <v>53272234</v>
      </c>
      <c r="E238" s="213">
        <f>+E239+E240</f>
        <v>28119865</v>
      </c>
      <c r="F238" s="213">
        <f t="shared" ref="F238" si="167">+F239+F240</f>
        <v>8835105</v>
      </c>
      <c r="G238" s="213">
        <f>+G239+G240</f>
        <v>8361775</v>
      </c>
      <c r="H238" s="213">
        <f>+H239+H240</f>
        <v>6955489</v>
      </c>
      <c r="I238" s="213">
        <f>+I239+I240</f>
        <v>1000000</v>
      </c>
      <c r="J238" s="213"/>
      <c r="K238" s="213"/>
      <c r="L238" s="213"/>
      <c r="M238" s="16">
        <f>+M239+M240</f>
        <v>25152369</v>
      </c>
      <c r="N238" s="16">
        <f>+N239+N240</f>
        <v>16317264</v>
      </c>
      <c r="O238" s="3469" t="s">
        <v>61</v>
      </c>
      <c r="P238" s="331"/>
    </row>
    <row r="239" spans="1:16" s="2051" customFormat="1" ht="13.5" customHeight="1">
      <c r="A239" s="191"/>
      <c r="B239" s="214" t="s">
        <v>77</v>
      </c>
      <c r="C239" s="215"/>
      <c r="D239" s="216">
        <f>+D253+D257</f>
        <v>51155510</v>
      </c>
      <c r="E239" s="216">
        <f>+E253+E257</f>
        <v>26008965</v>
      </c>
      <c r="F239" s="216">
        <f t="shared" ref="F239" si="168">+F253+F257</f>
        <v>8835105</v>
      </c>
      <c r="G239" s="216">
        <f>+G253</f>
        <v>8355951</v>
      </c>
      <c r="H239" s="216">
        <f>+H253</f>
        <v>6955489</v>
      </c>
      <c r="I239" s="216">
        <f>+I253</f>
        <v>1000000</v>
      </c>
      <c r="J239" s="216"/>
      <c r="K239" s="216"/>
      <c r="L239" s="216"/>
      <c r="M239" s="18">
        <f>SUM(F239:K239)</f>
        <v>25146545</v>
      </c>
      <c r="N239" s="18">
        <f>SUM(G239:L239)</f>
        <v>16311440</v>
      </c>
      <c r="O239" s="3470"/>
    </row>
    <row r="240" spans="1:16" s="2051" customFormat="1" ht="13.5" customHeight="1" thickBot="1">
      <c r="A240" s="191"/>
      <c r="B240" s="225" t="s">
        <v>9</v>
      </c>
      <c r="C240" s="215"/>
      <c r="D240" s="216">
        <f>+D249</f>
        <v>2116724</v>
      </c>
      <c r="E240" s="216">
        <f>+E249</f>
        <v>2110900</v>
      </c>
      <c r="F240" s="216">
        <f t="shared" ref="F240" si="169">+F249</f>
        <v>0</v>
      </c>
      <c r="G240" s="377">
        <f>+G249</f>
        <v>5824</v>
      </c>
      <c r="H240" s="377">
        <f>+H249</f>
        <v>0</v>
      </c>
      <c r="I240" s="377">
        <f>+I249</f>
        <v>0</v>
      </c>
      <c r="J240" s="377"/>
      <c r="K240" s="377"/>
      <c r="L240" s="377"/>
      <c r="M240" s="154">
        <f>SUM(F240:K240)</f>
        <v>5824</v>
      </c>
      <c r="N240" s="154">
        <f>SUM(G240:L240)</f>
        <v>5824</v>
      </c>
      <c r="O240" s="3470"/>
    </row>
    <row r="241" spans="1:27" s="381" customFormat="1" ht="12">
      <c r="A241" s="378"/>
      <c r="B241" s="183" t="s">
        <v>10</v>
      </c>
      <c r="C241" s="184"/>
      <c r="D241" s="158">
        <f>+D242</f>
        <v>53272234</v>
      </c>
      <c r="E241" s="158">
        <f t="shared" ref="E241:I242" si="170">+E242</f>
        <v>28119865</v>
      </c>
      <c r="F241" s="158">
        <f t="shared" si="170"/>
        <v>8835105</v>
      </c>
      <c r="G241" s="158">
        <f t="shared" si="170"/>
        <v>8361775</v>
      </c>
      <c r="H241" s="158">
        <f t="shared" si="170"/>
        <v>6955489</v>
      </c>
      <c r="I241" s="158">
        <f t="shared" si="170"/>
        <v>1000000</v>
      </c>
      <c r="J241" s="158"/>
      <c r="K241" s="158"/>
      <c r="L241" s="158"/>
      <c r="M241" s="379">
        <f>+M242</f>
        <v>25152369</v>
      </c>
      <c r="N241" s="379">
        <f>+N242</f>
        <v>16317264</v>
      </c>
      <c r="O241" s="3470"/>
      <c r="P241" s="380"/>
      <c r="Q241" s="380"/>
    </row>
    <row r="242" spans="1:27" s="384" customFormat="1" ht="12">
      <c r="A242" s="197"/>
      <c r="B242" s="159" t="s">
        <v>11</v>
      </c>
      <c r="C242" s="3472" t="s">
        <v>61</v>
      </c>
      <c r="D242" s="2128">
        <f>+D243+D244</f>
        <v>53272234</v>
      </c>
      <c r="E242" s="2128">
        <f t="shared" si="170"/>
        <v>28119865</v>
      </c>
      <c r="F242" s="2128">
        <f t="shared" si="170"/>
        <v>8835105</v>
      </c>
      <c r="G242" s="2128">
        <f t="shared" si="170"/>
        <v>8361775</v>
      </c>
      <c r="H242" s="2128">
        <f t="shared" si="170"/>
        <v>6955489</v>
      </c>
      <c r="I242" s="2128">
        <f t="shared" si="170"/>
        <v>1000000</v>
      </c>
      <c r="J242" s="2128"/>
      <c r="K242" s="2128"/>
      <c r="L242" s="2128"/>
      <c r="M242" s="2129">
        <f>+M243+M244</f>
        <v>25152369</v>
      </c>
      <c r="N242" s="2129">
        <f>+N243+N244</f>
        <v>16317264</v>
      </c>
      <c r="O242" s="3470"/>
      <c r="P242" s="382"/>
      <c r="Q242" s="383"/>
      <c r="R242" s="382"/>
      <c r="S242" s="382"/>
      <c r="T242" s="382"/>
      <c r="U242" s="382"/>
      <c r="V242" s="382"/>
      <c r="W242" s="382"/>
      <c r="X242" s="382"/>
      <c r="Y242" s="382"/>
      <c r="Z242" s="382"/>
      <c r="AA242" s="382"/>
    </row>
    <row r="243" spans="1:27" s="342" customFormat="1">
      <c r="A243" s="161"/>
      <c r="B243" s="162" t="s">
        <v>12</v>
      </c>
      <c r="C243" s="3473"/>
      <c r="D243" s="2130">
        <f>+D251+D255+D259</f>
        <v>53272234</v>
      </c>
      <c r="E243" s="2130">
        <f>+E251+E255+E259</f>
        <v>28119865</v>
      </c>
      <c r="F243" s="2130">
        <f>+F251+F255+F259</f>
        <v>8835105</v>
      </c>
      <c r="G243" s="2130">
        <f t="shared" ref="G243:H243" si="171">+G251+G255+G259</f>
        <v>8361775</v>
      </c>
      <c r="H243" s="2130">
        <f t="shared" si="171"/>
        <v>6955489</v>
      </c>
      <c r="I243" s="2130">
        <f>+I251+I255</f>
        <v>1000000</v>
      </c>
      <c r="J243" s="2130"/>
      <c r="K243" s="2130"/>
      <c r="L243" s="2130"/>
      <c r="M243" s="2131">
        <f>SUM(F243:L243)</f>
        <v>25152369</v>
      </c>
      <c r="N243" s="2131">
        <f>SUM(G243:L243)</f>
        <v>16317264</v>
      </c>
      <c r="O243" s="3470"/>
      <c r="P243" s="331"/>
    </row>
    <row r="244" spans="1:27" s="342" customFormat="1" ht="13.5" customHeight="1">
      <c r="A244" s="161"/>
      <c r="B244" s="162" t="s">
        <v>14</v>
      </c>
      <c r="C244" s="3473"/>
      <c r="D244" s="2130">
        <f t="shared" ref="D244" si="172">+D260</f>
        <v>0</v>
      </c>
      <c r="E244" s="2130">
        <f t="shared" ref="E244" si="173">+E260</f>
        <v>0</v>
      </c>
      <c r="F244" s="2130">
        <f>+F260</f>
        <v>0</v>
      </c>
      <c r="G244" s="2130">
        <f>+G260</f>
        <v>0</v>
      </c>
      <c r="H244" s="2130">
        <f>+H260</f>
        <v>0</v>
      </c>
      <c r="I244" s="2130">
        <f>+I260</f>
        <v>0</v>
      </c>
      <c r="J244" s="2130"/>
      <c r="K244" s="2130"/>
      <c r="L244" s="2130"/>
      <c r="M244" s="2131">
        <f>SUM(E244:K244)</f>
        <v>0</v>
      </c>
      <c r="N244" s="2131">
        <f>SUM(F244:L244)</f>
        <v>0</v>
      </c>
      <c r="O244" s="3470"/>
      <c r="P244" s="331"/>
    </row>
    <row r="245" spans="1:27" s="334" customFormat="1" ht="15" customHeight="1">
      <c r="A245" s="155"/>
      <c r="B245" s="82" t="s">
        <v>22</v>
      </c>
      <c r="C245" s="91"/>
      <c r="D245" s="196">
        <f>+D246</f>
        <v>0</v>
      </c>
      <c r="E245" s="196">
        <f t="shared" ref="E245" si="174">+E246</f>
        <v>0</v>
      </c>
      <c r="F245" s="196">
        <f t="shared" ref="F245:I246" si="175">+F246</f>
        <v>0</v>
      </c>
      <c r="G245" s="196">
        <f t="shared" si="175"/>
        <v>0</v>
      </c>
      <c r="H245" s="196">
        <f t="shared" si="175"/>
        <v>0</v>
      </c>
      <c r="I245" s="196">
        <f t="shared" si="175"/>
        <v>0</v>
      </c>
      <c r="J245" s="196"/>
      <c r="K245" s="196"/>
      <c r="L245" s="196"/>
      <c r="M245" s="3417" t="s">
        <v>61</v>
      </c>
      <c r="N245" s="3417" t="s">
        <v>61</v>
      </c>
      <c r="O245" s="3470"/>
      <c r="P245" s="333"/>
      <c r="Q245" s="333"/>
    </row>
    <row r="246" spans="1:27" s="334" customFormat="1" ht="14.25" customHeight="1">
      <c r="A246" s="155"/>
      <c r="B246" s="159" t="s">
        <v>11</v>
      </c>
      <c r="C246" s="3472" t="s">
        <v>61</v>
      </c>
      <c r="D246" s="2128">
        <f>+D247</f>
        <v>0</v>
      </c>
      <c r="E246" s="2128">
        <f>+E247</f>
        <v>0</v>
      </c>
      <c r="F246" s="2128">
        <f t="shared" si="175"/>
        <v>0</v>
      </c>
      <c r="G246" s="2128">
        <f t="shared" si="175"/>
        <v>0</v>
      </c>
      <c r="H246" s="2128">
        <f t="shared" si="175"/>
        <v>0</v>
      </c>
      <c r="I246" s="2128">
        <f t="shared" si="175"/>
        <v>0</v>
      </c>
      <c r="J246" s="2128"/>
      <c r="K246" s="2128"/>
      <c r="L246" s="2128"/>
      <c r="M246" s="3345"/>
      <c r="N246" s="3345"/>
      <c r="O246" s="3470"/>
      <c r="P246" s="333"/>
      <c r="Q246" s="333"/>
    </row>
    <row r="247" spans="1:27" s="342" customFormat="1" ht="16.5" customHeight="1" thickBot="1">
      <c r="A247" s="161"/>
      <c r="B247" s="162" t="s">
        <v>14</v>
      </c>
      <c r="C247" s="3473"/>
      <c r="D247" s="2130">
        <f>+D263</f>
        <v>0</v>
      </c>
      <c r="E247" s="2130">
        <f>+E263</f>
        <v>0</v>
      </c>
      <c r="F247" s="2130">
        <f t="shared" ref="F247:I247" si="176">+F263</f>
        <v>0</v>
      </c>
      <c r="G247" s="2130">
        <f t="shared" si="176"/>
        <v>0</v>
      </c>
      <c r="H247" s="2130">
        <f t="shared" si="176"/>
        <v>0</v>
      </c>
      <c r="I247" s="2130">
        <f t="shared" si="176"/>
        <v>0</v>
      </c>
      <c r="J247" s="385"/>
      <c r="K247" s="385"/>
      <c r="L247" s="385"/>
      <c r="M247" s="3346"/>
      <c r="N247" s="3346"/>
      <c r="O247" s="3471"/>
      <c r="P247" s="332"/>
    </row>
    <row r="248" spans="1:27" s="350" customFormat="1" ht="25.5" customHeight="1">
      <c r="A248" s="3432" t="s">
        <v>63</v>
      </c>
      <c r="B248" s="386" t="s">
        <v>350</v>
      </c>
      <c r="C248" s="387" t="s">
        <v>81</v>
      </c>
      <c r="D248" s="402"/>
      <c r="E248" s="401"/>
      <c r="F248" s="401"/>
      <c r="G248" s="401"/>
      <c r="H248" s="401"/>
      <c r="I248" s="401"/>
      <c r="J248" s="401"/>
      <c r="K248" s="401"/>
      <c r="L248" s="1881"/>
      <c r="M248" s="369"/>
      <c r="N248" s="369"/>
      <c r="O248" s="3428" t="s">
        <v>325</v>
      </c>
    </row>
    <row r="249" spans="1:27" s="350" customFormat="1">
      <c r="A249" s="3433"/>
      <c r="B249" s="82" t="s">
        <v>10</v>
      </c>
      <c r="C249" s="1950"/>
      <c r="D249" s="1962">
        <f>+D250</f>
        <v>2116724</v>
      </c>
      <c r="E249" s="1962">
        <f t="shared" ref="E249:N250" si="177">+E250</f>
        <v>2110900</v>
      </c>
      <c r="F249" s="1962">
        <f>+F250</f>
        <v>0</v>
      </c>
      <c r="G249" s="1962">
        <f>+G250</f>
        <v>5824</v>
      </c>
      <c r="H249" s="2118">
        <v>0</v>
      </c>
      <c r="I249" s="2118">
        <v>0</v>
      </c>
      <c r="J249" s="2118">
        <v>0</v>
      </c>
      <c r="K249" s="2118">
        <v>0</v>
      </c>
      <c r="L249" s="2118">
        <v>0</v>
      </c>
      <c r="M249" s="2119">
        <f t="shared" si="177"/>
        <v>5824</v>
      </c>
      <c r="N249" s="2119">
        <f t="shared" si="177"/>
        <v>5824</v>
      </c>
      <c r="O249" s="3467"/>
      <c r="P249" s="331"/>
    </row>
    <row r="250" spans="1:27" s="350" customFormat="1" ht="12" customHeight="1">
      <c r="A250" s="3433"/>
      <c r="B250" s="681" t="s">
        <v>24</v>
      </c>
      <c r="C250" s="3479" t="s">
        <v>156</v>
      </c>
      <c r="D250" s="1957">
        <f>+D251</f>
        <v>2116724</v>
      </c>
      <c r="E250" s="1957">
        <f t="shared" si="177"/>
        <v>2110900</v>
      </c>
      <c r="F250" s="1957">
        <f>+F251</f>
        <v>0</v>
      </c>
      <c r="G250" s="1957">
        <f>+G251</f>
        <v>5824</v>
      </c>
      <c r="H250" s="1958">
        <v>0</v>
      </c>
      <c r="I250" s="1958">
        <v>0</v>
      </c>
      <c r="J250" s="1958">
        <v>0</v>
      </c>
      <c r="K250" s="1958">
        <v>0</v>
      </c>
      <c r="L250" s="1958">
        <v>0</v>
      </c>
      <c r="M250" s="2132">
        <f t="shared" si="177"/>
        <v>5824</v>
      </c>
      <c r="N250" s="2132">
        <f t="shared" si="177"/>
        <v>5824</v>
      </c>
      <c r="O250" s="3467"/>
    </row>
    <row r="251" spans="1:27" s="350" customFormat="1" thickBot="1">
      <c r="A251" s="3434"/>
      <c r="B251" s="1583" t="s">
        <v>12</v>
      </c>
      <c r="C251" s="3435"/>
      <c r="D251" s="1016">
        <f>E251+F251+G251+H251+I251+J251+K251+L251</f>
        <v>2116724</v>
      </c>
      <c r="E251" s="1954">
        <f>2110900</f>
        <v>2110900</v>
      </c>
      <c r="F251" s="585">
        <f>5824-5824</f>
        <v>0</v>
      </c>
      <c r="G251" s="585">
        <v>5824</v>
      </c>
      <c r="H251" s="733">
        <v>0</v>
      </c>
      <c r="I251" s="733">
        <v>0</v>
      </c>
      <c r="J251" s="733">
        <v>0</v>
      </c>
      <c r="K251" s="733">
        <v>0</v>
      </c>
      <c r="L251" s="733">
        <v>0</v>
      </c>
      <c r="M251" s="1956">
        <f>SUM(F251:L251)</f>
        <v>5824</v>
      </c>
      <c r="N251" s="1956">
        <f>SUM(G251:L251)</f>
        <v>5824</v>
      </c>
      <c r="O251" s="3468"/>
    </row>
    <row r="252" spans="1:27" s="350" customFormat="1" ht="26.25" customHeight="1">
      <c r="A252" s="3476" t="s">
        <v>64</v>
      </c>
      <c r="B252" s="171" t="s">
        <v>414</v>
      </c>
      <c r="C252" s="387" t="s">
        <v>109</v>
      </c>
      <c r="D252" s="402"/>
      <c r="E252" s="401"/>
      <c r="F252" s="401"/>
      <c r="G252" s="401"/>
      <c r="H252" s="401"/>
      <c r="I252" s="401"/>
      <c r="J252" s="401"/>
      <c r="K252" s="401"/>
      <c r="L252" s="1881"/>
      <c r="M252" s="369"/>
      <c r="N252" s="369"/>
      <c r="O252" s="3428" t="s">
        <v>326</v>
      </c>
      <c r="P252" s="331"/>
    </row>
    <row r="253" spans="1:27" s="350" customFormat="1" ht="12">
      <c r="A253" s="3477"/>
      <c r="B253" s="715" t="s">
        <v>10</v>
      </c>
      <c r="C253" s="1950"/>
      <c r="D253" s="1962">
        <f>+D254</f>
        <v>51155510</v>
      </c>
      <c r="E253" s="1962">
        <f t="shared" ref="E253:N254" si="178">+E254</f>
        <v>26008965</v>
      </c>
      <c r="F253" s="1962">
        <f t="shared" si="178"/>
        <v>8835105</v>
      </c>
      <c r="G253" s="1962">
        <f t="shared" si="178"/>
        <v>8355951</v>
      </c>
      <c r="H253" s="1962">
        <f t="shared" si="178"/>
        <v>6955489</v>
      </c>
      <c r="I253" s="1962">
        <f t="shared" si="178"/>
        <v>1000000</v>
      </c>
      <c r="J253" s="2118">
        <f t="shared" si="178"/>
        <v>0</v>
      </c>
      <c r="K253" s="2118">
        <f t="shared" si="178"/>
        <v>0</v>
      </c>
      <c r="L253" s="2118">
        <f t="shared" si="178"/>
        <v>0</v>
      </c>
      <c r="M253" s="2133">
        <f t="shared" si="178"/>
        <v>25146545</v>
      </c>
      <c r="N253" s="2133">
        <f t="shared" si="178"/>
        <v>16311440</v>
      </c>
      <c r="O253" s="3467"/>
    </row>
    <row r="254" spans="1:27" s="350" customFormat="1" ht="12">
      <c r="A254" s="3477"/>
      <c r="B254" s="681" t="s">
        <v>24</v>
      </c>
      <c r="C254" s="3456" t="s">
        <v>149</v>
      </c>
      <c r="D254" s="2134">
        <f>+D255</f>
        <v>51155510</v>
      </c>
      <c r="E254" s="2099">
        <f t="shared" si="178"/>
        <v>26008965</v>
      </c>
      <c r="F254" s="2100">
        <f t="shared" si="178"/>
        <v>8835105</v>
      </c>
      <c r="G254" s="1970">
        <f t="shared" si="178"/>
        <v>8355951</v>
      </c>
      <c r="H254" s="1970">
        <f t="shared" si="178"/>
        <v>6955489</v>
      </c>
      <c r="I254" s="1970">
        <f t="shared" si="178"/>
        <v>1000000</v>
      </c>
      <c r="J254" s="2135">
        <f t="shared" si="178"/>
        <v>0</v>
      </c>
      <c r="K254" s="2135">
        <f t="shared" si="178"/>
        <v>0</v>
      </c>
      <c r="L254" s="2135">
        <f t="shared" si="178"/>
        <v>0</v>
      </c>
      <c r="M254" s="2136">
        <f t="shared" si="178"/>
        <v>25146545</v>
      </c>
      <c r="N254" s="2136">
        <f t="shared" si="178"/>
        <v>16311440</v>
      </c>
      <c r="O254" s="3467"/>
    </row>
    <row r="255" spans="1:27" s="350" customFormat="1" thickBot="1">
      <c r="A255" s="3478"/>
      <c r="B255" s="1584" t="s">
        <v>12</v>
      </c>
      <c r="C255" s="3474"/>
      <c r="D255" s="1008">
        <f>E255+F255+G255+H255+I255+J255+K255+L255</f>
        <v>51155510</v>
      </c>
      <c r="E255" s="2101">
        <f>20241982+5766983</f>
        <v>26008965</v>
      </c>
      <c r="F255" s="1585">
        <f>0+8835105</f>
        <v>8835105</v>
      </c>
      <c r="G255" s="1586">
        <f>0+7382305+973646</f>
        <v>8355951</v>
      </c>
      <c r="H255" s="1586">
        <f>5029421+1926068</f>
        <v>6955489</v>
      </c>
      <c r="I255" s="1586">
        <v>1000000</v>
      </c>
      <c r="J255" s="1587">
        <v>0</v>
      </c>
      <c r="K255" s="1587">
        <v>0</v>
      </c>
      <c r="L255" s="1587">
        <v>0</v>
      </c>
      <c r="M255" s="2088">
        <f>SUM(F255:L255)</f>
        <v>25146545</v>
      </c>
      <c r="N255" s="2088">
        <f>SUM(G255:L255)</f>
        <v>16311440</v>
      </c>
      <c r="O255" s="3475"/>
    </row>
    <row r="256" spans="1:27" s="350" customFormat="1" ht="45" hidden="1" customHeight="1">
      <c r="A256" s="3432" t="s">
        <v>65</v>
      </c>
      <c r="B256" s="171"/>
      <c r="C256" s="387" t="s">
        <v>109</v>
      </c>
      <c r="D256" s="188"/>
      <c r="E256" s="403"/>
      <c r="F256" s="403"/>
      <c r="G256" s="403"/>
      <c r="H256" s="403"/>
      <c r="I256" s="403"/>
      <c r="J256" s="403"/>
      <c r="K256" s="403"/>
      <c r="L256" s="2432"/>
      <c r="M256" s="2433"/>
      <c r="N256" s="2433"/>
      <c r="O256" s="3481"/>
      <c r="P256" s="331"/>
    </row>
    <row r="257" spans="1:15" s="350" customFormat="1" ht="12" hidden="1">
      <c r="A257" s="3433"/>
      <c r="B257" s="715" t="s">
        <v>10</v>
      </c>
      <c r="C257" s="1081"/>
      <c r="D257" s="737">
        <f>+D258</f>
        <v>0</v>
      </c>
      <c r="E257" s="737">
        <f t="shared" ref="E257:L257" si="179">+E258</f>
        <v>0</v>
      </c>
      <c r="F257" s="737">
        <f t="shared" si="179"/>
        <v>0</v>
      </c>
      <c r="G257" s="746">
        <f t="shared" si="179"/>
        <v>0</v>
      </c>
      <c r="H257" s="746">
        <f t="shared" si="179"/>
        <v>0</v>
      </c>
      <c r="I257" s="746">
        <f t="shared" si="179"/>
        <v>0</v>
      </c>
      <c r="J257" s="746">
        <f t="shared" si="179"/>
        <v>0</v>
      </c>
      <c r="K257" s="746">
        <f t="shared" si="179"/>
        <v>0</v>
      </c>
      <c r="L257" s="746">
        <f t="shared" si="179"/>
        <v>0</v>
      </c>
      <c r="M257" s="2434">
        <f>+M258</f>
        <v>0</v>
      </c>
      <c r="N257" s="2434">
        <f>+N258</f>
        <v>0</v>
      </c>
      <c r="O257" s="3274"/>
    </row>
    <row r="258" spans="1:15" s="350" customFormat="1" ht="12" hidden="1">
      <c r="A258" s="3433"/>
      <c r="B258" s="681" t="s">
        <v>24</v>
      </c>
      <c r="C258" s="3456"/>
      <c r="D258" s="1082">
        <f>+D259+D260</f>
        <v>0</v>
      </c>
      <c r="E258" s="1082">
        <f t="shared" ref="E258" si="180">+E259+E260</f>
        <v>0</v>
      </c>
      <c r="F258" s="1082">
        <f t="shared" ref="F258:N258" si="181">+F259+F260</f>
        <v>0</v>
      </c>
      <c r="G258" s="734">
        <f t="shared" si="181"/>
        <v>0</v>
      </c>
      <c r="H258" s="734">
        <f t="shared" si="181"/>
        <v>0</v>
      </c>
      <c r="I258" s="734">
        <f t="shared" si="181"/>
        <v>0</v>
      </c>
      <c r="J258" s="734">
        <f t="shared" si="181"/>
        <v>0</v>
      </c>
      <c r="K258" s="734">
        <f t="shared" si="181"/>
        <v>0</v>
      </c>
      <c r="L258" s="734">
        <f t="shared" si="181"/>
        <v>0</v>
      </c>
      <c r="M258" s="2435">
        <f t="shared" ref="M258" si="182">+M259+M260</f>
        <v>0</v>
      </c>
      <c r="N258" s="2435">
        <f t="shared" si="181"/>
        <v>0</v>
      </c>
      <c r="O258" s="3274"/>
    </row>
    <row r="259" spans="1:15" s="350" customFormat="1" ht="13.5" hidden="1" thickBot="1">
      <c r="A259" s="3434"/>
      <c r="B259" s="2436" t="s">
        <v>12</v>
      </c>
      <c r="C259" s="3480"/>
      <c r="D259" s="1008">
        <f>E259+F259+G259+H259+I259+J259+K259+L259</f>
        <v>0</v>
      </c>
      <c r="E259" s="2437">
        <v>0</v>
      </c>
      <c r="F259" s="2438"/>
      <c r="G259" s="2439">
        <v>0</v>
      </c>
      <c r="H259" s="2439">
        <v>0</v>
      </c>
      <c r="I259" s="2439">
        <v>0</v>
      </c>
      <c r="J259" s="2439">
        <v>0</v>
      </c>
      <c r="K259" s="2439">
        <v>0</v>
      </c>
      <c r="L259" s="2439">
        <v>0</v>
      </c>
      <c r="M259" s="2088">
        <f>SUM(F259:K259)</f>
        <v>0</v>
      </c>
      <c r="N259" s="2088">
        <f>SUM(G259:L259)</f>
        <v>0</v>
      </c>
      <c r="O259" s="3275"/>
    </row>
    <row r="260" spans="1:15" s="350" customFormat="1" ht="13.5" hidden="1" customHeight="1" thickBot="1">
      <c r="A260" s="1083"/>
      <c r="B260" s="2051" t="s">
        <v>14</v>
      </c>
      <c r="C260" s="1084"/>
      <c r="D260" s="1008">
        <f>E260+F260+G260+H260+I260+J260+K260+L260</f>
        <v>0</v>
      </c>
      <c r="E260" s="1086"/>
      <c r="F260" s="1087">
        <v>0</v>
      </c>
      <c r="G260" s="1087">
        <v>0</v>
      </c>
      <c r="H260" s="1087">
        <v>0</v>
      </c>
      <c r="I260" s="1087">
        <v>0</v>
      </c>
      <c r="J260" s="1087">
        <v>0</v>
      </c>
      <c r="K260" s="1087">
        <v>0</v>
      </c>
      <c r="L260" s="1087">
        <v>0</v>
      </c>
      <c r="M260" s="845">
        <f>SUM(E260:K260)</f>
        <v>0</v>
      </c>
      <c r="N260" s="845">
        <f>SUM(F260:L260)</f>
        <v>0</v>
      </c>
      <c r="O260" s="1471"/>
    </row>
    <row r="261" spans="1:15" s="2051" customFormat="1" ht="13.5" hidden="1" customHeight="1">
      <c r="A261" s="1083"/>
      <c r="B261" s="715" t="s">
        <v>22</v>
      </c>
      <c r="C261" s="1081"/>
      <c r="D261" s="737">
        <f>+D262</f>
        <v>0</v>
      </c>
      <c r="E261" s="737">
        <f t="shared" ref="E261:L261" si="183">+E262</f>
        <v>0</v>
      </c>
      <c r="F261" s="746">
        <f t="shared" si="183"/>
        <v>0</v>
      </c>
      <c r="G261" s="746">
        <f t="shared" si="183"/>
        <v>0</v>
      </c>
      <c r="H261" s="717">
        <f t="shared" si="183"/>
        <v>0</v>
      </c>
      <c r="I261" s="746">
        <f t="shared" si="183"/>
        <v>0</v>
      </c>
      <c r="J261" s="746">
        <f t="shared" si="183"/>
        <v>0</v>
      </c>
      <c r="K261" s="717">
        <f t="shared" si="183"/>
        <v>0</v>
      </c>
      <c r="L261" s="746">
        <f t="shared" si="183"/>
        <v>0</v>
      </c>
      <c r="M261" s="3417" t="s">
        <v>23</v>
      </c>
      <c r="N261" s="3417" t="s">
        <v>23</v>
      </c>
      <c r="O261" s="1471"/>
    </row>
    <row r="262" spans="1:15" s="2051" customFormat="1" ht="13.5" hidden="1" customHeight="1">
      <c r="A262" s="479"/>
      <c r="B262" s="681" t="s">
        <v>24</v>
      </c>
      <c r="C262" s="3456" t="s">
        <v>344</v>
      </c>
      <c r="D262" s="1082">
        <f t="shared" ref="D262:L262" si="184">+D263</f>
        <v>0</v>
      </c>
      <c r="E262" s="1082">
        <f t="shared" si="184"/>
        <v>0</v>
      </c>
      <c r="F262" s="734">
        <f t="shared" si="184"/>
        <v>0</v>
      </c>
      <c r="G262" s="734">
        <f t="shared" si="184"/>
        <v>0</v>
      </c>
      <c r="H262" s="750">
        <f t="shared" si="184"/>
        <v>0</v>
      </c>
      <c r="I262" s="751">
        <f t="shared" si="184"/>
        <v>0</v>
      </c>
      <c r="J262" s="734">
        <f t="shared" si="184"/>
        <v>0</v>
      </c>
      <c r="K262" s="750">
        <f t="shared" si="184"/>
        <v>0</v>
      </c>
      <c r="L262" s="751">
        <f t="shared" si="184"/>
        <v>0</v>
      </c>
      <c r="M262" s="3345"/>
      <c r="N262" s="3345"/>
      <c r="O262" s="1471"/>
    </row>
    <row r="263" spans="1:15" s="2051" customFormat="1" ht="22.5" hidden="1" customHeight="1" thickBot="1">
      <c r="A263" s="2837"/>
      <c r="B263" s="687" t="s">
        <v>14</v>
      </c>
      <c r="C263" s="3474"/>
      <c r="D263" s="1008">
        <f>E263+F263+G263+H263+I263+J263+K263+L263</f>
        <v>0</v>
      </c>
      <c r="E263" s="747">
        <v>0</v>
      </c>
      <c r="F263" s="752">
        <v>0</v>
      </c>
      <c r="G263" s="752">
        <v>0</v>
      </c>
      <c r="H263" s="753">
        <v>0</v>
      </c>
      <c r="I263" s="753">
        <v>0</v>
      </c>
      <c r="J263" s="752">
        <v>0</v>
      </c>
      <c r="K263" s="753">
        <v>0</v>
      </c>
      <c r="L263" s="753">
        <v>0</v>
      </c>
      <c r="M263" s="3346"/>
      <c r="N263" s="3346"/>
      <c r="O263" s="1472"/>
    </row>
    <row r="264" spans="1:15" ht="14.25" customHeight="1">
      <c r="A264" s="3458" t="s">
        <v>385</v>
      </c>
      <c r="B264" s="3458"/>
      <c r="C264" s="3458"/>
      <c r="D264" s="3458"/>
      <c r="E264" s="3458"/>
      <c r="F264" s="3458"/>
      <c r="G264" s="3458"/>
      <c r="H264" s="3458"/>
      <c r="I264" s="3458"/>
      <c r="J264" s="3458"/>
      <c r="K264" s="3458"/>
      <c r="L264" s="3458"/>
      <c r="M264" s="3458"/>
      <c r="N264" s="3458"/>
      <c r="O264" s="3458"/>
    </row>
    <row r="265" spans="1:15" ht="14.25" customHeight="1">
      <c r="A265" s="3458" t="s">
        <v>518</v>
      </c>
      <c r="B265" s="3458"/>
      <c r="C265" s="3458"/>
      <c r="D265" s="3458"/>
      <c r="E265" s="3458"/>
      <c r="F265" s="3458"/>
      <c r="G265" s="3458"/>
      <c r="H265" s="3458"/>
      <c r="I265" s="3458"/>
      <c r="J265" s="3458"/>
      <c r="K265" s="3458"/>
      <c r="L265" s="3458"/>
      <c r="M265" s="3458"/>
      <c r="N265" s="3458"/>
      <c r="O265" s="3458"/>
    </row>
    <row r="266" spans="1:15" ht="12.75" customHeight="1">
      <c r="A266" s="3458" t="s">
        <v>519</v>
      </c>
      <c r="B266" s="3458"/>
      <c r="C266" s="3458"/>
      <c r="D266" s="3458"/>
      <c r="E266" s="3458"/>
      <c r="F266" s="3458"/>
      <c r="G266" s="3458"/>
      <c r="H266" s="3458"/>
      <c r="I266" s="3458"/>
      <c r="J266" s="3458"/>
      <c r="K266" s="3458"/>
      <c r="L266" s="3458"/>
      <c r="M266" s="3458"/>
      <c r="N266" s="3458"/>
      <c r="O266" s="3458"/>
    </row>
    <row r="267" spans="1:15" ht="13.5" hidden="1" customHeight="1">
      <c r="A267" s="2841"/>
      <c r="B267" s="1547" t="s">
        <v>408</v>
      </c>
      <c r="C267" s="1538"/>
      <c r="D267" s="1538"/>
      <c r="E267" s="1538"/>
      <c r="F267" s="1538"/>
      <c r="G267" s="1538"/>
      <c r="H267" s="1538"/>
      <c r="I267" s="1538"/>
      <c r="J267" s="1538"/>
      <c r="K267" s="1538"/>
      <c r="L267" s="1538"/>
      <c r="M267" s="2841"/>
      <c r="N267" s="2841"/>
      <c r="O267" s="2841"/>
    </row>
    <row r="268" spans="1:15" ht="13.5" hidden="1" customHeight="1">
      <c r="A268" s="2841"/>
      <c r="B268" s="1499" t="s">
        <v>409</v>
      </c>
      <c r="C268" s="1538"/>
      <c r="D268" s="1544">
        <f t="shared" ref="D268:L268" si="185">+D220+D115+D77+D54+D35</f>
        <v>201247069</v>
      </c>
      <c r="E268" s="1544">
        <f t="shared" si="185"/>
        <v>17290903</v>
      </c>
      <c r="F268" s="1544">
        <f t="shared" si="185"/>
        <v>27638761</v>
      </c>
      <c r="G268" s="1544">
        <f t="shared" si="185"/>
        <v>33551175</v>
      </c>
      <c r="H268" s="1544">
        <f t="shared" si="185"/>
        <v>25195301</v>
      </c>
      <c r="I268" s="1544">
        <f t="shared" si="185"/>
        <v>24606201</v>
      </c>
      <c r="J268" s="1544">
        <f t="shared" si="185"/>
        <v>22559931</v>
      </c>
      <c r="K268" s="1544">
        <f t="shared" si="185"/>
        <v>22774129</v>
      </c>
      <c r="L268" s="1544">
        <f t="shared" si="185"/>
        <v>22602514</v>
      </c>
      <c r="M268" s="2841"/>
      <c r="N268" s="2841"/>
      <c r="O268" s="2841"/>
    </row>
    <row r="269" spans="1:15" ht="13.5" hidden="1" customHeight="1">
      <c r="A269" s="2841"/>
      <c r="B269" s="1499" t="s">
        <v>410</v>
      </c>
      <c r="C269" s="1538"/>
      <c r="D269" s="1544">
        <f t="shared" ref="D269:L269" si="186">+D66+D88+D134+D147+D231</f>
        <v>71373063</v>
      </c>
      <c r="E269" s="1544">
        <f t="shared" si="186"/>
        <v>506550</v>
      </c>
      <c r="F269" s="1544">
        <f t="shared" si="186"/>
        <v>1671883</v>
      </c>
      <c r="G269" s="1544">
        <f t="shared" si="186"/>
        <v>9894041</v>
      </c>
      <c r="H269" s="1544">
        <f t="shared" si="186"/>
        <v>37808059</v>
      </c>
      <c r="I269" s="1544">
        <f t="shared" si="186"/>
        <v>20996440</v>
      </c>
      <c r="J269" s="1544">
        <f t="shared" si="186"/>
        <v>161500</v>
      </c>
      <c r="K269" s="1544">
        <f t="shared" si="186"/>
        <v>161500</v>
      </c>
      <c r="L269" s="1544">
        <f t="shared" si="186"/>
        <v>161500</v>
      </c>
      <c r="M269" s="2841"/>
      <c r="N269" s="2841"/>
      <c r="O269" s="2841"/>
    </row>
    <row r="270" spans="1:15" ht="13.5" hidden="1" customHeight="1">
      <c r="A270" s="2841"/>
      <c r="B270" s="1499" t="s">
        <v>411</v>
      </c>
      <c r="C270" s="1538"/>
      <c r="D270" s="1545">
        <f>D268+D269</f>
        <v>272620132</v>
      </c>
      <c r="E270" s="1545">
        <f t="shared" ref="E270:L270" si="187">E268+E269</f>
        <v>17797453</v>
      </c>
      <c r="F270" s="1545">
        <f>F268+F269</f>
        <v>29310644</v>
      </c>
      <c r="G270" s="1545">
        <f t="shared" si="187"/>
        <v>43445216</v>
      </c>
      <c r="H270" s="1545">
        <f t="shared" si="187"/>
        <v>63003360</v>
      </c>
      <c r="I270" s="1545">
        <f t="shared" si="187"/>
        <v>45602641</v>
      </c>
      <c r="J270" s="1545">
        <f t="shared" si="187"/>
        <v>22721431</v>
      </c>
      <c r="K270" s="1545">
        <f t="shared" si="187"/>
        <v>22935629</v>
      </c>
      <c r="L270" s="1545">
        <f t="shared" si="187"/>
        <v>22764014</v>
      </c>
      <c r="M270" s="2841"/>
      <c r="N270" s="2841"/>
      <c r="O270" s="2841"/>
    </row>
    <row r="271" spans="1:15" ht="13.5" hidden="1" customHeight="1">
      <c r="A271" s="2841"/>
      <c r="B271" s="1541" t="s">
        <v>42</v>
      </c>
      <c r="C271" s="1543"/>
      <c r="D271" s="1546">
        <f t="shared" ref="D271:L271" si="188">D20-D270</f>
        <v>0</v>
      </c>
      <c r="E271" s="1546">
        <f t="shared" si="188"/>
        <v>0</v>
      </c>
      <c r="F271" s="1546">
        <f t="shared" si="188"/>
        <v>0</v>
      </c>
      <c r="G271" s="1546">
        <f t="shared" si="188"/>
        <v>0</v>
      </c>
      <c r="H271" s="1546">
        <f t="shared" si="188"/>
        <v>0</v>
      </c>
      <c r="I271" s="1546">
        <f t="shared" si="188"/>
        <v>0</v>
      </c>
      <c r="J271" s="1546">
        <f t="shared" si="188"/>
        <v>0</v>
      </c>
      <c r="K271" s="1546">
        <f t="shared" si="188"/>
        <v>0</v>
      </c>
      <c r="L271" s="1546">
        <f t="shared" si="188"/>
        <v>0</v>
      </c>
      <c r="M271" s="2841"/>
      <c r="N271" s="2841"/>
      <c r="O271" s="2841"/>
    </row>
    <row r="272" spans="1:15" ht="31.5" hidden="1" customHeight="1">
      <c r="A272" s="2841"/>
      <c r="B272" s="2841"/>
      <c r="C272" s="2841"/>
      <c r="D272" s="2841"/>
      <c r="E272" s="2841"/>
      <c r="F272" s="2841"/>
      <c r="G272" s="2841"/>
      <c r="H272" s="2841"/>
      <c r="I272" s="2841"/>
      <c r="J272" s="2841"/>
      <c r="K272" s="2841"/>
      <c r="L272" s="2841"/>
      <c r="M272" s="2841"/>
      <c r="N272" s="2841"/>
      <c r="O272" s="2841"/>
    </row>
    <row r="273" spans="1:15" ht="31.5" hidden="1" customHeight="1">
      <c r="A273" s="2841"/>
      <c r="B273" s="2841"/>
      <c r="C273" s="2841"/>
      <c r="D273" s="2841"/>
      <c r="E273" s="2841"/>
      <c r="F273" s="2841"/>
      <c r="G273" s="2841"/>
      <c r="H273" s="2841"/>
      <c r="I273" s="2841"/>
      <c r="J273" s="2841"/>
      <c r="K273" s="2841"/>
      <c r="L273" s="2841"/>
      <c r="M273" s="2841"/>
      <c r="N273" s="2841"/>
      <c r="O273" s="2841"/>
    </row>
    <row r="274" spans="1:15" hidden="1">
      <c r="B274" s="2840" t="s">
        <v>42</v>
      </c>
    </row>
    <row r="275" spans="1:15" hidden="1">
      <c r="B275" s="3466" t="s">
        <v>249</v>
      </c>
      <c r="C275" s="320" t="s">
        <v>109</v>
      </c>
      <c r="D275" s="323" t="e">
        <f>D115-#REF!-#REF!-F115-G115-H115-I115-J115-K115-L115</f>
        <v>#REF!</v>
      </c>
      <c r="E275" s="320" t="s">
        <v>109</v>
      </c>
    </row>
    <row r="276" spans="1:15" hidden="1">
      <c r="B276" s="3466"/>
      <c r="C276" s="320" t="s">
        <v>81</v>
      </c>
      <c r="D276" s="323" t="e">
        <f>D134-#REF!-#REF!-F134-G134-H134-I134-J134-K134-L134</f>
        <v>#REF!</v>
      </c>
      <c r="E276" s="320" t="s">
        <v>81</v>
      </c>
    </row>
    <row r="277" spans="1:15" hidden="1">
      <c r="B277" s="3466"/>
      <c r="D277" s="390" t="e">
        <f>D275+D276</f>
        <v>#REF!</v>
      </c>
    </row>
    <row r="278" spans="1:15" hidden="1"/>
    <row r="279" spans="1:15" hidden="1">
      <c r="B279" s="391" t="s">
        <v>556</v>
      </c>
      <c r="C279" s="320" t="s">
        <v>109</v>
      </c>
      <c r="D279" s="323" t="e">
        <f>+D105-#REF!-#REF!-F105-G105-H105-I105-J105-K105-L105</f>
        <v>#REF!</v>
      </c>
    </row>
    <row r="280" spans="1:15" hidden="1">
      <c r="C280" s="320" t="s">
        <v>81</v>
      </c>
      <c r="D280" s="323" t="e">
        <f>D124-#REF!-#REF!-F124-G124-H124-I124-J124-K124-L124</f>
        <v>#REF!</v>
      </c>
    </row>
    <row r="281" spans="1:15" hidden="1">
      <c r="D281" s="390" t="e">
        <f>D279+D280</f>
        <v>#REF!</v>
      </c>
    </row>
    <row r="282" spans="1:15" hidden="1"/>
    <row r="283" spans="1:15" hidden="1">
      <c r="B283" s="391" t="s">
        <v>251</v>
      </c>
      <c r="D283" s="390" t="e">
        <f>+D96-#REF!-#REF!-F96-G96-H96-I96-J96-K96-L96</f>
        <v>#REF!</v>
      </c>
    </row>
    <row r="284" spans="1:15" hidden="1"/>
    <row r="285" spans="1:15" hidden="1">
      <c r="B285" s="320" t="s">
        <v>250</v>
      </c>
      <c r="D285" s="390" t="e">
        <f>D281+D283</f>
        <v>#REF!</v>
      </c>
    </row>
    <row r="286" spans="1:15" hidden="1">
      <c r="E286" s="323"/>
    </row>
    <row r="287" spans="1:15" hidden="1">
      <c r="B287" s="320" t="s">
        <v>334</v>
      </c>
      <c r="D287" s="323">
        <f t="shared" ref="D287:L287" si="189">+D96+D106</f>
        <v>218076464</v>
      </c>
      <c r="E287" s="323">
        <f t="shared" si="189"/>
        <v>23982839</v>
      </c>
      <c r="F287" s="323">
        <f t="shared" si="189"/>
        <v>29167379</v>
      </c>
      <c r="G287" s="323">
        <f t="shared" si="189"/>
        <v>31621171</v>
      </c>
      <c r="H287" s="323">
        <f t="shared" si="189"/>
        <v>27963251</v>
      </c>
      <c r="I287" s="323">
        <f t="shared" si="189"/>
        <v>27581261</v>
      </c>
      <c r="J287" s="323">
        <f t="shared" si="189"/>
        <v>26987259</v>
      </c>
      <c r="K287" s="323">
        <f t="shared" si="189"/>
        <v>25481869</v>
      </c>
      <c r="L287" s="323">
        <f t="shared" si="189"/>
        <v>25291435</v>
      </c>
      <c r="M287" s="323">
        <f>SUM(D287:K287)-C287</f>
        <v>410861493</v>
      </c>
      <c r="N287" s="323">
        <f>SUM(E287:L287)-D287</f>
        <v>0</v>
      </c>
    </row>
    <row r="288" spans="1:15" hidden="1">
      <c r="B288" s="320" t="s">
        <v>335</v>
      </c>
      <c r="D288" s="323">
        <f t="shared" ref="D288:L288" si="190">+D125</f>
        <v>2060891</v>
      </c>
      <c r="E288" s="323">
        <f t="shared" si="190"/>
        <v>357504</v>
      </c>
      <c r="F288" s="323">
        <f t="shared" si="190"/>
        <v>471058</v>
      </c>
      <c r="G288" s="323">
        <f t="shared" si="190"/>
        <v>369922</v>
      </c>
      <c r="H288" s="323">
        <f t="shared" si="190"/>
        <v>216407</v>
      </c>
      <c r="I288" s="323">
        <f t="shared" si="190"/>
        <v>161500</v>
      </c>
      <c r="J288" s="323">
        <f t="shared" si="190"/>
        <v>161500</v>
      </c>
      <c r="K288" s="323">
        <f t="shared" si="190"/>
        <v>161500</v>
      </c>
      <c r="L288" s="323">
        <f t="shared" si="190"/>
        <v>161500</v>
      </c>
      <c r="M288" s="323">
        <f>SUM(D288:K288)-C288</f>
        <v>3960282</v>
      </c>
      <c r="N288" s="323">
        <f>SUM(E288:L288)-D288</f>
        <v>0</v>
      </c>
    </row>
    <row r="289" spans="2:14" hidden="1"/>
    <row r="290" spans="2:14" hidden="1">
      <c r="B290" s="320" t="s">
        <v>333</v>
      </c>
      <c r="D290" s="323">
        <f>+D115+'Tab. 6B Polit społ i rozwój prz'!D91+D134+'Tab. 6B Polit społ i rozwój prz'!D103</f>
        <v>249298062</v>
      </c>
      <c r="F290" s="323">
        <f>+F115+'Tab. 6B Polit społ i rozwój prz'!F91+F134+'Tab. 6B Polit społ i rozwój prz'!F103</f>
        <v>33723004</v>
      </c>
      <c r="G290" s="323">
        <f>+G115+'Tab. 6B Polit społ i rozwój prz'!G91+G134+'Tab. 6B Polit społ i rozwój prz'!G103</f>
        <v>35642579</v>
      </c>
      <c r="H290" s="323">
        <f>+H115+'Tab. 6B Polit społ i rozwój prz'!H91+H134+'Tab. 6B Polit społ i rozwój prz'!H103</f>
        <v>31599603</v>
      </c>
      <c r="I290" s="323">
        <f>+I115+'Tab. 6B Polit społ i rozwój prz'!I91+I134+'Tab. 6B Polit społ i rozwój prz'!I103</f>
        <v>31080049</v>
      </c>
      <c r="J290" s="323">
        <f>+J115+'Tab. 6B Polit społ i rozwój prz'!J91+J134+'Tab. 6B Polit społ i rozwój prz'!J103</f>
        <v>30471862</v>
      </c>
      <c r="K290" s="323">
        <f>+K115+'Tab. 6B Polit społ i rozwój prz'!K91+K134+'Tab. 6B Polit społ i rozwój prz'!K103</f>
        <v>30200542</v>
      </c>
      <c r="L290" s="323">
        <f>+L115+'Tab. 6B Polit społ i rozwój prz'!L91+L134+'Tab. 6B Polit społ i rozwój prz'!L103</f>
        <v>29343698</v>
      </c>
      <c r="M290" s="323">
        <f>SUM(D290:K290)-C290</f>
        <v>442015701</v>
      </c>
      <c r="N290" s="323">
        <f>SUM(E290:L290)-D290</f>
        <v>-27236725</v>
      </c>
    </row>
    <row r="291" spans="2:14" hidden="1">
      <c r="B291" s="320" t="s">
        <v>332</v>
      </c>
      <c r="D291" s="323">
        <f>+D94+D119+'Tab. 6B Polit społ i rozwój prz'!D85+'Tab. 6B Polit społ i rozwój prz'!D97</f>
        <v>296468308</v>
      </c>
      <c r="E291" s="323">
        <f>+E94+E119+'Tab. 6B Polit społ i rozwój prz'!E85+'Tab. 6B Polit społ i rozwój prz'!E97</f>
        <v>33412726</v>
      </c>
      <c r="F291" s="323">
        <f>+F94+F119+'Tab. 6B Polit społ i rozwój prz'!F85+'Tab. 6B Polit społ i rozwój prz'!F97</f>
        <v>40057400</v>
      </c>
      <c r="G291" s="323">
        <f>+G94+G119+'Tab. 6B Polit społ i rozwój prz'!G85+'Tab. 6B Polit społ i rozwój prz'!G97</f>
        <v>42449426</v>
      </c>
      <c r="H291" s="323">
        <f>+H94+H119+'Tab. 6B Polit społ i rozwój prz'!H85+'Tab. 6B Polit społ i rozwój prz'!H97</f>
        <v>37950034</v>
      </c>
      <c r="I291" s="323">
        <f>+I94+I119+'Tab. 6B Polit społ i rozwój prz'!I85+'Tab. 6B Polit społ i rozwój prz'!I97</f>
        <v>37521501</v>
      </c>
      <c r="J291" s="323">
        <f>+J94+J119+'Tab. 6B Polit społ i rozwój prz'!J85+'Tab. 6B Polit społ i rozwój prz'!J97</f>
        <v>36810053</v>
      </c>
      <c r="K291" s="323">
        <f>+K94+K119+'Tab. 6B Polit społ i rozwój prz'!K85+'Tab. 6B Polit społ i rozwój prz'!K97</f>
        <v>34584662</v>
      </c>
      <c r="L291" s="323">
        <f>+L94+L119+'Tab. 6B Polit społ i rozwój prz'!L85+'Tab. 6B Polit społ i rozwój prz'!L97</f>
        <v>33682506</v>
      </c>
      <c r="M291" s="323">
        <f>SUM(D291:K291)-C291</f>
        <v>559254110</v>
      </c>
      <c r="N291" s="323">
        <f>SUM(E291:L291)-D291</f>
        <v>0</v>
      </c>
    </row>
    <row r="292" spans="2:14" hidden="1"/>
    <row r="293" spans="2:14" hidden="1"/>
    <row r="294" spans="2:14" hidden="1"/>
    <row r="295" spans="2:14" hidden="1"/>
    <row r="296" spans="2:14" hidden="1">
      <c r="B296" s="320" t="s">
        <v>290</v>
      </c>
      <c r="C296" s="320" t="s">
        <v>288</v>
      </c>
      <c r="D296" s="323">
        <f>+D210+D176</f>
        <v>18000000</v>
      </c>
      <c r="F296" s="323">
        <f t="shared" ref="F296:K296" si="191">+F210+F176</f>
        <v>1083430</v>
      </c>
      <c r="G296" s="323">
        <f t="shared" si="191"/>
        <v>5294849</v>
      </c>
      <c r="H296" s="323">
        <f t="shared" si="191"/>
        <v>11261344</v>
      </c>
      <c r="I296" s="323">
        <f t="shared" si="191"/>
        <v>0</v>
      </c>
      <c r="J296" s="323">
        <f t="shared" si="191"/>
        <v>0</v>
      </c>
      <c r="K296" s="323">
        <f t="shared" si="191"/>
        <v>0</v>
      </c>
      <c r="M296" s="323" t="e">
        <f t="shared" ref="M296:N299" si="192">SUM(D296:K296)-C296</f>
        <v>#VALUE!</v>
      </c>
      <c r="N296" s="323">
        <f t="shared" si="192"/>
        <v>-360377</v>
      </c>
    </row>
    <row r="297" spans="2:14" hidden="1">
      <c r="C297" s="320" t="s">
        <v>289</v>
      </c>
      <c r="D297" s="323">
        <f>+D168+D195</f>
        <v>0</v>
      </c>
      <c r="F297" s="323">
        <f t="shared" ref="F297:K297" si="193">+F168+F195</f>
        <v>0</v>
      </c>
      <c r="G297" s="323">
        <f t="shared" si="193"/>
        <v>0</v>
      </c>
      <c r="H297" s="323">
        <f t="shared" si="193"/>
        <v>0</v>
      </c>
      <c r="I297" s="323">
        <f t="shared" si="193"/>
        <v>0</v>
      </c>
      <c r="J297" s="323">
        <f t="shared" si="193"/>
        <v>0</v>
      </c>
      <c r="K297" s="323">
        <f t="shared" si="193"/>
        <v>0</v>
      </c>
      <c r="M297" s="323" t="e">
        <f t="shared" si="192"/>
        <v>#VALUE!</v>
      </c>
      <c r="N297" s="323">
        <f t="shared" si="192"/>
        <v>0</v>
      </c>
    </row>
    <row r="298" spans="2:14" hidden="1">
      <c r="D298" s="323">
        <f>SUM(D296:D297)</f>
        <v>18000000</v>
      </c>
      <c r="E298" s="323">
        <f t="shared" ref="E298:K298" si="194">SUM(E296:E297)</f>
        <v>0</v>
      </c>
      <c r="F298" s="323">
        <f t="shared" si="194"/>
        <v>1083430</v>
      </c>
      <c r="G298" s="323">
        <f t="shared" si="194"/>
        <v>5294849</v>
      </c>
      <c r="H298" s="323">
        <f t="shared" si="194"/>
        <v>11261344</v>
      </c>
      <c r="I298" s="323">
        <f t="shared" si="194"/>
        <v>0</v>
      </c>
      <c r="J298" s="323">
        <f t="shared" si="194"/>
        <v>0</v>
      </c>
      <c r="K298" s="323">
        <f t="shared" si="194"/>
        <v>0</v>
      </c>
      <c r="M298" s="323">
        <f t="shared" si="192"/>
        <v>35639623</v>
      </c>
      <c r="N298" s="323">
        <f t="shared" si="192"/>
        <v>-360377</v>
      </c>
    </row>
    <row r="299" spans="2:14" hidden="1">
      <c r="B299" s="320" t="s">
        <v>336</v>
      </c>
      <c r="D299" s="323">
        <f t="shared" ref="D299:K299" si="195">D144</f>
        <v>18000000</v>
      </c>
      <c r="E299" s="323">
        <f t="shared" si="195"/>
        <v>360377</v>
      </c>
      <c r="F299" s="323">
        <f t="shared" si="195"/>
        <v>1083430</v>
      </c>
      <c r="G299" s="323">
        <f t="shared" si="195"/>
        <v>5294849</v>
      </c>
      <c r="H299" s="323">
        <f t="shared" si="195"/>
        <v>11261344</v>
      </c>
      <c r="I299" s="323">
        <f t="shared" si="195"/>
        <v>0</v>
      </c>
      <c r="J299" s="323">
        <f t="shared" si="195"/>
        <v>0</v>
      </c>
      <c r="K299" s="323">
        <f t="shared" si="195"/>
        <v>0</v>
      </c>
      <c r="M299" s="323">
        <f t="shared" si="192"/>
        <v>36000000</v>
      </c>
      <c r="N299" s="323">
        <f t="shared" si="192"/>
        <v>0</v>
      </c>
    </row>
    <row r="300" spans="2:14" hidden="1"/>
    <row r="301" spans="2:14" hidden="1">
      <c r="B301" s="320" t="s">
        <v>337</v>
      </c>
      <c r="D301" s="323">
        <f>+D290+D298</f>
        <v>267298062</v>
      </c>
      <c r="E301" s="323">
        <f t="shared" ref="E301:L301" si="196">+E290+E298</f>
        <v>0</v>
      </c>
      <c r="F301" s="323">
        <f t="shared" si="196"/>
        <v>34806434</v>
      </c>
      <c r="G301" s="323">
        <f t="shared" si="196"/>
        <v>40937428</v>
      </c>
      <c r="H301" s="323">
        <f t="shared" si="196"/>
        <v>42860947</v>
      </c>
      <c r="I301" s="323">
        <f t="shared" si="196"/>
        <v>31080049</v>
      </c>
      <c r="J301" s="323">
        <f t="shared" si="196"/>
        <v>30471862</v>
      </c>
      <c r="K301" s="323">
        <f t="shared" si="196"/>
        <v>30200542</v>
      </c>
      <c r="L301" s="323">
        <f t="shared" si="196"/>
        <v>29343698</v>
      </c>
      <c r="M301" s="323">
        <f>SUM(D301:K301)-C301</f>
        <v>477655324</v>
      </c>
      <c r="N301" s="323">
        <f>SUM(E301:L301)-D301</f>
        <v>-27597102</v>
      </c>
    </row>
    <row r="302" spans="2:14" hidden="1">
      <c r="B302" s="320" t="s">
        <v>338</v>
      </c>
      <c r="D302" s="323">
        <f>+D291+D299</f>
        <v>314468308</v>
      </c>
      <c r="E302" s="323">
        <f t="shared" ref="E302:L302" si="197">+E291+E299</f>
        <v>33773103</v>
      </c>
      <c r="F302" s="323">
        <f t="shared" si="197"/>
        <v>41140830</v>
      </c>
      <c r="G302" s="323">
        <f t="shared" si="197"/>
        <v>47744275</v>
      </c>
      <c r="H302" s="323">
        <f t="shared" si="197"/>
        <v>49211378</v>
      </c>
      <c r="I302" s="323">
        <f t="shared" si="197"/>
        <v>37521501</v>
      </c>
      <c r="J302" s="323">
        <f t="shared" si="197"/>
        <v>36810053</v>
      </c>
      <c r="K302" s="323">
        <f t="shared" si="197"/>
        <v>34584662</v>
      </c>
      <c r="L302" s="323">
        <f t="shared" si="197"/>
        <v>33682506</v>
      </c>
      <c r="M302" s="323">
        <f>SUM(D302:K302)-C302</f>
        <v>595254110</v>
      </c>
      <c r="N302" s="323">
        <f>SUM(E302:L302)-D302</f>
        <v>0</v>
      </c>
    </row>
    <row r="303" spans="2:14" hidden="1"/>
    <row r="304" spans="2:1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540" spans="1:15" ht="13.5" thickBot="1"/>
    <row r="541" spans="1:15" ht="33.75">
      <c r="A541" s="392"/>
      <c r="B541" s="393" t="s">
        <v>69</v>
      </c>
      <c r="C541" s="393"/>
      <c r="D541" s="394"/>
      <c r="E541" s="394"/>
      <c r="F541" s="394"/>
      <c r="G541" s="394"/>
      <c r="H541" s="394"/>
      <c r="I541" s="394"/>
      <c r="J541" s="394"/>
      <c r="K541" s="394"/>
      <c r="L541" s="394"/>
      <c r="M541" s="394"/>
      <c r="N541" s="394"/>
      <c r="O541" s="395"/>
    </row>
    <row r="542" spans="1:15">
      <c r="A542" s="396"/>
      <c r="O542" s="397"/>
    </row>
    <row r="543" spans="1:15">
      <c r="A543" s="396"/>
      <c r="O543" s="397"/>
    </row>
    <row r="544" spans="1:15">
      <c r="A544" s="396"/>
      <c r="O544" s="397"/>
    </row>
    <row r="545" spans="1:15">
      <c r="A545" s="396"/>
      <c r="O545" s="397"/>
    </row>
    <row r="546" spans="1:15">
      <c r="A546" s="396"/>
      <c r="O546" s="397"/>
    </row>
    <row r="547" spans="1:15">
      <c r="A547" s="396"/>
      <c r="O547" s="397"/>
    </row>
    <row r="548" spans="1:15">
      <c r="A548" s="396"/>
      <c r="O548" s="397"/>
    </row>
    <row r="549" spans="1:15">
      <c r="A549" s="396"/>
      <c r="O549" s="397"/>
    </row>
    <row r="550" spans="1:15">
      <c r="A550" s="396"/>
      <c r="O550" s="397"/>
    </row>
    <row r="551" spans="1:15">
      <c r="A551" s="396"/>
      <c r="O551" s="397"/>
    </row>
    <row r="552" spans="1:15" ht="13.5" thickBot="1">
      <c r="A552" s="398"/>
      <c r="B552" s="399"/>
      <c r="C552" s="399"/>
      <c r="D552" s="399"/>
      <c r="E552" s="399"/>
      <c r="F552" s="399"/>
      <c r="G552" s="399"/>
      <c r="H552" s="399"/>
      <c r="I552" s="399"/>
      <c r="J552" s="399"/>
      <c r="K552" s="399"/>
      <c r="L552" s="399"/>
      <c r="M552" s="399"/>
      <c r="N552" s="399"/>
      <c r="O552" s="400"/>
    </row>
  </sheetData>
  <mergeCells count="117">
    <mergeCell ref="O212:O224"/>
    <mergeCell ref="C214:C219"/>
    <mergeCell ref="N220:N224"/>
    <mergeCell ref="C221:C224"/>
    <mergeCell ref="C206:C209"/>
    <mergeCell ref="C193:C194"/>
    <mergeCell ref="N192:N194"/>
    <mergeCell ref="C171:C177"/>
    <mergeCell ref="C189:C191"/>
    <mergeCell ref="C198:C204"/>
    <mergeCell ref="C181:C182"/>
    <mergeCell ref="B275:B277"/>
    <mergeCell ref="A264:O264"/>
    <mergeCell ref="A248:A251"/>
    <mergeCell ref="O248:O251"/>
    <mergeCell ref="O238:O247"/>
    <mergeCell ref="C242:C244"/>
    <mergeCell ref="C246:C247"/>
    <mergeCell ref="C262:C263"/>
    <mergeCell ref="N261:N263"/>
    <mergeCell ref="O252:O255"/>
    <mergeCell ref="C254:C255"/>
    <mergeCell ref="A252:A255"/>
    <mergeCell ref="C250:C251"/>
    <mergeCell ref="A256:A259"/>
    <mergeCell ref="C258:C259"/>
    <mergeCell ref="O256:O259"/>
    <mergeCell ref="M261:M263"/>
    <mergeCell ref="A265:O265"/>
    <mergeCell ref="C73:C76"/>
    <mergeCell ref="C78:C81"/>
    <mergeCell ref="A71:A81"/>
    <mergeCell ref="M88:M92"/>
    <mergeCell ref="A266:O266"/>
    <mergeCell ref="A5:O5"/>
    <mergeCell ref="B6:B7"/>
    <mergeCell ref="C6:C7"/>
    <mergeCell ref="D6:D7"/>
    <mergeCell ref="O6:O7"/>
    <mergeCell ref="N6:N7"/>
    <mergeCell ref="N20:N25"/>
    <mergeCell ref="N35:N37"/>
    <mergeCell ref="G6:L6"/>
    <mergeCell ref="F6:F7"/>
    <mergeCell ref="E6:E7"/>
    <mergeCell ref="A82:A92"/>
    <mergeCell ref="O82:O92"/>
    <mergeCell ref="C84:C87"/>
    <mergeCell ref="C89:C92"/>
    <mergeCell ref="C166:C168"/>
    <mergeCell ref="C157:C162"/>
    <mergeCell ref="O225:O235"/>
    <mergeCell ref="C227:C230"/>
    <mergeCell ref="A26:A37"/>
    <mergeCell ref="O26:O37"/>
    <mergeCell ref="C28:C31"/>
    <mergeCell ref="C36:C37"/>
    <mergeCell ref="A59:A70"/>
    <mergeCell ref="O59:O70"/>
    <mergeCell ref="C61:C65"/>
    <mergeCell ref="C67:C70"/>
    <mergeCell ref="O38:O58"/>
    <mergeCell ref="C40:C50"/>
    <mergeCell ref="N54:N58"/>
    <mergeCell ref="C55:C58"/>
    <mergeCell ref="A38:A58"/>
    <mergeCell ref="A196:A208"/>
    <mergeCell ref="A212:A224"/>
    <mergeCell ref="A225:A235"/>
    <mergeCell ref="N245:N247"/>
    <mergeCell ref="C139:C146"/>
    <mergeCell ref="C164:C165"/>
    <mergeCell ref="N178:N184"/>
    <mergeCell ref="N163:N168"/>
    <mergeCell ref="A137:A151"/>
    <mergeCell ref="A155:A167"/>
    <mergeCell ref="C232:C235"/>
    <mergeCell ref="A169:A182"/>
    <mergeCell ref="A185:A194"/>
    <mergeCell ref="N205:N211"/>
    <mergeCell ref="C179:C180"/>
    <mergeCell ref="C187:C188"/>
    <mergeCell ref="N231:N235"/>
    <mergeCell ref="M220:M224"/>
    <mergeCell ref="M231:M235"/>
    <mergeCell ref="M245:M247"/>
    <mergeCell ref="M163:M168"/>
    <mergeCell ref="M178:M184"/>
    <mergeCell ref="M192:M194"/>
    <mergeCell ref="M205:M211"/>
    <mergeCell ref="A93:A117"/>
    <mergeCell ref="A118:A136"/>
    <mergeCell ref="C135:C136"/>
    <mergeCell ref="C120:C125"/>
    <mergeCell ref="C116:C117"/>
    <mergeCell ref="C95:C106"/>
    <mergeCell ref="O118:O136"/>
    <mergeCell ref="N134:N136"/>
    <mergeCell ref="C148:C151"/>
    <mergeCell ref="N147:N151"/>
    <mergeCell ref="M115:M117"/>
    <mergeCell ref="M134:M136"/>
    <mergeCell ref="M6:M7"/>
    <mergeCell ref="M20:M25"/>
    <mergeCell ref="M35:M37"/>
    <mergeCell ref="M54:M58"/>
    <mergeCell ref="M66:M70"/>
    <mergeCell ref="P115:S136"/>
    <mergeCell ref="O137:O151"/>
    <mergeCell ref="O93:O117"/>
    <mergeCell ref="N115:N117"/>
    <mergeCell ref="N66:N70"/>
    <mergeCell ref="N77:N81"/>
    <mergeCell ref="M77:M81"/>
    <mergeCell ref="N88:N92"/>
    <mergeCell ref="O71:O81"/>
    <mergeCell ref="M147:M151"/>
  </mergeCells>
  <printOptions horizontalCentered="1"/>
  <pageMargins left="0.15748031496062992" right="0.15748031496062992" top="0.47244094488188981" bottom="0.31496062992125984" header="0.15748031496062992" footer="0.15748031496062992"/>
  <pageSetup paperSize="9" scale="67" firstPageNumber="29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</oddHeader>
    <oddFooter>&amp;C&amp;8&amp;P</oddFooter>
  </headerFooter>
  <rowBreaks count="2" manualBreakCount="2">
    <brk id="136" max="14" man="1"/>
    <brk id="236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BY505"/>
  <sheetViews>
    <sheetView showGridLines="0" view="pageBreakPreview" zoomScaleSheetLayoutView="100" workbookViewId="0">
      <pane xSplit="3" ySplit="6" topLeftCell="D7" activePane="bottomRight" state="frozen"/>
      <selection activeCell="L250" sqref="L250"/>
      <selection pane="topRight" activeCell="L250" sqref="L250"/>
      <selection pane="bottomLeft" activeCell="L250" sqref="L250"/>
      <selection pane="bottomRight" activeCell="F165" sqref="F165:F173"/>
    </sheetView>
  </sheetViews>
  <sheetFormatPr defaultColWidth="9.140625" defaultRowHeight="11.25"/>
  <cols>
    <col min="1" max="1" width="4.140625" style="419" customWidth="1"/>
    <col min="2" max="2" width="59.28515625" style="329" customWidth="1"/>
    <col min="3" max="3" width="10.5703125" style="329" customWidth="1"/>
    <col min="4" max="4" width="13.140625" style="329" customWidth="1"/>
    <col min="5" max="5" width="12.42578125" style="329" customWidth="1"/>
    <col min="6" max="6" width="8.85546875" style="329" customWidth="1"/>
    <col min="7" max="7" width="10" style="329" customWidth="1"/>
    <col min="8" max="8" width="10.28515625" style="329" customWidth="1"/>
    <col min="9" max="9" width="9.85546875" style="329" customWidth="1"/>
    <col min="10" max="10" width="9.5703125" style="329" customWidth="1"/>
    <col min="11" max="11" width="10" style="329" customWidth="1"/>
    <col min="12" max="12" width="8.28515625" style="329" customWidth="1"/>
    <col min="13" max="13" width="12.42578125" style="329" hidden="1" customWidth="1"/>
    <col min="14" max="14" width="12.42578125" style="329" customWidth="1"/>
    <col min="15" max="15" width="15.28515625" style="556" customWidth="1"/>
    <col min="16" max="16" width="3.28515625" style="329" hidden="1" customWidth="1"/>
    <col min="17" max="17" width="13.42578125" style="329" hidden="1" customWidth="1"/>
    <col min="18" max="18" width="18.28515625" style="329" hidden="1" customWidth="1"/>
    <col min="19" max="34" width="18.28515625" style="329" customWidth="1"/>
    <col min="35" max="76" width="3.28515625" style="329" customWidth="1"/>
    <col min="77" max="16384" width="9.140625" style="329"/>
  </cols>
  <sheetData>
    <row r="1" spans="1:77" s="555" customFormat="1" ht="18" customHeight="1">
      <c r="A1" s="570"/>
      <c r="B1" s="571"/>
      <c r="C1" s="570"/>
      <c r="D1" s="570"/>
      <c r="E1" s="570"/>
      <c r="F1" s="570"/>
      <c r="G1" s="325" t="s">
        <v>481</v>
      </c>
      <c r="H1" s="325"/>
      <c r="I1" s="325"/>
      <c r="J1" s="325"/>
      <c r="K1" s="325"/>
      <c r="L1" s="325"/>
      <c r="M1" s="6"/>
      <c r="N1" s="6"/>
      <c r="O1" s="7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328"/>
    </row>
    <row r="2" spans="1:77" s="555" customFormat="1" ht="16.5" customHeight="1">
      <c r="A2" s="572"/>
      <c r="B2" s="571"/>
      <c r="C2" s="570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7"/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4"/>
      <c r="AA2" s="554"/>
      <c r="AB2" s="554"/>
      <c r="AC2" s="554"/>
      <c r="AD2" s="554"/>
      <c r="AE2" s="554"/>
      <c r="AF2" s="554"/>
      <c r="AG2" s="554"/>
      <c r="AH2" s="554"/>
      <c r="AI2" s="554"/>
      <c r="AJ2" s="554"/>
      <c r="AK2" s="554"/>
      <c r="AL2" s="554"/>
      <c r="AM2" s="554"/>
      <c r="AN2" s="554"/>
      <c r="AO2" s="554"/>
      <c r="AP2" s="554"/>
      <c r="AQ2" s="554"/>
      <c r="AR2" s="554"/>
      <c r="AS2" s="554"/>
      <c r="AT2" s="554"/>
      <c r="AU2" s="554"/>
      <c r="AV2" s="554"/>
      <c r="AW2" s="554"/>
      <c r="AX2" s="554"/>
      <c r="AY2" s="554"/>
      <c r="AZ2" s="554"/>
      <c r="BA2" s="554"/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328"/>
    </row>
    <row r="3" spans="1:77" s="555" customFormat="1" ht="18" customHeight="1" thickBot="1">
      <c r="A3" s="1010" t="s">
        <v>157</v>
      </c>
      <c r="B3" s="1011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6"/>
      <c r="N3" s="6"/>
      <c r="O3" s="7"/>
      <c r="P3" s="554"/>
      <c r="Q3" s="554"/>
      <c r="R3" s="554"/>
      <c r="S3" s="554"/>
      <c r="T3" s="554"/>
      <c r="U3" s="554"/>
      <c r="V3" s="554"/>
      <c r="W3" s="554"/>
      <c r="X3" s="554"/>
      <c r="Y3" s="554"/>
      <c r="Z3" s="554"/>
      <c r="AA3" s="554"/>
      <c r="AB3" s="554"/>
      <c r="AC3" s="554"/>
      <c r="AD3" s="554"/>
      <c r="AE3" s="554"/>
      <c r="AF3" s="554"/>
      <c r="AG3" s="554"/>
      <c r="AH3" s="554"/>
      <c r="AI3" s="554"/>
      <c r="AJ3" s="554"/>
      <c r="AK3" s="554"/>
      <c r="AL3" s="554"/>
      <c r="AM3" s="554"/>
      <c r="AN3" s="554"/>
      <c r="AO3" s="554"/>
      <c r="AP3" s="554"/>
      <c r="AQ3" s="554"/>
      <c r="AR3" s="554"/>
      <c r="AS3" s="554"/>
      <c r="AT3" s="554"/>
      <c r="AU3" s="554"/>
      <c r="AV3" s="554"/>
      <c r="AW3" s="554"/>
      <c r="AX3" s="554"/>
      <c r="AY3" s="554"/>
      <c r="AZ3" s="554"/>
      <c r="BA3" s="554"/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328"/>
    </row>
    <row r="4" spans="1:77" ht="82.5" customHeight="1" thickBot="1">
      <c r="A4" s="574"/>
      <c r="B4" s="3524" t="s">
        <v>75</v>
      </c>
      <c r="C4" s="3525" t="s">
        <v>71</v>
      </c>
      <c r="D4" s="3330" t="s">
        <v>72</v>
      </c>
      <c r="E4" s="3333" t="s">
        <v>478</v>
      </c>
      <c r="F4" s="3017" t="s">
        <v>533</v>
      </c>
      <c r="G4" s="3146" t="s">
        <v>474</v>
      </c>
      <c r="H4" s="3147"/>
      <c r="I4" s="3147"/>
      <c r="J4" s="3147"/>
      <c r="K4" s="3147"/>
      <c r="L4" s="3148"/>
      <c r="M4" s="3534" t="s">
        <v>495</v>
      </c>
      <c r="N4" s="3534" t="s">
        <v>475</v>
      </c>
      <c r="O4" s="3338" t="s">
        <v>73</v>
      </c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  <c r="AK4" s="328"/>
      <c r="AL4" s="328"/>
      <c r="AM4" s="328"/>
      <c r="AN4" s="328"/>
      <c r="AO4" s="328"/>
      <c r="AP4" s="328"/>
      <c r="AQ4" s="328"/>
      <c r="AR4" s="328"/>
      <c r="AS4" s="328"/>
      <c r="AT4" s="328"/>
      <c r="AU4" s="328"/>
      <c r="AV4" s="328"/>
      <c r="AW4" s="328"/>
      <c r="AX4" s="328"/>
      <c r="AY4" s="328"/>
      <c r="AZ4" s="328"/>
      <c r="BA4" s="328"/>
      <c r="BB4" s="328"/>
      <c r="BC4" s="328"/>
      <c r="BD4" s="328"/>
      <c r="BE4" s="328"/>
      <c r="BF4" s="328"/>
      <c r="BG4" s="328"/>
      <c r="BH4" s="328"/>
      <c r="BI4" s="328"/>
      <c r="BJ4" s="328"/>
      <c r="BK4" s="328"/>
      <c r="BL4" s="328"/>
      <c r="BM4" s="328"/>
      <c r="BN4" s="328"/>
      <c r="BO4" s="328"/>
      <c r="BP4" s="328"/>
      <c r="BQ4" s="328"/>
      <c r="BR4" s="328"/>
      <c r="BS4" s="328"/>
      <c r="BT4" s="328"/>
      <c r="BU4" s="328"/>
      <c r="BV4" s="328"/>
      <c r="BW4" s="328"/>
      <c r="BX4" s="328"/>
      <c r="BY4" s="328"/>
    </row>
    <row r="5" spans="1:77" ht="18" customHeight="1" thickBot="1">
      <c r="A5" s="575"/>
      <c r="B5" s="3524"/>
      <c r="C5" s="3526"/>
      <c r="D5" s="3332"/>
      <c r="E5" s="3335"/>
      <c r="F5" s="3019"/>
      <c r="G5" s="2481" t="s">
        <v>6</v>
      </c>
      <c r="H5" s="330" t="s">
        <v>207</v>
      </c>
      <c r="I5" s="330" t="s">
        <v>208</v>
      </c>
      <c r="J5" s="330" t="s">
        <v>256</v>
      </c>
      <c r="K5" s="330" t="s">
        <v>257</v>
      </c>
      <c r="L5" s="330" t="s">
        <v>258</v>
      </c>
      <c r="M5" s="3535"/>
      <c r="N5" s="3535"/>
      <c r="O5" s="3340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  <c r="AJ5" s="328"/>
      <c r="AK5" s="328"/>
      <c r="AL5" s="328"/>
      <c r="AM5" s="328"/>
      <c r="AN5" s="328"/>
      <c r="AO5" s="328"/>
      <c r="AP5" s="328"/>
      <c r="AQ5" s="328"/>
      <c r="AR5" s="328"/>
      <c r="AS5" s="328"/>
      <c r="AT5" s="328"/>
      <c r="AU5" s="328"/>
      <c r="AV5" s="328"/>
      <c r="AW5" s="328"/>
      <c r="AX5" s="328"/>
      <c r="AY5" s="328"/>
      <c r="AZ5" s="328"/>
      <c r="BA5" s="328"/>
      <c r="BB5" s="328"/>
      <c r="BC5" s="328"/>
      <c r="BD5" s="328"/>
      <c r="BE5" s="328"/>
      <c r="BF5" s="328"/>
      <c r="BG5" s="328"/>
      <c r="BH5" s="328"/>
      <c r="BI5" s="328"/>
      <c r="BJ5" s="328"/>
      <c r="BK5" s="328"/>
      <c r="BL5" s="328"/>
      <c r="BM5" s="328"/>
      <c r="BN5" s="328"/>
      <c r="BO5" s="328"/>
      <c r="BP5" s="328"/>
      <c r="BQ5" s="328"/>
      <c r="BR5" s="328"/>
      <c r="BS5" s="328"/>
      <c r="BT5" s="328"/>
      <c r="BU5" s="328"/>
      <c r="BV5" s="328"/>
      <c r="BW5" s="328"/>
      <c r="BX5" s="328"/>
      <c r="BY5" s="328"/>
    </row>
    <row r="6" spans="1:77" ht="14.25" customHeight="1">
      <c r="A6" s="1120">
        <v>1</v>
      </c>
      <c r="B6" s="1121">
        <v>2</v>
      </c>
      <c r="C6" s="1122" t="s">
        <v>119</v>
      </c>
      <c r="D6" s="1122" t="s">
        <v>120</v>
      </c>
      <c r="E6" s="1908">
        <v>5</v>
      </c>
      <c r="F6" s="1122">
        <v>6</v>
      </c>
      <c r="G6" s="1122">
        <v>7</v>
      </c>
      <c r="H6" s="1122">
        <v>8</v>
      </c>
      <c r="I6" s="1122">
        <v>9</v>
      </c>
      <c r="J6" s="1122">
        <v>10</v>
      </c>
      <c r="K6" s="1122">
        <v>11</v>
      </c>
      <c r="L6" s="1122">
        <v>12</v>
      </c>
      <c r="M6" s="1123">
        <v>13</v>
      </c>
      <c r="N6" s="1123">
        <v>13</v>
      </c>
      <c r="O6" s="1124">
        <v>14</v>
      </c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28"/>
      <c r="AI6" s="328"/>
      <c r="AJ6" s="328"/>
      <c r="AK6" s="328"/>
      <c r="AL6" s="328"/>
      <c r="AM6" s="328"/>
      <c r="AN6" s="328"/>
      <c r="AO6" s="328"/>
      <c r="AP6" s="328"/>
      <c r="AQ6" s="328"/>
      <c r="AR6" s="328"/>
      <c r="AS6" s="328"/>
      <c r="AT6" s="328"/>
      <c r="AU6" s="328"/>
      <c r="AV6" s="328"/>
      <c r="AW6" s="328"/>
      <c r="AX6" s="328"/>
      <c r="AY6" s="328"/>
      <c r="AZ6" s="328"/>
      <c r="BA6" s="328"/>
      <c r="BB6" s="328"/>
      <c r="BC6" s="328"/>
      <c r="BD6" s="328"/>
      <c r="BE6" s="328"/>
      <c r="BF6" s="328"/>
      <c r="BG6" s="328"/>
      <c r="BH6" s="328"/>
      <c r="BI6" s="328"/>
      <c r="BJ6" s="328"/>
      <c r="BK6" s="328"/>
      <c r="BL6" s="328"/>
      <c r="BM6" s="328"/>
      <c r="BN6" s="328"/>
      <c r="BO6" s="328"/>
      <c r="BP6" s="328"/>
      <c r="BQ6" s="328"/>
      <c r="BR6" s="328"/>
      <c r="BS6" s="328"/>
      <c r="BT6" s="328"/>
      <c r="BU6" s="328"/>
      <c r="BV6" s="328"/>
      <c r="BW6" s="328"/>
      <c r="BX6" s="328"/>
      <c r="BY6" s="328"/>
    </row>
    <row r="7" spans="1:77" ht="14.25" customHeight="1">
      <c r="A7" s="754"/>
      <c r="B7" s="2672" t="s">
        <v>76</v>
      </c>
      <c r="C7" s="2673"/>
      <c r="D7" s="2674">
        <f>+D9+D8</f>
        <v>40999681</v>
      </c>
      <c r="E7" s="2674">
        <f t="shared" ref="E7:L7" si="0">+E9+E8</f>
        <v>353841</v>
      </c>
      <c r="F7" s="2674">
        <f t="shared" si="0"/>
        <v>6029331</v>
      </c>
      <c r="G7" s="2674">
        <f t="shared" si="0"/>
        <v>12534227</v>
      </c>
      <c r="H7" s="2674">
        <f t="shared" si="0"/>
        <v>11106745</v>
      </c>
      <c r="I7" s="2674">
        <f t="shared" si="0"/>
        <v>5936412</v>
      </c>
      <c r="J7" s="2674">
        <f t="shared" si="0"/>
        <v>3566880</v>
      </c>
      <c r="K7" s="2674">
        <f t="shared" si="0"/>
        <v>1472245</v>
      </c>
      <c r="L7" s="2674">
        <f t="shared" si="0"/>
        <v>0</v>
      </c>
      <c r="M7" s="152">
        <f>+M9+M8</f>
        <v>40645840</v>
      </c>
      <c r="N7" s="152">
        <f t="shared" ref="N7" si="1">+N9</f>
        <v>26966170</v>
      </c>
      <c r="O7" s="576"/>
      <c r="P7" s="328"/>
      <c r="Q7" s="181">
        <f>+F7+G7</f>
        <v>18563558</v>
      </c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28"/>
      <c r="AL7" s="328"/>
      <c r="AM7" s="328"/>
      <c r="AN7" s="328"/>
      <c r="AO7" s="328"/>
      <c r="AP7" s="328"/>
      <c r="AQ7" s="328"/>
      <c r="AR7" s="328"/>
      <c r="AS7" s="328"/>
      <c r="AT7" s="328"/>
      <c r="AU7" s="328"/>
      <c r="AV7" s="328"/>
      <c r="AW7" s="328"/>
      <c r="AX7" s="328"/>
      <c r="AY7" s="328"/>
      <c r="AZ7" s="328"/>
      <c r="BA7" s="328"/>
      <c r="BB7" s="328"/>
      <c r="BC7" s="328"/>
      <c r="BD7" s="328"/>
      <c r="BE7" s="328"/>
      <c r="BF7" s="328"/>
      <c r="BG7" s="328"/>
      <c r="BH7" s="328"/>
      <c r="BI7" s="328"/>
      <c r="BJ7" s="328"/>
      <c r="BK7" s="328"/>
      <c r="BL7" s="328"/>
      <c r="BM7" s="328"/>
      <c r="BN7" s="328"/>
      <c r="BO7" s="328"/>
      <c r="BP7" s="328"/>
      <c r="BQ7" s="328"/>
      <c r="BR7" s="328"/>
      <c r="BS7" s="328"/>
      <c r="BT7" s="328"/>
      <c r="BU7" s="328"/>
      <c r="BV7" s="328"/>
      <c r="BW7" s="328"/>
      <c r="BX7" s="328"/>
      <c r="BY7" s="328"/>
    </row>
    <row r="8" spans="1:77" ht="14.25" customHeight="1">
      <c r="A8" s="754"/>
      <c r="B8" s="2675" t="s">
        <v>77</v>
      </c>
      <c r="C8" s="2676"/>
      <c r="D8" s="216">
        <f>D35+D143</f>
        <v>9611936</v>
      </c>
      <c r="E8" s="216">
        <f t="shared" ref="E8:L8" si="2">E35+E143</f>
        <v>0</v>
      </c>
      <c r="F8" s="216">
        <f t="shared" si="2"/>
        <v>4813876</v>
      </c>
      <c r="G8" s="216">
        <f t="shared" si="2"/>
        <v>3905051</v>
      </c>
      <c r="H8" s="216">
        <f t="shared" si="2"/>
        <v>614097</v>
      </c>
      <c r="I8" s="216">
        <f t="shared" si="2"/>
        <v>278912</v>
      </c>
      <c r="J8" s="216">
        <f t="shared" si="2"/>
        <v>0</v>
      </c>
      <c r="K8" s="216">
        <f t="shared" si="2"/>
        <v>0</v>
      </c>
      <c r="L8" s="216">
        <f t="shared" si="2"/>
        <v>0</v>
      </c>
      <c r="M8" s="2424">
        <f>M35+M143</f>
        <v>9611936</v>
      </c>
      <c r="N8" s="18">
        <v>0</v>
      </c>
      <c r="O8" s="576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28"/>
      <c r="AG8" s="328"/>
      <c r="AH8" s="328"/>
      <c r="AI8" s="328"/>
      <c r="AJ8" s="328"/>
      <c r="AK8" s="328"/>
      <c r="AL8" s="328"/>
      <c r="AM8" s="328"/>
      <c r="AN8" s="328"/>
      <c r="AO8" s="328"/>
      <c r="AP8" s="328"/>
      <c r="AQ8" s="328"/>
      <c r="AR8" s="328"/>
      <c r="AS8" s="328"/>
      <c r="AT8" s="328"/>
      <c r="AU8" s="328"/>
      <c r="AV8" s="328"/>
      <c r="AW8" s="328"/>
      <c r="AX8" s="328"/>
      <c r="AY8" s="328"/>
      <c r="AZ8" s="328"/>
      <c r="BA8" s="328"/>
      <c r="BB8" s="328"/>
      <c r="BC8" s="328"/>
      <c r="BD8" s="328"/>
      <c r="BE8" s="328"/>
      <c r="BF8" s="328"/>
      <c r="BG8" s="328"/>
      <c r="BH8" s="328"/>
      <c r="BI8" s="328"/>
      <c r="BJ8" s="328"/>
      <c r="BK8" s="328"/>
      <c r="BL8" s="328"/>
      <c r="BM8" s="328"/>
      <c r="BN8" s="328"/>
      <c r="BO8" s="328"/>
      <c r="BP8" s="328"/>
      <c r="BQ8" s="328"/>
      <c r="BR8" s="328"/>
      <c r="BS8" s="328"/>
      <c r="BT8" s="328"/>
      <c r="BU8" s="328"/>
      <c r="BV8" s="328"/>
      <c r="BW8" s="328"/>
      <c r="BX8" s="328"/>
      <c r="BY8" s="328"/>
    </row>
    <row r="9" spans="1:77" ht="14.25" customHeight="1" thickBot="1">
      <c r="A9" s="754"/>
      <c r="B9" s="2677" t="s">
        <v>9</v>
      </c>
      <c r="C9" s="2678"/>
      <c r="D9" s="226">
        <f>+D26+D45+D56+D68+D81+D93+D105+D117+D129+D155</f>
        <v>31387745</v>
      </c>
      <c r="E9" s="226">
        <f t="shared" ref="E9:M9" si="3">+E26+E45+E56+E68+E81+E93+E105+E117+E129+E155</f>
        <v>353841</v>
      </c>
      <c r="F9" s="226">
        <f t="shared" si="3"/>
        <v>1215455</v>
      </c>
      <c r="G9" s="226">
        <f t="shared" si="3"/>
        <v>8629176</v>
      </c>
      <c r="H9" s="226">
        <f t="shared" si="3"/>
        <v>10492648</v>
      </c>
      <c r="I9" s="226">
        <f t="shared" si="3"/>
        <v>5657500</v>
      </c>
      <c r="J9" s="226">
        <f t="shared" si="3"/>
        <v>3566880</v>
      </c>
      <c r="K9" s="226">
        <f t="shared" si="3"/>
        <v>1472245</v>
      </c>
      <c r="L9" s="226">
        <f t="shared" si="3"/>
        <v>0</v>
      </c>
      <c r="M9" s="154">
        <f t="shared" si="3"/>
        <v>31033904</v>
      </c>
      <c r="N9" s="154">
        <f>+N26+N45+N56+N68+N81+N93</f>
        <v>26966170</v>
      </c>
      <c r="O9" s="576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  <c r="AA9" s="328"/>
      <c r="AB9" s="328"/>
      <c r="AC9" s="328"/>
      <c r="AD9" s="328"/>
      <c r="AE9" s="328"/>
      <c r="AF9" s="328"/>
      <c r="AG9" s="328"/>
      <c r="AH9" s="328"/>
      <c r="AI9" s="328"/>
      <c r="AJ9" s="328"/>
      <c r="AK9" s="328"/>
      <c r="AL9" s="328"/>
      <c r="AM9" s="328"/>
      <c r="AN9" s="328"/>
      <c r="AO9" s="328"/>
      <c r="AP9" s="328"/>
      <c r="AQ9" s="328"/>
      <c r="AR9" s="328"/>
      <c r="AS9" s="328"/>
      <c r="AT9" s="328"/>
      <c r="AU9" s="328"/>
      <c r="AV9" s="328"/>
      <c r="AW9" s="328"/>
      <c r="AX9" s="328"/>
      <c r="AY9" s="328"/>
      <c r="AZ9" s="328"/>
      <c r="BA9" s="328"/>
      <c r="BB9" s="328"/>
      <c r="BC9" s="328"/>
      <c r="BD9" s="328"/>
      <c r="BE9" s="328"/>
      <c r="BF9" s="328"/>
      <c r="BG9" s="328"/>
      <c r="BH9" s="328"/>
      <c r="BI9" s="328"/>
      <c r="BJ9" s="328"/>
      <c r="BK9" s="328"/>
      <c r="BL9" s="328"/>
      <c r="BM9" s="328"/>
      <c r="BN9" s="328"/>
      <c r="BO9" s="328"/>
      <c r="BP9" s="328"/>
      <c r="BQ9" s="328"/>
      <c r="BR9" s="328"/>
      <c r="BS9" s="328"/>
      <c r="BT9" s="328"/>
      <c r="BU9" s="328"/>
      <c r="BV9" s="328"/>
      <c r="BW9" s="328"/>
      <c r="BX9" s="328"/>
      <c r="BY9" s="328"/>
    </row>
    <row r="10" spans="1:77" s="623" customFormat="1" ht="12">
      <c r="A10" s="754"/>
      <c r="B10" s="1758" t="s">
        <v>10</v>
      </c>
      <c r="C10" s="1758"/>
      <c r="D10" s="1735">
        <f>+D11+D15</f>
        <v>112111450</v>
      </c>
      <c r="E10" s="1735">
        <f t="shared" ref="E10" si="4">+E11+E15</f>
        <v>366014</v>
      </c>
      <c r="F10" s="1735">
        <f t="shared" ref="F10:L10" si="5">+F11+F15</f>
        <v>6107160</v>
      </c>
      <c r="G10" s="1735">
        <f t="shared" si="5"/>
        <v>27695146</v>
      </c>
      <c r="H10" s="1735">
        <f t="shared" si="5"/>
        <v>35702937</v>
      </c>
      <c r="I10" s="1735">
        <f t="shared" si="5"/>
        <v>18608568</v>
      </c>
      <c r="J10" s="1735">
        <f t="shared" si="5"/>
        <v>12066880</v>
      </c>
      <c r="K10" s="1735">
        <f t="shared" si="5"/>
        <v>11564745</v>
      </c>
      <c r="L10" s="1735">
        <f t="shared" si="5"/>
        <v>0</v>
      </c>
      <c r="M10" s="379">
        <f>+M11</f>
        <v>40645840</v>
      </c>
      <c r="N10" s="379">
        <f>+N11</f>
        <v>34616509</v>
      </c>
      <c r="O10" s="3527"/>
      <c r="P10" s="328"/>
      <c r="Q10" s="181"/>
      <c r="R10" s="181">
        <f>+D24+D42+D54+D66+D78+D90</f>
        <v>88685466</v>
      </c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  <c r="AN10" s="328"/>
      <c r="AO10" s="328"/>
      <c r="AP10" s="328"/>
      <c r="AQ10" s="328"/>
      <c r="AR10" s="328"/>
      <c r="AS10" s="328"/>
      <c r="AT10" s="328"/>
      <c r="AU10" s="328"/>
      <c r="AV10" s="328"/>
      <c r="AW10" s="328"/>
      <c r="AX10" s="328"/>
      <c r="AY10" s="328"/>
      <c r="AZ10" s="328"/>
      <c r="BA10" s="328"/>
      <c r="BB10" s="328"/>
      <c r="BC10" s="328"/>
      <c r="BD10" s="328"/>
      <c r="BE10" s="328"/>
      <c r="BF10" s="328"/>
      <c r="BG10" s="328"/>
      <c r="BH10" s="328"/>
      <c r="BI10" s="328"/>
      <c r="BJ10" s="328"/>
      <c r="BK10" s="328"/>
      <c r="BL10" s="328"/>
      <c r="BM10" s="328"/>
      <c r="BN10" s="328"/>
      <c r="BO10" s="328"/>
      <c r="BP10" s="328"/>
      <c r="BQ10" s="328"/>
      <c r="BR10" s="328"/>
      <c r="BS10" s="328"/>
      <c r="BT10" s="328"/>
      <c r="BU10" s="328"/>
      <c r="BV10" s="328"/>
      <c r="BW10" s="328"/>
      <c r="BX10" s="328"/>
      <c r="BY10" s="328"/>
    </row>
    <row r="11" spans="1:77" s="623" customFormat="1" ht="14.1" customHeight="1">
      <c r="A11" s="754"/>
      <c r="B11" s="2679" t="s">
        <v>11</v>
      </c>
      <c r="C11" s="3529" t="s">
        <v>61</v>
      </c>
      <c r="D11" s="2680">
        <f>+D12+D13+D14</f>
        <v>41488162</v>
      </c>
      <c r="E11" s="2680">
        <f t="shared" ref="E11:L11" si="6">+E12+E13+E14</f>
        <v>366014</v>
      </c>
      <c r="F11" s="2680">
        <f>+F12+F13+F14</f>
        <v>6060155</v>
      </c>
      <c r="G11" s="2680">
        <f>+G12+G13+G14</f>
        <v>12774182</v>
      </c>
      <c r="H11" s="2680">
        <f t="shared" si="6"/>
        <v>11312274</v>
      </c>
      <c r="I11" s="2680">
        <f t="shared" si="6"/>
        <v>5936412</v>
      </c>
      <c r="J11" s="2680">
        <f t="shared" si="6"/>
        <v>3566880</v>
      </c>
      <c r="K11" s="2680">
        <f t="shared" si="6"/>
        <v>1472245</v>
      </c>
      <c r="L11" s="2680">
        <f t="shared" si="6"/>
        <v>0</v>
      </c>
      <c r="M11" s="1759">
        <f>+M13</f>
        <v>40645840</v>
      </c>
      <c r="N11" s="1759">
        <f>+N13</f>
        <v>34616509</v>
      </c>
      <c r="O11" s="3527"/>
      <c r="P11" s="328"/>
      <c r="Q11" s="181"/>
      <c r="R11" s="181">
        <f>+R10-D10</f>
        <v>-23425984</v>
      </c>
      <c r="S11" s="328"/>
      <c r="T11" s="328"/>
      <c r="U11" s="328"/>
      <c r="V11" s="328"/>
      <c r="W11" s="328"/>
      <c r="X11" s="328"/>
      <c r="Y11" s="328"/>
      <c r="Z11" s="328"/>
      <c r="AA11" s="328"/>
      <c r="AB11" s="328"/>
      <c r="AC11" s="328"/>
      <c r="AD11" s="328"/>
      <c r="AE11" s="328"/>
      <c r="AF11" s="328"/>
      <c r="AG11" s="328"/>
      <c r="AH11" s="328"/>
      <c r="AI11" s="328"/>
      <c r="AJ11" s="328"/>
      <c r="AK11" s="328"/>
      <c r="AL11" s="328"/>
      <c r="AM11" s="328"/>
      <c r="AN11" s="328"/>
      <c r="AO11" s="328"/>
      <c r="AP11" s="328"/>
      <c r="AQ11" s="328"/>
      <c r="AR11" s="328"/>
      <c r="AS11" s="328"/>
      <c r="AT11" s="328"/>
      <c r="AU11" s="328"/>
      <c r="AV11" s="328"/>
      <c r="AW11" s="328"/>
      <c r="AX11" s="328"/>
      <c r="AY11" s="328"/>
      <c r="AZ11" s="328"/>
      <c r="BA11" s="328"/>
      <c r="BB11" s="328"/>
      <c r="BC11" s="328"/>
      <c r="BD11" s="328"/>
      <c r="BE11" s="328"/>
      <c r="BF11" s="328"/>
      <c r="BG11" s="328"/>
      <c r="BH11" s="328"/>
      <c r="BI11" s="328"/>
      <c r="BJ11" s="328"/>
      <c r="BK11" s="328"/>
      <c r="BL11" s="328"/>
      <c r="BM11" s="328"/>
      <c r="BN11" s="328"/>
      <c r="BO11" s="328"/>
      <c r="BP11" s="328"/>
      <c r="BQ11" s="328"/>
      <c r="BR11" s="328"/>
      <c r="BS11" s="328"/>
      <c r="BT11" s="328"/>
      <c r="BU11" s="328"/>
      <c r="BV11" s="328"/>
      <c r="BW11" s="328"/>
      <c r="BX11" s="328"/>
      <c r="BY11" s="328"/>
    </row>
    <row r="12" spans="1:77" s="623" customFormat="1" ht="12">
      <c r="A12" s="754"/>
      <c r="B12" s="2681" t="s">
        <v>32</v>
      </c>
      <c r="C12" s="3529"/>
      <c r="D12" s="2682">
        <f>D128+D142+D154+D104</f>
        <v>55898</v>
      </c>
      <c r="E12" s="2682">
        <f>E128+E142+E154+E104</f>
        <v>12173</v>
      </c>
      <c r="F12" s="2682">
        <f>F128+F142+F154+F104</f>
        <v>26474</v>
      </c>
      <c r="G12" s="2682">
        <f t="shared" ref="G12:L12" si="7">G128+G142+G154+G104</f>
        <v>17251</v>
      </c>
      <c r="H12" s="2682">
        <f t="shared" si="7"/>
        <v>0</v>
      </c>
      <c r="I12" s="2682">
        <f t="shared" si="7"/>
        <v>0</v>
      </c>
      <c r="J12" s="2682">
        <f t="shared" si="7"/>
        <v>0</v>
      </c>
      <c r="K12" s="2682">
        <f t="shared" si="7"/>
        <v>0</v>
      </c>
      <c r="L12" s="2682">
        <f t="shared" si="7"/>
        <v>0</v>
      </c>
      <c r="M12" s="1760" t="s">
        <v>61</v>
      </c>
      <c r="N12" s="1760" t="s">
        <v>61</v>
      </c>
      <c r="O12" s="3527"/>
      <c r="P12" s="328"/>
      <c r="Q12" s="181"/>
      <c r="R12" s="328"/>
      <c r="S12" s="328"/>
      <c r="T12" s="328"/>
      <c r="U12" s="328"/>
      <c r="V12" s="328"/>
      <c r="W12" s="328"/>
      <c r="X12" s="328"/>
      <c r="Y12" s="328"/>
      <c r="Z12" s="328"/>
      <c r="AA12" s="328"/>
      <c r="AB12" s="328"/>
      <c r="AC12" s="328"/>
      <c r="AD12" s="328"/>
      <c r="AE12" s="328"/>
      <c r="AF12" s="328"/>
      <c r="AG12" s="328"/>
      <c r="AH12" s="328"/>
      <c r="AI12" s="328"/>
      <c r="AJ12" s="328"/>
      <c r="AK12" s="328"/>
      <c r="AL12" s="328"/>
      <c r="AM12" s="328"/>
      <c r="AN12" s="328"/>
      <c r="AO12" s="328"/>
      <c r="AP12" s="328"/>
      <c r="AQ12" s="328"/>
      <c r="AR12" s="328"/>
      <c r="AS12" s="328"/>
      <c r="AT12" s="328"/>
      <c r="AU12" s="328"/>
      <c r="AV12" s="328"/>
      <c r="AW12" s="328"/>
      <c r="AX12" s="328"/>
      <c r="AY12" s="328"/>
      <c r="AZ12" s="328"/>
      <c r="BA12" s="328"/>
      <c r="BB12" s="328"/>
      <c r="BC12" s="328"/>
      <c r="BD12" s="328"/>
      <c r="BE12" s="328"/>
      <c r="BF12" s="328"/>
      <c r="BG12" s="328"/>
      <c r="BH12" s="328"/>
      <c r="BI12" s="328"/>
      <c r="BJ12" s="328"/>
      <c r="BK12" s="328"/>
      <c r="BL12" s="328"/>
      <c r="BM12" s="328"/>
      <c r="BN12" s="328"/>
      <c r="BO12" s="328"/>
      <c r="BP12" s="328"/>
      <c r="BQ12" s="328"/>
      <c r="BR12" s="328"/>
      <c r="BS12" s="328"/>
      <c r="BT12" s="328"/>
      <c r="BU12" s="328"/>
      <c r="BV12" s="328"/>
      <c r="BW12" s="328"/>
      <c r="BX12" s="328"/>
      <c r="BY12" s="328"/>
    </row>
    <row r="13" spans="1:77" s="623" customFormat="1" ht="12">
      <c r="A13" s="754"/>
      <c r="B13" s="2681" t="s">
        <v>158</v>
      </c>
      <c r="C13" s="3529"/>
      <c r="D13" s="2682">
        <f>+D26+D45+D56+D68+D93+D81+D105+D117+D35+D129+D143+D155</f>
        <v>40999681</v>
      </c>
      <c r="E13" s="2682">
        <f t="shared" ref="E13:L13" si="8">+E26+E45+E56+E68+E93+E81+E105+E117+E35+E129+E143+E155</f>
        <v>353841</v>
      </c>
      <c r="F13" s="2682">
        <f t="shared" si="8"/>
        <v>6029331</v>
      </c>
      <c r="G13" s="2682">
        <f>+G26+G45+G56+G68+G93+G81+G105+G117+G35+G129+G143+G155</f>
        <v>12534227</v>
      </c>
      <c r="H13" s="2682">
        <f t="shared" si="8"/>
        <v>11106745</v>
      </c>
      <c r="I13" s="2682">
        <f t="shared" si="8"/>
        <v>5936412</v>
      </c>
      <c r="J13" s="2682">
        <f t="shared" si="8"/>
        <v>3566880</v>
      </c>
      <c r="K13" s="2682">
        <f t="shared" si="8"/>
        <v>1472245</v>
      </c>
      <c r="L13" s="2682">
        <f t="shared" si="8"/>
        <v>0</v>
      </c>
      <c r="M13" s="577">
        <f>SUM(F13:L13)</f>
        <v>40645840</v>
      </c>
      <c r="N13" s="577">
        <f>SUM(G13:L13)</f>
        <v>34616509</v>
      </c>
      <c r="O13" s="3527"/>
      <c r="P13" s="328"/>
      <c r="Q13" s="181"/>
      <c r="R13" s="181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8"/>
      <c r="AE13" s="328"/>
      <c r="AF13" s="328"/>
      <c r="AG13" s="328"/>
      <c r="AH13" s="328"/>
      <c r="AI13" s="328"/>
      <c r="AJ13" s="328"/>
      <c r="AK13" s="328"/>
      <c r="AL13" s="328"/>
      <c r="AM13" s="328"/>
      <c r="AN13" s="328"/>
      <c r="AO13" s="328"/>
      <c r="AP13" s="328"/>
      <c r="AQ13" s="328"/>
      <c r="AR13" s="328"/>
      <c r="AS13" s="328"/>
      <c r="AT13" s="328"/>
      <c r="AU13" s="328"/>
      <c r="AV13" s="328"/>
      <c r="AW13" s="328"/>
      <c r="AX13" s="328"/>
      <c r="AY13" s="328"/>
      <c r="AZ13" s="328"/>
      <c r="BA13" s="328"/>
      <c r="BB13" s="328"/>
      <c r="BC13" s="328"/>
      <c r="BD13" s="328"/>
      <c r="BE13" s="328"/>
      <c r="BF13" s="328"/>
      <c r="BG13" s="328"/>
      <c r="BH13" s="328"/>
      <c r="BI13" s="328"/>
      <c r="BJ13" s="328"/>
      <c r="BK13" s="328"/>
      <c r="BL13" s="328"/>
      <c r="BM13" s="328"/>
      <c r="BN13" s="328"/>
      <c r="BO13" s="328"/>
      <c r="BP13" s="328"/>
      <c r="BQ13" s="328"/>
      <c r="BR13" s="328"/>
      <c r="BS13" s="328"/>
      <c r="BT13" s="328"/>
      <c r="BU13" s="328"/>
      <c r="BV13" s="328"/>
      <c r="BW13" s="328"/>
      <c r="BX13" s="328"/>
      <c r="BY13" s="328"/>
    </row>
    <row r="14" spans="1:77" s="623" customFormat="1" ht="12">
      <c r="A14" s="754"/>
      <c r="B14" s="2683" t="s">
        <v>507</v>
      </c>
      <c r="C14" s="3530"/>
      <c r="D14" s="2684">
        <f>D130</f>
        <v>432583</v>
      </c>
      <c r="E14" s="2684">
        <f t="shared" ref="E14:L14" si="9">E130</f>
        <v>0</v>
      </c>
      <c r="F14" s="2684">
        <f t="shared" si="9"/>
        <v>4350</v>
      </c>
      <c r="G14" s="2684">
        <f t="shared" si="9"/>
        <v>222704</v>
      </c>
      <c r="H14" s="2684">
        <f t="shared" si="9"/>
        <v>205529</v>
      </c>
      <c r="I14" s="2684">
        <f t="shared" si="9"/>
        <v>0</v>
      </c>
      <c r="J14" s="2684">
        <f t="shared" si="9"/>
        <v>0</v>
      </c>
      <c r="K14" s="2684">
        <f t="shared" si="9"/>
        <v>0</v>
      </c>
      <c r="L14" s="2684">
        <f t="shared" si="9"/>
        <v>0</v>
      </c>
      <c r="M14" s="2180"/>
      <c r="N14" s="2180"/>
      <c r="O14" s="3527"/>
      <c r="P14" s="328"/>
      <c r="Q14" s="181"/>
      <c r="R14" s="181"/>
      <c r="S14" s="328"/>
      <c r="T14" s="328"/>
      <c r="U14" s="328"/>
      <c r="V14" s="328"/>
      <c r="W14" s="328"/>
      <c r="X14" s="328"/>
      <c r="Y14" s="328"/>
      <c r="Z14" s="328"/>
      <c r="AA14" s="328"/>
      <c r="AB14" s="328"/>
      <c r="AC14" s="328"/>
      <c r="AD14" s="328"/>
      <c r="AE14" s="328"/>
      <c r="AF14" s="328"/>
      <c r="AG14" s="328"/>
      <c r="AH14" s="328"/>
      <c r="AI14" s="328"/>
      <c r="AJ14" s="328"/>
      <c r="AK14" s="328"/>
      <c r="AL14" s="328"/>
      <c r="AM14" s="328"/>
      <c r="AN14" s="328"/>
      <c r="AO14" s="328"/>
      <c r="AP14" s="328"/>
      <c r="AQ14" s="328"/>
      <c r="AR14" s="328"/>
      <c r="AS14" s="328"/>
      <c r="AT14" s="328"/>
      <c r="AU14" s="328"/>
      <c r="AV14" s="328"/>
      <c r="AW14" s="328"/>
      <c r="AX14" s="328"/>
      <c r="AY14" s="328"/>
      <c r="AZ14" s="328"/>
      <c r="BA14" s="328"/>
      <c r="BB14" s="328"/>
      <c r="BC14" s="328"/>
      <c r="BD14" s="328"/>
      <c r="BE14" s="328"/>
      <c r="BF14" s="328"/>
      <c r="BG14" s="328"/>
      <c r="BH14" s="328"/>
      <c r="BI14" s="328"/>
      <c r="BJ14" s="328"/>
      <c r="BK14" s="328"/>
      <c r="BL14" s="328"/>
      <c r="BM14" s="328"/>
      <c r="BN14" s="328"/>
      <c r="BO14" s="328"/>
      <c r="BP14" s="328"/>
      <c r="BQ14" s="328"/>
      <c r="BR14" s="328"/>
      <c r="BS14" s="328"/>
      <c r="BT14" s="328"/>
      <c r="BU14" s="328"/>
      <c r="BV14" s="328"/>
      <c r="BW14" s="328"/>
      <c r="BX14" s="328"/>
      <c r="BY14" s="328"/>
    </row>
    <row r="15" spans="1:77" s="623" customFormat="1" ht="12">
      <c r="A15" s="754"/>
      <c r="B15" s="2679" t="s">
        <v>18</v>
      </c>
      <c r="C15" s="3529"/>
      <c r="D15" s="2680">
        <f>+D16</f>
        <v>70623288</v>
      </c>
      <c r="E15" s="2680">
        <f t="shared" ref="E15:L15" si="10">+E16</f>
        <v>0</v>
      </c>
      <c r="F15" s="2680">
        <f t="shared" si="10"/>
        <v>47005</v>
      </c>
      <c r="G15" s="2680">
        <f t="shared" si="10"/>
        <v>14920964</v>
      </c>
      <c r="H15" s="2680">
        <f t="shared" si="10"/>
        <v>24390663</v>
      </c>
      <c r="I15" s="2680">
        <f t="shared" si="10"/>
        <v>12672156</v>
      </c>
      <c r="J15" s="2680">
        <f t="shared" si="10"/>
        <v>8500000</v>
      </c>
      <c r="K15" s="2680">
        <f t="shared" si="10"/>
        <v>10092500</v>
      </c>
      <c r="L15" s="2680">
        <f t="shared" si="10"/>
        <v>0</v>
      </c>
      <c r="M15" s="1761" t="str">
        <f>+M16</f>
        <v>x</v>
      </c>
      <c r="N15" s="1761" t="str">
        <f>+N16</f>
        <v>x</v>
      </c>
      <c r="O15" s="3527"/>
      <c r="P15" s="328"/>
      <c r="Q15" s="181"/>
      <c r="R15" s="328"/>
      <c r="S15" s="328"/>
      <c r="T15" s="328"/>
      <c r="U15" s="328"/>
      <c r="V15" s="328"/>
      <c r="W15" s="328"/>
      <c r="X15" s="328"/>
      <c r="Y15" s="328"/>
      <c r="Z15" s="328"/>
      <c r="AA15" s="328"/>
      <c r="AB15" s="328"/>
      <c r="AC15" s="328"/>
      <c r="AD15" s="328"/>
      <c r="AE15" s="328"/>
      <c r="AF15" s="328"/>
      <c r="AG15" s="328"/>
      <c r="AH15" s="328"/>
      <c r="AI15" s="328"/>
      <c r="AJ15" s="328"/>
      <c r="AK15" s="328"/>
      <c r="AL15" s="328"/>
      <c r="AM15" s="328"/>
      <c r="AN15" s="328"/>
      <c r="AO15" s="328"/>
      <c r="AP15" s="328"/>
      <c r="AQ15" s="328"/>
      <c r="AR15" s="328"/>
      <c r="AS15" s="328"/>
      <c r="AT15" s="328"/>
      <c r="AU15" s="328"/>
      <c r="AV15" s="328"/>
      <c r="AW15" s="328"/>
      <c r="AX15" s="328"/>
      <c r="AY15" s="328"/>
      <c r="AZ15" s="328"/>
      <c r="BA15" s="328"/>
      <c r="BB15" s="328"/>
      <c r="BC15" s="328"/>
      <c r="BD15" s="328"/>
      <c r="BE15" s="328"/>
      <c r="BF15" s="328"/>
      <c r="BG15" s="328"/>
      <c r="BH15" s="328"/>
      <c r="BI15" s="328"/>
      <c r="BJ15" s="328"/>
      <c r="BK15" s="328"/>
      <c r="BL15" s="328"/>
      <c r="BM15" s="328"/>
      <c r="BN15" s="328"/>
      <c r="BO15" s="328"/>
      <c r="BP15" s="328"/>
      <c r="BQ15" s="328"/>
      <c r="BR15" s="328"/>
      <c r="BS15" s="328"/>
      <c r="BT15" s="328"/>
      <c r="BU15" s="328"/>
      <c r="BV15" s="328"/>
      <c r="BW15" s="328"/>
      <c r="BX15" s="328"/>
      <c r="BY15" s="328"/>
    </row>
    <row r="16" spans="1:77" s="623" customFormat="1" ht="12">
      <c r="A16" s="754"/>
      <c r="B16" s="2685" t="s">
        <v>35</v>
      </c>
      <c r="C16" s="3529"/>
      <c r="D16" s="2682">
        <f>D28+D47+D59+D83+D95+D71+D107+D132+D145+D157</f>
        <v>70623288</v>
      </c>
      <c r="E16" s="2682">
        <f t="shared" ref="E16:L16" si="11">E28+E47+E59+E83+E95+E71+E107+E132+E145+E157</f>
        <v>0</v>
      </c>
      <c r="F16" s="2682">
        <f t="shared" si="11"/>
        <v>47005</v>
      </c>
      <c r="G16" s="2682">
        <f t="shared" si="11"/>
        <v>14920964</v>
      </c>
      <c r="H16" s="2682">
        <f t="shared" si="11"/>
        <v>24390663</v>
      </c>
      <c r="I16" s="2682">
        <f t="shared" si="11"/>
        <v>12672156</v>
      </c>
      <c r="J16" s="2682">
        <f t="shared" si="11"/>
        <v>8500000</v>
      </c>
      <c r="K16" s="2682">
        <f t="shared" si="11"/>
        <v>10092500</v>
      </c>
      <c r="L16" s="2682">
        <f t="shared" si="11"/>
        <v>0</v>
      </c>
      <c r="M16" s="578" t="s">
        <v>61</v>
      </c>
      <c r="N16" s="578" t="s">
        <v>61</v>
      </c>
      <c r="O16" s="3527"/>
      <c r="P16" s="328"/>
      <c r="Q16" s="181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28"/>
      <c r="AG16" s="328"/>
      <c r="AH16" s="328"/>
      <c r="AI16" s="328"/>
      <c r="AJ16" s="328"/>
      <c r="AK16" s="328"/>
      <c r="AL16" s="328"/>
      <c r="AM16" s="328"/>
      <c r="AN16" s="328"/>
      <c r="AO16" s="328"/>
      <c r="AP16" s="328"/>
      <c r="AQ16" s="328"/>
      <c r="AR16" s="328"/>
      <c r="AS16" s="328"/>
      <c r="AT16" s="328"/>
      <c r="AU16" s="328"/>
      <c r="AV16" s="328"/>
      <c r="AW16" s="328"/>
      <c r="AX16" s="328"/>
      <c r="AY16" s="328"/>
      <c r="AZ16" s="328"/>
      <c r="BA16" s="328"/>
      <c r="BB16" s="328"/>
      <c r="BC16" s="328"/>
      <c r="BD16" s="328"/>
      <c r="BE16" s="328"/>
      <c r="BF16" s="328"/>
      <c r="BG16" s="328"/>
      <c r="BH16" s="328"/>
      <c r="BI16" s="328"/>
      <c r="BJ16" s="328"/>
      <c r="BK16" s="328"/>
      <c r="BL16" s="328"/>
      <c r="BM16" s="328"/>
      <c r="BN16" s="328"/>
      <c r="BO16" s="328"/>
      <c r="BP16" s="328"/>
      <c r="BQ16" s="328"/>
      <c r="BR16" s="328"/>
      <c r="BS16" s="328"/>
      <c r="BT16" s="328"/>
      <c r="BU16" s="328"/>
      <c r="BV16" s="328"/>
      <c r="BW16" s="328"/>
      <c r="BX16" s="328"/>
      <c r="BY16" s="328"/>
    </row>
    <row r="17" spans="1:77" s="623" customFormat="1" ht="12">
      <c r="A17" s="754"/>
      <c r="B17" s="541" t="s">
        <v>22</v>
      </c>
      <c r="C17" s="541"/>
      <c r="D17" s="579">
        <f>+D18+D21</f>
        <v>89130189</v>
      </c>
      <c r="E17" s="579">
        <f t="shared" ref="E17" si="12">+E18+E21</f>
        <v>0</v>
      </c>
      <c r="F17" s="579">
        <f t="shared" ref="F17:L17" si="13">+F18+F21</f>
        <v>411282</v>
      </c>
      <c r="G17" s="579">
        <f t="shared" si="13"/>
        <v>18052227</v>
      </c>
      <c r="H17" s="579">
        <f t="shared" si="13"/>
        <v>31604232</v>
      </c>
      <c r="I17" s="579">
        <f t="shared" si="13"/>
        <v>16819219</v>
      </c>
      <c r="J17" s="579">
        <f t="shared" si="13"/>
        <v>10500000</v>
      </c>
      <c r="K17" s="579">
        <f t="shared" si="13"/>
        <v>11743229</v>
      </c>
      <c r="L17" s="579">
        <f t="shared" si="13"/>
        <v>0</v>
      </c>
      <c r="M17" s="3536" t="s">
        <v>61</v>
      </c>
      <c r="N17" s="3536" t="s">
        <v>61</v>
      </c>
      <c r="O17" s="3527"/>
      <c r="P17" s="328"/>
      <c r="Q17" s="181"/>
      <c r="R17" s="328"/>
      <c r="S17" s="328"/>
      <c r="T17" s="328"/>
      <c r="U17" s="328"/>
      <c r="V17" s="328"/>
      <c r="W17" s="328"/>
      <c r="X17" s="328"/>
      <c r="Y17" s="328"/>
      <c r="Z17" s="328"/>
      <c r="AA17" s="328"/>
      <c r="AB17" s="328"/>
      <c r="AC17" s="328"/>
      <c r="AD17" s="328"/>
      <c r="AE17" s="328"/>
      <c r="AF17" s="328"/>
      <c r="AG17" s="328"/>
      <c r="AH17" s="328"/>
      <c r="AI17" s="328"/>
      <c r="AJ17" s="328"/>
      <c r="AK17" s="328"/>
      <c r="AL17" s="328"/>
      <c r="AM17" s="328"/>
      <c r="AN17" s="328"/>
      <c r="AO17" s="328"/>
      <c r="AP17" s="328"/>
      <c r="AQ17" s="328"/>
      <c r="AR17" s="328"/>
      <c r="AS17" s="328"/>
      <c r="AT17" s="328"/>
      <c r="AU17" s="328"/>
      <c r="AV17" s="328"/>
      <c r="AW17" s="328"/>
      <c r="AX17" s="328"/>
      <c r="AY17" s="328"/>
      <c r="AZ17" s="328"/>
      <c r="BA17" s="328"/>
      <c r="BB17" s="328"/>
      <c r="BC17" s="328"/>
      <c r="BD17" s="328"/>
      <c r="BE17" s="328"/>
      <c r="BF17" s="328"/>
      <c r="BG17" s="328"/>
      <c r="BH17" s="328"/>
      <c r="BI17" s="328"/>
      <c r="BJ17" s="328"/>
      <c r="BK17" s="328"/>
      <c r="BL17" s="328"/>
      <c r="BM17" s="328"/>
      <c r="BN17" s="328"/>
      <c r="BO17" s="328"/>
      <c r="BP17" s="328"/>
      <c r="BQ17" s="328"/>
      <c r="BR17" s="328"/>
      <c r="BS17" s="328"/>
      <c r="BT17" s="328"/>
      <c r="BU17" s="328"/>
      <c r="BV17" s="328"/>
      <c r="BW17" s="328"/>
      <c r="BX17" s="328"/>
      <c r="BY17" s="328"/>
    </row>
    <row r="18" spans="1:77" s="623" customFormat="1" ht="12">
      <c r="A18" s="754"/>
      <c r="B18" s="2679" t="s">
        <v>24</v>
      </c>
      <c r="C18" s="3531" t="s">
        <v>61</v>
      </c>
      <c r="D18" s="2680">
        <f>+D19+D20</f>
        <v>18506901</v>
      </c>
      <c r="E18" s="2680">
        <f t="shared" ref="E18:L18" si="14">+E19+E20</f>
        <v>0</v>
      </c>
      <c r="F18" s="2680">
        <f t="shared" si="14"/>
        <v>388927</v>
      </c>
      <c r="G18" s="2680">
        <f t="shared" si="14"/>
        <v>3106613</v>
      </c>
      <c r="H18" s="2680">
        <f t="shared" si="14"/>
        <v>7213569</v>
      </c>
      <c r="I18" s="2680">
        <f t="shared" si="14"/>
        <v>4147063</v>
      </c>
      <c r="J18" s="2680">
        <f t="shared" si="14"/>
        <v>2000000</v>
      </c>
      <c r="K18" s="2680">
        <f t="shared" si="14"/>
        <v>1650729</v>
      </c>
      <c r="L18" s="2680">
        <f t="shared" si="14"/>
        <v>0</v>
      </c>
      <c r="M18" s="3537"/>
      <c r="N18" s="3537"/>
      <c r="O18" s="3527"/>
      <c r="P18" s="328"/>
      <c r="Q18" s="181"/>
      <c r="R18" s="328"/>
      <c r="S18" s="328"/>
      <c r="T18" s="328"/>
      <c r="U18" s="328"/>
      <c r="V18" s="328"/>
      <c r="W18" s="328"/>
      <c r="X18" s="328"/>
      <c r="Y18" s="328"/>
      <c r="Z18" s="328"/>
      <c r="AA18" s="328"/>
      <c r="AB18" s="328"/>
      <c r="AC18" s="328"/>
      <c r="AD18" s="328"/>
      <c r="AE18" s="328"/>
      <c r="AF18" s="328"/>
      <c r="AG18" s="328"/>
      <c r="AH18" s="328"/>
      <c r="AI18" s="328"/>
      <c r="AJ18" s="328"/>
      <c r="AK18" s="328"/>
      <c r="AL18" s="328"/>
      <c r="AM18" s="328"/>
      <c r="AN18" s="328"/>
      <c r="AO18" s="328"/>
      <c r="AP18" s="328"/>
      <c r="AQ18" s="328"/>
      <c r="AR18" s="328"/>
      <c r="AS18" s="328"/>
      <c r="AT18" s="328"/>
      <c r="AU18" s="328"/>
      <c r="AV18" s="328"/>
      <c r="AW18" s="328"/>
      <c r="AX18" s="328"/>
      <c r="AY18" s="328"/>
      <c r="AZ18" s="328"/>
      <c r="BA18" s="328"/>
      <c r="BB18" s="328"/>
      <c r="BC18" s="328"/>
      <c r="BD18" s="328"/>
      <c r="BE18" s="328"/>
      <c r="BF18" s="328"/>
      <c r="BG18" s="328"/>
      <c r="BH18" s="328"/>
      <c r="BI18" s="328"/>
      <c r="BJ18" s="328"/>
      <c r="BK18" s="328"/>
      <c r="BL18" s="328"/>
      <c r="BM18" s="328"/>
      <c r="BN18" s="328"/>
      <c r="BO18" s="328"/>
      <c r="BP18" s="328"/>
      <c r="BQ18" s="328"/>
      <c r="BR18" s="328"/>
      <c r="BS18" s="328"/>
      <c r="BT18" s="328"/>
      <c r="BU18" s="328"/>
      <c r="BV18" s="328"/>
      <c r="BW18" s="328"/>
      <c r="BX18" s="328"/>
      <c r="BY18" s="328"/>
    </row>
    <row r="19" spans="1:77" s="623" customFormat="1" ht="12">
      <c r="A19" s="754"/>
      <c r="B19" s="2685" t="s">
        <v>139</v>
      </c>
      <c r="C19" s="3532"/>
      <c r="D19" s="2682">
        <f>+D62+D98+D50+D74+D86+D31+D40+D135+D148+D160</f>
        <v>18074318</v>
      </c>
      <c r="E19" s="2682">
        <f t="shared" ref="E19:L19" si="15">+E62+E98+E50+E74+E86+E31+E40+E135+E148+E160</f>
        <v>0</v>
      </c>
      <c r="F19" s="2682">
        <f>+F62+F98+F50+F74+F86+F31+F40+F135+F148+F160</f>
        <v>388927</v>
      </c>
      <c r="G19" s="2682">
        <f t="shared" si="15"/>
        <v>2879559</v>
      </c>
      <c r="H19" s="2682">
        <f t="shared" si="15"/>
        <v>7008040</v>
      </c>
      <c r="I19" s="2682">
        <f>+I62+I98+I50+I74+I86+I31+I40+I135+I148+I160</f>
        <v>4147063</v>
      </c>
      <c r="J19" s="2682">
        <f t="shared" si="15"/>
        <v>2000000</v>
      </c>
      <c r="K19" s="2682">
        <f t="shared" si="15"/>
        <v>1650729</v>
      </c>
      <c r="L19" s="2682">
        <f t="shared" si="15"/>
        <v>0</v>
      </c>
      <c r="M19" s="3537"/>
      <c r="N19" s="3537"/>
      <c r="O19" s="3527"/>
      <c r="P19" s="328"/>
      <c r="Q19" s="181"/>
      <c r="R19" s="328"/>
      <c r="S19" s="328"/>
      <c r="T19" s="328"/>
      <c r="U19" s="328"/>
      <c r="V19" s="328"/>
      <c r="W19" s="328"/>
      <c r="X19" s="328"/>
      <c r="Y19" s="328"/>
      <c r="Z19" s="328"/>
      <c r="AA19" s="328"/>
      <c r="AB19" s="328"/>
      <c r="AC19" s="328"/>
      <c r="AD19" s="328"/>
      <c r="AE19" s="328"/>
      <c r="AF19" s="328"/>
      <c r="AG19" s="328"/>
      <c r="AH19" s="328"/>
      <c r="AI19" s="328"/>
      <c r="AJ19" s="328"/>
      <c r="AK19" s="328"/>
      <c r="AL19" s="328"/>
      <c r="AM19" s="328"/>
      <c r="AN19" s="328"/>
      <c r="AO19" s="328"/>
      <c r="AP19" s="328"/>
      <c r="AQ19" s="328"/>
      <c r="AR19" s="328"/>
      <c r="AS19" s="328"/>
      <c r="AT19" s="328"/>
      <c r="AU19" s="328"/>
      <c r="AV19" s="328"/>
      <c r="AW19" s="328"/>
      <c r="AX19" s="328"/>
      <c r="AY19" s="328"/>
      <c r="AZ19" s="328"/>
      <c r="BA19" s="328"/>
      <c r="BB19" s="328"/>
      <c r="BC19" s="328"/>
      <c r="BD19" s="328"/>
      <c r="BE19" s="328"/>
      <c r="BF19" s="328"/>
      <c r="BG19" s="328"/>
      <c r="BH19" s="328"/>
      <c r="BI19" s="328"/>
      <c r="BJ19" s="328"/>
      <c r="BK19" s="328"/>
      <c r="BL19" s="328"/>
      <c r="BM19" s="328"/>
      <c r="BN19" s="328"/>
      <c r="BO19" s="328"/>
      <c r="BP19" s="328"/>
      <c r="BQ19" s="328"/>
      <c r="BR19" s="328"/>
      <c r="BS19" s="328"/>
      <c r="BT19" s="328"/>
      <c r="BU19" s="328"/>
      <c r="BV19" s="328"/>
      <c r="BW19" s="328"/>
      <c r="BX19" s="328"/>
      <c r="BY19" s="328"/>
    </row>
    <row r="20" spans="1:77" s="623" customFormat="1" ht="12">
      <c r="A20" s="754"/>
      <c r="B20" s="2686" t="s">
        <v>507</v>
      </c>
      <c r="C20" s="3532"/>
      <c r="D20" s="580">
        <f>D136</f>
        <v>432583</v>
      </c>
      <c r="E20" s="580">
        <f t="shared" ref="E20:L20" si="16">E136</f>
        <v>0</v>
      </c>
      <c r="F20" s="580">
        <f t="shared" si="16"/>
        <v>0</v>
      </c>
      <c r="G20" s="580">
        <f t="shared" si="16"/>
        <v>227054</v>
      </c>
      <c r="H20" s="580">
        <f t="shared" si="16"/>
        <v>205529</v>
      </c>
      <c r="I20" s="580">
        <f t="shared" si="16"/>
        <v>0</v>
      </c>
      <c r="J20" s="580">
        <f t="shared" si="16"/>
        <v>0</v>
      </c>
      <c r="K20" s="580">
        <f t="shared" si="16"/>
        <v>0</v>
      </c>
      <c r="L20" s="580">
        <f t="shared" si="16"/>
        <v>0</v>
      </c>
      <c r="M20" s="3537"/>
      <c r="N20" s="3537"/>
      <c r="O20" s="3527"/>
      <c r="P20" s="328"/>
      <c r="Q20" s="181"/>
      <c r="R20" s="328"/>
      <c r="S20" s="328"/>
      <c r="T20" s="328"/>
      <c r="U20" s="328"/>
      <c r="V20" s="328"/>
      <c r="W20" s="328"/>
      <c r="X20" s="328"/>
      <c r="Y20" s="328"/>
      <c r="Z20" s="328"/>
      <c r="AA20" s="328"/>
      <c r="AB20" s="328"/>
      <c r="AC20" s="328"/>
      <c r="AD20" s="328"/>
      <c r="AE20" s="328"/>
      <c r="AF20" s="328"/>
      <c r="AG20" s="328"/>
      <c r="AH20" s="328"/>
      <c r="AI20" s="328"/>
      <c r="AJ20" s="328"/>
      <c r="AK20" s="328"/>
      <c r="AL20" s="328"/>
      <c r="AM20" s="328"/>
      <c r="AN20" s="328"/>
      <c r="AO20" s="328"/>
      <c r="AP20" s="328"/>
      <c r="AQ20" s="328"/>
      <c r="AR20" s="328"/>
      <c r="AS20" s="328"/>
      <c r="AT20" s="328"/>
      <c r="AU20" s="328"/>
      <c r="AV20" s="328"/>
      <c r="AW20" s="328"/>
      <c r="AX20" s="328"/>
      <c r="AY20" s="328"/>
      <c r="AZ20" s="328"/>
      <c r="BA20" s="328"/>
      <c r="BB20" s="328"/>
      <c r="BC20" s="328"/>
      <c r="BD20" s="328"/>
      <c r="BE20" s="328"/>
      <c r="BF20" s="328"/>
      <c r="BG20" s="328"/>
      <c r="BH20" s="328"/>
      <c r="BI20" s="328"/>
      <c r="BJ20" s="328"/>
      <c r="BK20" s="328"/>
      <c r="BL20" s="328"/>
      <c r="BM20" s="328"/>
      <c r="BN20" s="328"/>
      <c r="BO20" s="328"/>
      <c r="BP20" s="328"/>
      <c r="BQ20" s="328"/>
      <c r="BR20" s="328"/>
      <c r="BS20" s="328"/>
      <c r="BT20" s="328"/>
      <c r="BU20" s="328"/>
      <c r="BV20" s="328"/>
      <c r="BW20" s="328"/>
      <c r="BX20" s="328"/>
      <c r="BY20" s="328"/>
    </row>
    <row r="21" spans="1:77" s="623" customFormat="1" ht="12">
      <c r="A21" s="754"/>
      <c r="B21" s="2687" t="s">
        <v>18</v>
      </c>
      <c r="C21" s="3532"/>
      <c r="D21" s="2688">
        <f>+D22</f>
        <v>70623288</v>
      </c>
      <c r="E21" s="2688">
        <f t="shared" ref="E21:L21" si="17">+E22</f>
        <v>0</v>
      </c>
      <c r="F21" s="2688">
        <f t="shared" si="17"/>
        <v>22355</v>
      </c>
      <c r="G21" s="2688">
        <f t="shared" si="17"/>
        <v>14945614</v>
      </c>
      <c r="H21" s="2688">
        <f t="shared" si="17"/>
        <v>24390663</v>
      </c>
      <c r="I21" s="2688">
        <f t="shared" si="17"/>
        <v>12672156</v>
      </c>
      <c r="J21" s="2688">
        <f t="shared" si="17"/>
        <v>8500000</v>
      </c>
      <c r="K21" s="2688">
        <f t="shared" si="17"/>
        <v>10092500</v>
      </c>
      <c r="L21" s="2688">
        <f t="shared" si="17"/>
        <v>0</v>
      </c>
      <c r="M21" s="3537"/>
      <c r="N21" s="3537"/>
      <c r="O21" s="3527"/>
      <c r="P21" s="328"/>
      <c r="Q21" s="181"/>
      <c r="R21" s="328"/>
      <c r="S21" s="328"/>
      <c r="T21" s="328"/>
      <c r="U21" s="328"/>
      <c r="V21" s="328"/>
      <c r="W21" s="328"/>
      <c r="X21" s="328"/>
      <c r="Y21" s="328"/>
      <c r="Z21" s="328"/>
      <c r="AA21" s="328"/>
      <c r="AB21" s="328"/>
      <c r="AC21" s="328"/>
      <c r="AD21" s="328"/>
      <c r="AE21" s="328"/>
      <c r="AF21" s="328"/>
      <c r="AG21" s="328"/>
      <c r="AH21" s="328"/>
      <c r="AI21" s="328"/>
      <c r="AJ21" s="328"/>
      <c r="AK21" s="328"/>
      <c r="AL21" s="328"/>
      <c r="AM21" s="328"/>
      <c r="AN21" s="328"/>
      <c r="AO21" s="328"/>
      <c r="AP21" s="328"/>
      <c r="AQ21" s="328"/>
      <c r="AR21" s="328"/>
      <c r="AS21" s="328"/>
      <c r="AT21" s="328"/>
      <c r="AU21" s="328"/>
      <c r="AV21" s="328"/>
      <c r="AW21" s="328"/>
      <c r="AX21" s="328"/>
      <c r="AY21" s="328"/>
      <c r="AZ21" s="328"/>
      <c r="BA21" s="328"/>
      <c r="BB21" s="328"/>
      <c r="BC21" s="328"/>
      <c r="BD21" s="328"/>
      <c r="BE21" s="328"/>
      <c r="BF21" s="328"/>
      <c r="BG21" s="328"/>
      <c r="BH21" s="328"/>
      <c r="BI21" s="328"/>
      <c r="BJ21" s="328"/>
      <c r="BK21" s="328"/>
      <c r="BL21" s="328"/>
      <c r="BM21" s="328"/>
      <c r="BN21" s="328"/>
      <c r="BO21" s="328"/>
      <c r="BP21" s="328"/>
      <c r="BQ21" s="328"/>
      <c r="BR21" s="328"/>
      <c r="BS21" s="328"/>
      <c r="BT21" s="328"/>
      <c r="BU21" s="328"/>
      <c r="BV21" s="328"/>
      <c r="BW21" s="328"/>
      <c r="BX21" s="328"/>
      <c r="BY21" s="328"/>
    </row>
    <row r="22" spans="1:77" s="623" customFormat="1" ht="14.1" customHeight="1" thickBot="1">
      <c r="A22" s="755"/>
      <c r="B22" s="2689" t="s">
        <v>35</v>
      </c>
      <c r="C22" s="3533"/>
      <c r="D22" s="1762">
        <f>+D52+D64+D100+D88+D76+D112+D138+D150+D162</f>
        <v>70623288</v>
      </c>
      <c r="E22" s="1762">
        <f t="shared" ref="E22:L22" si="18">+E52+E64+E100+E88+E76+E112+E138+E150+E162</f>
        <v>0</v>
      </c>
      <c r="F22" s="1762">
        <f t="shared" si="18"/>
        <v>22355</v>
      </c>
      <c r="G22" s="1762">
        <f t="shared" si="18"/>
        <v>14945614</v>
      </c>
      <c r="H22" s="1762">
        <f t="shared" si="18"/>
        <v>24390663</v>
      </c>
      <c r="I22" s="1762">
        <f t="shared" si="18"/>
        <v>12672156</v>
      </c>
      <c r="J22" s="1762">
        <f t="shared" si="18"/>
        <v>8500000</v>
      </c>
      <c r="K22" s="1762">
        <f t="shared" si="18"/>
        <v>10092500</v>
      </c>
      <c r="L22" s="1762">
        <f t="shared" si="18"/>
        <v>0</v>
      </c>
      <c r="M22" s="3538"/>
      <c r="N22" s="3538"/>
      <c r="O22" s="3528"/>
      <c r="P22" s="328"/>
      <c r="Q22" s="181"/>
      <c r="R22" s="328"/>
      <c r="S22" s="328"/>
      <c r="T22" s="328"/>
      <c r="U22" s="328"/>
      <c r="V22" s="328"/>
      <c r="W22" s="328"/>
      <c r="X22" s="328"/>
      <c r="Y22" s="328"/>
      <c r="Z22" s="328"/>
      <c r="AA22" s="328"/>
      <c r="AB22" s="328"/>
      <c r="AC22" s="328"/>
      <c r="AD22" s="328"/>
      <c r="AE22" s="328"/>
      <c r="AF22" s="328"/>
      <c r="AG22" s="328"/>
      <c r="AH22" s="328"/>
      <c r="AI22" s="328"/>
      <c r="AJ22" s="328"/>
      <c r="AK22" s="328"/>
      <c r="AL22" s="328"/>
      <c r="AM22" s="328"/>
      <c r="AN22" s="328"/>
      <c r="AO22" s="328"/>
      <c r="AP22" s="328"/>
      <c r="AQ22" s="328"/>
      <c r="AR22" s="328"/>
      <c r="AS22" s="328"/>
      <c r="AT22" s="328"/>
      <c r="AU22" s="328"/>
      <c r="AV22" s="328"/>
      <c r="AW22" s="328"/>
      <c r="AX22" s="328"/>
      <c r="AY22" s="328"/>
      <c r="AZ22" s="328"/>
      <c r="BA22" s="328"/>
      <c r="BB22" s="328"/>
      <c r="BC22" s="328"/>
      <c r="BD22" s="328"/>
      <c r="BE22" s="328"/>
      <c r="BF22" s="328"/>
      <c r="BG22" s="328"/>
      <c r="BH22" s="328"/>
      <c r="BI22" s="328"/>
      <c r="BJ22" s="328"/>
      <c r="BK22" s="328"/>
      <c r="BL22" s="328"/>
      <c r="BM22" s="328"/>
      <c r="BN22" s="328"/>
      <c r="BO22" s="328"/>
      <c r="BP22" s="328"/>
      <c r="BQ22" s="328"/>
      <c r="BR22" s="328"/>
      <c r="BS22" s="328"/>
      <c r="BT22" s="328"/>
      <c r="BU22" s="328"/>
      <c r="BV22" s="328"/>
      <c r="BW22" s="328"/>
      <c r="BX22" s="328"/>
      <c r="BY22" s="328"/>
    </row>
    <row r="23" spans="1:77" s="328" customFormat="1" ht="23.25" customHeight="1">
      <c r="A23" s="3491" t="s">
        <v>63</v>
      </c>
      <c r="B23" s="1763" t="s">
        <v>349</v>
      </c>
      <c r="C23" s="1764" t="s">
        <v>81</v>
      </c>
      <c r="D23" s="1765"/>
      <c r="E23" s="580"/>
      <c r="F23" s="580"/>
      <c r="G23" s="580"/>
      <c r="H23" s="1766"/>
      <c r="I23" s="1766"/>
      <c r="J23" s="1766"/>
      <c r="K23" s="1766"/>
      <c r="L23" s="1766"/>
      <c r="M23" s="581"/>
      <c r="N23" s="581"/>
      <c r="O23" s="3494" t="s">
        <v>343</v>
      </c>
    </row>
    <row r="24" spans="1:77" s="328" customFormat="1" ht="12">
      <c r="A24" s="3492"/>
      <c r="B24" s="541" t="s">
        <v>10</v>
      </c>
      <c r="C24" s="541"/>
      <c r="D24" s="579">
        <f t="shared" ref="D24" si="19">+D25+D27</f>
        <v>1805000</v>
      </c>
      <c r="E24" s="579">
        <f t="shared" ref="E24" si="20">+E25+E27</f>
        <v>0</v>
      </c>
      <c r="F24" s="579">
        <f t="shared" ref="F24:N24" si="21">+F25</f>
        <v>242386</v>
      </c>
      <c r="G24" s="579">
        <f t="shared" si="21"/>
        <v>1562614</v>
      </c>
      <c r="H24" s="579">
        <f t="shared" si="21"/>
        <v>0</v>
      </c>
      <c r="I24" s="579">
        <f t="shared" si="21"/>
        <v>0</v>
      </c>
      <c r="J24" s="579"/>
      <c r="K24" s="579"/>
      <c r="L24" s="579"/>
      <c r="M24" s="582">
        <f t="shared" si="21"/>
        <v>1805000</v>
      </c>
      <c r="N24" s="582">
        <f t="shared" si="21"/>
        <v>1562614</v>
      </c>
      <c r="O24" s="3495"/>
    </row>
    <row r="25" spans="1:77" s="328" customFormat="1" ht="12">
      <c r="A25" s="3492"/>
      <c r="B25" s="2426" t="s">
        <v>24</v>
      </c>
      <c r="C25" s="3522" t="s">
        <v>342</v>
      </c>
      <c r="D25" s="1983">
        <f>D26</f>
        <v>1805000</v>
      </c>
      <c r="E25" s="531">
        <f t="shared" ref="E25:I25" si="22">E26</f>
        <v>0</v>
      </c>
      <c r="F25" s="531">
        <f t="shared" si="22"/>
        <v>242386</v>
      </c>
      <c r="G25" s="531">
        <f t="shared" si="22"/>
        <v>1562614</v>
      </c>
      <c r="H25" s="531">
        <f t="shared" si="22"/>
        <v>0</v>
      </c>
      <c r="I25" s="531">
        <f t="shared" si="22"/>
        <v>0</v>
      </c>
      <c r="J25" s="531"/>
      <c r="K25" s="531"/>
      <c r="L25" s="531"/>
      <c r="M25" s="584">
        <f>+M26</f>
        <v>1805000</v>
      </c>
      <c r="N25" s="584">
        <f>+N26</f>
        <v>1562614</v>
      </c>
      <c r="O25" s="3495"/>
    </row>
    <row r="26" spans="1:77" s="328" customFormat="1" ht="12.75" customHeight="1">
      <c r="A26" s="3492"/>
      <c r="B26" s="2427" t="s">
        <v>122</v>
      </c>
      <c r="C26" s="3498"/>
      <c r="D26" s="1984">
        <f>E26+F26+G26+H26+I26+J26+K26+L26</f>
        <v>1805000</v>
      </c>
      <c r="E26" s="527">
        <v>0</v>
      </c>
      <c r="F26" s="527">
        <f>355000-112614</f>
        <v>242386</v>
      </c>
      <c r="G26" s="527">
        <f>1450000+112614</f>
        <v>1562614</v>
      </c>
      <c r="H26" s="527">
        <v>0</v>
      </c>
      <c r="I26" s="527">
        <v>0</v>
      </c>
      <c r="J26" s="527"/>
      <c r="K26" s="527"/>
      <c r="L26" s="527"/>
      <c r="M26" s="577">
        <f>SUM(F26:K26)</f>
        <v>1805000</v>
      </c>
      <c r="N26" s="577">
        <f>SUM(G26:L26)</f>
        <v>1562614</v>
      </c>
      <c r="O26" s="3495"/>
    </row>
    <row r="27" spans="1:77" s="328" customFormat="1" ht="12.75" hidden="1" customHeight="1">
      <c r="A27" s="3492"/>
      <c r="B27" s="586" t="s">
        <v>18</v>
      </c>
      <c r="C27" s="3498"/>
      <c r="D27" s="587">
        <f>+D28</f>
        <v>0</v>
      </c>
      <c r="E27" s="587"/>
      <c r="F27" s="587"/>
      <c r="G27" s="587"/>
      <c r="H27" s="587"/>
      <c r="I27" s="587"/>
      <c r="J27" s="587"/>
      <c r="K27" s="587"/>
      <c r="L27" s="587"/>
      <c r="M27" s="1767" t="s">
        <v>61</v>
      </c>
      <c r="N27" s="1767" t="s">
        <v>61</v>
      </c>
      <c r="O27" s="3495"/>
    </row>
    <row r="28" spans="1:77" s="328" customFormat="1" ht="13.5" hidden="1" customHeight="1">
      <c r="A28" s="3492"/>
      <c r="B28" s="2428" t="s">
        <v>35</v>
      </c>
      <c r="C28" s="3498"/>
      <c r="D28" s="1984">
        <f>E28+F28+G28+H28+I28+J28+K28+L28</f>
        <v>0</v>
      </c>
      <c r="E28" s="527"/>
      <c r="F28" s="527"/>
      <c r="G28" s="527"/>
      <c r="H28" s="527"/>
      <c r="I28" s="527"/>
      <c r="J28" s="527"/>
      <c r="K28" s="527"/>
      <c r="L28" s="527"/>
      <c r="M28" s="607" t="s">
        <v>61</v>
      </c>
      <c r="N28" s="607" t="s">
        <v>61</v>
      </c>
      <c r="O28" s="3495"/>
    </row>
    <row r="29" spans="1:77" s="589" customFormat="1" ht="12">
      <c r="A29" s="3492"/>
      <c r="B29" s="1758" t="s">
        <v>22</v>
      </c>
      <c r="C29" s="3498"/>
      <c r="D29" s="1768">
        <f>D30</f>
        <v>55657</v>
      </c>
      <c r="E29" s="1768">
        <f>E30</f>
        <v>0</v>
      </c>
      <c r="F29" s="1769"/>
      <c r="G29" s="1769">
        <f>G30</f>
        <v>55657</v>
      </c>
      <c r="H29" s="1769"/>
      <c r="I29" s="1769"/>
      <c r="J29" s="1769"/>
      <c r="K29" s="1769"/>
      <c r="L29" s="1769"/>
      <c r="M29" s="3513"/>
      <c r="N29" s="3513"/>
      <c r="O29" s="3495"/>
    </row>
    <row r="30" spans="1:77" s="328" customFormat="1" ht="12.75">
      <c r="A30" s="3492"/>
      <c r="B30" s="2184" t="s">
        <v>24</v>
      </c>
      <c r="C30" s="3498"/>
      <c r="D30" s="1983">
        <f>+D31</f>
        <v>55657</v>
      </c>
      <c r="E30" s="1983">
        <f>+E31</f>
        <v>0</v>
      </c>
      <c r="F30" s="1770"/>
      <c r="G30" s="531">
        <f>G31</f>
        <v>55657</v>
      </c>
      <c r="H30" s="1770"/>
      <c r="I30" s="1770"/>
      <c r="J30" s="1770"/>
      <c r="K30" s="1770"/>
      <c r="L30" s="1770"/>
      <c r="M30" s="3514"/>
      <c r="N30" s="3514"/>
      <c r="O30" s="3495"/>
    </row>
    <row r="31" spans="1:77" s="328" customFormat="1" ht="13.5" thickBot="1">
      <c r="A31" s="3493"/>
      <c r="B31" s="2194" t="s">
        <v>139</v>
      </c>
      <c r="C31" s="3523"/>
      <c r="D31" s="2195">
        <f>E31+F31+G31+H31+I31+J31+K31+L31</f>
        <v>55657</v>
      </c>
      <c r="E31" s="585">
        <v>0</v>
      </c>
      <c r="F31" s="1771"/>
      <c r="G31" s="585">
        <v>55657</v>
      </c>
      <c r="H31" s="1771"/>
      <c r="I31" s="1771"/>
      <c r="J31" s="1771"/>
      <c r="K31" s="1771"/>
      <c r="L31" s="1771"/>
      <c r="M31" s="3515"/>
      <c r="N31" s="3515"/>
      <c r="O31" s="3520"/>
    </row>
    <row r="32" spans="1:77" s="328" customFormat="1" ht="27" customHeight="1">
      <c r="A32" s="3491" t="s">
        <v>64</v>
      </c>
      <c r="B32" s="1763" t="s">
        <v>505</v>
      </c>
      <c r="C32" s="1764" t="s">
        <v>109</v>
      </c>
      <c r="D32" s="1765"/>
      <c r="E32" s="580"/>
      <c r="F32" s="580"/>
      <c r="G32" s="580"/>
      <c r="H32" s="1766"/>
      <c r="I32" s="1766"/>
      <c r="J32" s="1766"/>
      <c r="K32" s="1766"/>
      <c r="L32" s="1766"/>
      <c r="M32" s="581"/>
      <c r="N32" s="581"/>
      <c r="O32" s="3494" t="s">
        <v>343</v>
      </c>
    </row>
    <row r="33" spans="1:15" s="328" customFormat="1" ht="12">
      <c r="A33" s="3492"/>
      <c r="B33" s="541" t="s">
        <v>10</v>
      </c>
      <c r="C33" s="541"/>
      <c r="D33" s="579">
        <f t="shared" ref="D33:E33" si="23">+D34+D36</f>
        <v>8265000</v>
      </c>
      <c r="E33" s="579">
        <f t="shared" si="23"/>
        <v>0</v>
      </c>
      <c r="F33" s="579">
        <f t="shared" ref="F33:N33" si="24">+F34</f>
        <v>4813876</v>
      </c>
      <c r="G33" s="579">
        <f t="shared" si="24"/>
        <v>3451124</v>
      </c>
      <c r="H33" s="579">
        <f t="shared" si="24"/>
        <v>0</v>
      </c>
      <c r="I33" s="579">
        <f t="shared" si="24"/>
        <v>0</v>
      </c>
      <c r="J33" s="579"/>
      <c r="K33" s="579"/>
      <c r="L33" s="579"/>
      <c r="M33" s="582">
        <f t="shared" si="24"/>
        <v>8265000</v>
      </c>
      <c r="N33" s="582">
        <f t="shared" si="24"/>
        <v>3451124</v>
      </c>
      <c r="O33" s="3495"/>
    </row>
    <row r="34" spans="1:15" s="328" customFormat="1" ht="12">
      <c r="A34" s="3492"/>
      <c r="B34" s="583" t="s">
        <v>24</v>
      </c>
      <c r="C34" s="3511" t="s">
        <v>342</v>
      </c>
      <c r="D34" s="531">
        <f>D35</f>
        <v>8265000</v>
      </c>
      <c r="E34" s="531">
        <f t="shared" ref="E34:I34" si="25">E35</f>
        <v>0</v>
      </c>
      <c r="F34" s="531">
        <f t="shared" si="25"/>
        <v>4813876</v>
      </c>
      <c r="G34" s="531">
        <f t="shared" si="25"/>
        <v>3451124</v>
      </c>
      <c r="H34" s="531">
        <f t="shared" si="25"/>
        <v>0</v>
      </c>
      <c r="I34" s="531">
        <f t="shared" si="25"/>
        <v>0</v>
      </c>
      <c r="J34" s="531"/>
      <c r="K34" s="531"/>
      <c r="L34" s="531"/>
      <c r="M34" s="584">
        <f>+M35</f>
        <v>8265000</v>
      </c>
      <c r="N34" s="584">
        <f>+N35</f>
        <v>3451124</v>
      </c>
      <c r="O34" s="3495"/>
    </row>
    <row r="35" spans="1:15" s="328" customFormat="1" ht="12">
      <c r="A35" s="3492"/>
      <c r="B35" s="619" t="s">
        <v>122</v>
      </c>
      <c r="C35" s="3498"/>
      <c r="D35" s="1682">
        <f>E35+F35+G35+H35+I35+J35+K35+L35</f>
        <v>8265000</v>
      </c>
      <c r="E35" s="527">
        <v>0</v>
      </c>
      <c r="F35" s="527">
        <v>4813876</v>
      </c>
      <c r="G35" s="527">
        <v>3451124</v>
      </c>
      <c r="H35" s="527">
        <v>0</v>
      </c>
      <c r="I35" s="527">
        <v>0</v>
      </c>
      <c r="J35" s="527"/>
      <c r="K35" s="527"/>
      <c r="L35" s="527"/>
      <c r="M35" s="577">
        <f>SUM(F35:K35)</f>
        <v>8265000</v>
      </c>
      <c r="N35" s="577">
        <f>SUM(G35:L35)</f>
        <v>3451124</v>
      </c>
      <c r="O35" s="3495"/>
    </row>
    <row r="36" spans="1:15" s="328" customFormat="1" ht="12" hidden="1">
      <c r="A36" s="3492"/>
      <c r="B36" s="586" t="s">
        <v>18</v>
      </c>
      <c r="C36" s="3498"/>
      <c r="D36" s="587">
        <f>+D37</f>
        <v>0</v>
      </c>
      <c r="E36" s="587"/>
      <c r="F36" s="587"/>
      <c r="G36" s="587"/>
      <c r="H36" s="587"/>
      <c r="I36" s="587"/>
      <c r="J36" s="587"/>
      <c r="K36" s="587"/>
      <c r="L36" s="587"/>
      <c r="M36" s="1767" t="s">
        <v>61</v>
      </c>
      <c r="N36" s="1767" t="s">
        <v>61</v>
      </c>
      <c r="O36" s="3495"/>
    </row>
    <row r="37" spans="1:15" s="328" customFormat="1" ht="12" hidden="1">
      <c r="A37" s="3492"/>
      <c r="B37" s="2690" t="s">
        <v>35</v>
      </c>
      <c r="C37" s="3498"/>
      <c r="D37" s="1682">
        <f>E37+F37+G37+H37+I37+J37+K37+L37</f>
        <v>0</v>
      </c>
      <c r="E37" s="527"/>
      <c r="F37" s="527"/>
      <c r="G37" s="527"/>
      <c r="H37" s="527"/>
      <c r="I37" s="527"/>
      <c r="J37" s="527"/>
      <c r="K37" s="527"/>
      <c r="L37" s="527"/>
      <c r="M37" s="607" t="s">
        <v>61</v>
      </c>
      <c r="N37" s="607" t="s">
        <v>61</v>
      </c>
      <c r="O37" s="3495"/>
    </row>
    <row r="38" spans="1:15" s="328" customFormat="1" ht="12">
      <c r="A38" s="3492"/>
      <c r="B38" s="1758" t="s">
        <v>22</v>
      </c>
      <c r="C38" s="3498"/>
      <c r="D38" s="1768">
        <f>D39</f>
        <v>380969</v>
      </c>
      <c r="E38" s="1768"/>
      <c r="F38" s="1769">
        <f>F39</f>
        <v>291487</v>
      </c>
      <c r="G38" s="1769">
        <f>G39</f>
        <v>89482</v>
      </c>
      <c r="H38" s="1769"/>
      <c r="I38" s="1769"/>
      <c r="J38" s="1769"/>
      <c r="K38" s="1769"/>
      <c r="L38" s="1769"/>
      <c r="M38" s="3513"/>
      <c r="N38" s="3513"/>
      <c r="O38" s="3495"/>
    </row>
    <row r="39" spans="1:15" s="328" customFormat="1" ht="12.75">
      <c r="A39" s="3492"/>
      <c r="B39" s="597" t="s">
        <v>24</v>
      </c>
      <c r="C39" s="3498"/>
      <c r="D39" s="531">
        <f>+D40</f>
        <v>380969</v>
      </c>
      <c r="E39" s="531"/>
      <c r="F39" s="2691">
        <f>F40</f>
        <v>291487</v>
      </c>
      <c r="G39" s="531">
        <f>G40</f>
        <v>89482</v>
      </c>
      <c r="H39" s="1770"/>
      <c r="I39" s="1770"/>
      <c r="J39" s="1770"/>
      <c r="K39" s="1770"/>
      <c r="L39" s="1770"/>
      <c r="M39" s="3514"/>
      <c r="N39" s="3514"/>
      <c r="O39" s="3495"/>
    </row>
    <row r="40" spans="1:15" s="328" customFormat="1" ht="13.5" thickBot="1">
      <c r="A40" s="3493"/>
      <c r="B40" s="595" t="s">
        <v>139</v>
      </c>
      <c r="C40" s="3523"/>
      <c r="D40" s="249">
        <f>E40+F40+G40+H40+I40+J40+K40+L40</f>
        <v>380969</v>
      </c>
      <c r="E40" s="585">
        <v>0</v>
      </c>
      <c r="F40" s="2692">
        <v>291487</v>
      </c>
      <c r="G40" s="585">
        <v>89482</v>
      </c>
      <c r="H40" s="1771"/>
      <c r="I40" s="1771"/>
      <c r="J40" s="1771"/>
      <c r="K40" s="1771"/>
      <c r="L40" s="1771"/>
      <c r="M40" s="3515"/>
      <c r="N40" s="3515"/>
      <c r="O40" s="3520"/>
    </row>
    <row r="41" spans="1:15" s="328" customFormat="1" ht="26.25" customHeight="1">
      <c r="A41" s="3491" t="s">
        <v>65</v>
      </c>
      <c r="B41" s="590" t="s">
        <v>503</v>
      </c>
      <c r="C41" s="591" t="s">
        <v>81</v>
      </c>
      <c r="D41" s="526"/>
      <c r="E41" s="601"/>
      <c r="F41" s="601"/>
      <c r="G41" s="601"/>
      <c r="H41" s="601"/>
      <c r="I41" s="601"/>
      <c r="J41" s="601"/>
      <c r="K41" s="601"/>
      <c r="L41" s="601"/>
      <c r="M41" s="611"/>
      <c r="N41" s="611"/>
      <c r="O41" s="3494" t="s">
        <v>504</v>
      </c>
    </row>
    <row r="42" spans="1:15" s="328" customFormat="1" ht="11.25" customHeight="1">
      <c r="A42" s="3492"/>
      <c r="B42" s="2185" t="s">
        <v>10</v>
      </c>
      <c r="C42" s="2850"/>
      <c r="D42" s="2851">
        <f>+D43+D46</f>
        <v>86880466</v>
      </c>
      <c r="E42" s="2851">
        <f t="shared" ref="E42" si="26">+E43+E46</f>
        <v>353841</v>
      </c>
      <c r="F42" s="2851">
        <f t="shared" ref="F42:G42" si="27">+F43+F46</f>
        <v>923069</v>
      </c>
      <c r="G42" s="2851">
        <f t="shared" si="27"/>
        <v>14371931</v>
      </c>
      <c r="H42" s="2851">
        <f>+H43+H46</f>
        <v>30000000</v>
      </c>
      <c r="I42" s="2851">
        <f>+I43+I46</f>
        <v>17600000</v>
      </c>
      <c r="J42" s="2851">
        <f t="shared" ref="J42:K42" si="28">+J43+J46</f>
        <v>12066880</v>
      </c>
      <c r="K42" s="2851">
        <f t="shared" si="28"/>
        <v>11564745</v>
      </c>
      <c r="L42" s="2851"/>
      <c r="M42" s="2852">
        <f>+M43</f>
        <v>26326625</v>
      </c>
      <c r="N42" s="2852">
        <f>+N43</f>
        <v>25403556</v>
      </c>
      <c r="O42" s="3495"/>
    </row>
    <row r="43" spans="1:15" s="328" customFormat="1" ht="12" customHeight="1">
      <c r="A43" s="3492"/>
      <c r="B43" s="2853" t="s">
        <v>24</v>
      </c>
      <c r="C43" s="3516" t="s">
        <v>557</v>
      </c>
      <c r="D43" s="2854">
        <f>D45+D44</f>
        <v>26680466</v>
      </c>
      <c r="E43" s="2854">
        <f t="shared" ref="E43" si="29">E45+E44</f>
        <v>353841</v>
      </c>
      <c r="F43" s="2854">
        <f t="shared" ref="F43:K43" si="30">F45+F44</f>
        <v>923069</v>
      </c>
      <c r="G43" s="2854">
        <f t="shared" si="30"/>
        <v>5106931</v>
      </c>
      <c r="H43" s="2854">
        <f t="shared" si="30"/>
        <v>9600000</v>
      </c>
      <c r="I43" s="2854">
        <f t="shared" si="30"/>
        <v>5657500</v>
      </c>
      <c r="J43" s="2854">
        <f t="shared" si="30"/>
        <v>3566880</v>
      </c>
      <c r="K43" s="2854">
        <f t="shared" si="30"/>
        <v>1472245</v>
      </c>
      <c r="L43" s="2854"/>
      <c r="M43" s="2855">
        <f>+M45</f>
        <v>26326625</v>
      </c>
      <c r="N43" s="2855">
        <f>+N45</f>
        <v>25403556</v>
      </c>
      <c r="O43" s="3495"/>
    </row>
    <row r="44" spans="1:15" s="328" customFormat="1" ht="12" hidden="1" customHeight="1">
      <c r="A44" s="3492"/>
      <c r="B44" s="2856" t="s">
        <v>32</v>
      </c>
      <c r="C44" s="3517"/>
      <c r="D44" s="1016">
        <f>E44+F44+G44+H44+I44+J44+K44+L44</f>
        <v>0</v>
      </c>
      <c r="E44" s="2857"/>
      <c r="F44" s="2858">
        <v>0</v>
      </c>
      <c r="G44" s="2858">
        <v>0</v>
      </c>
      <c r="H44" s="2858">
        <v>0</v>
      </c>
      <c r="I44" s="2858">
        <v>0</v>
      </c>
      <c r="J44" s="756"/>
      <c r="K44" s="756"/>
      <c r="L44" s="756"/>
      <c r="M44" s="594" t="s">
        <v>61</v>
      </c>
      <c r="N44" s="594" t="s">
        <v>61</v>
      </c>
      <c r="O44" s="3495"/>
    </row>
    <row r="45" spans="1:15" s="328" customFormat="1" ht="12">
      <c r="A45" s="3492"/>
      <c r="B45" s="2190" t="s">
        <v>122</v>
      </c>
      <c r="C45" s="3517"/>
      <c r="D45" s="1016">
        <f>E45+F45+G45+H45+I45+J45+K45+L45</f>
        <v>26680466</v>
      </c>
      <c r="E45" s="2857">
        <v>353841</v>
      </c>
      <c r="F45" s="2191">
        <f>3000000-2076931</f>
        <v>923069</v>
      </c>
      <c r="G45" s="2191">
        <f>3030000+2076931</f>
        <v>5106931</v>
      </c>
      <c r="H45" s="2191">
        <v>9600000</v>
      </c>
      <c r="I45" s="2191">
        <v>5657500</v>
      </c>
      <c r="J45" s="2191">
        <v>3566880</v>
      </c>
      <c r="K45" s="2191">
        <f>1467579+4666</f>
        <v>1472245</v>
      </c>
      <c r="L45" s="2191"/>
      <c r="M45" s="2859">
        <f>SUM(F45:L45)</f>
        <v>26326625</v>
      </c>
      <c r="N45" s="2859">
        <f>SUM(G45:L45)</f>
        <v>25403556</v>
      </c>
      <c r="O45" s="3495"/>
    </row>
    <row r="46" spans="1:15" s="382" customFormat="1" ht="12">
      <c r="A46" s="3492"/>
      <c r="B46" s="2192" t="s">
        <v>18</v>
      </c>
      <c r="C46" s="3517"/>
      <c r="D46" s="2193">
        <f>+D47</f>
        <v>60200000</v>
      </c>
      <c r="E46" s="2193">
        <f t="shared" ref="E46:N46" si="31">+E47</f>
        <v>0</v>
      </c>
      <c r="F46" s="2193">
        <f t="shared" si="31"/>
        <v>0</v>
      </c>
      <c r="G46" s="2193">
        <f t="shared" si="31"/>
        <v>9265000</v>
      </c>
      <c r="H46" s="2193">
        <f t="shared" si="31"/>
        <v>20400000</v>
      </c>
      <c r="I46" s="2193">
        <f t="shared" si="31"/>
        <v>11942500</v>
      </c>
      <c r="J46" s="2193">
        <f t="shared" si="31"/>
        <v>8500000</v>
      </c>
      <c r="K46" s="2193">
        <f t="shared" si="31"/>
        <v>10092500</v>
      </c>
      <c r="L46" s="1473"/>
      <c r="M46" s="1474" t="str">
        <f t="shared" si="31"/>
        <v>x</v>
      </c>
      <c r="N46" s="1474" t="str">
        <f t="shared" si="31"/>
        <v>x</v>
      </c>
      <c r="O46" s="3495"/>
    </row>
    <row r="47" spans="1:15" s="382" customFormat="1" ht="12">
      <c r="A47" s="3492"/>
      <c r="B47" s="2190" t="s">
        <v>35</v>
      </c>
      <c r="C47" s="3518"/>
      <c r="D47" s="1016">
        <f>E47+F47+G47+H47+I47+J47+K47+L47</f>
        <v>60200000</v>
      </c>
      <c r="E47" s="2857">
        <v>0</v>
      </c>
      <c r="F47" s="1864">
        <v>0</v>
      </c>
      <c r="G47" s="1864">
        <v>9265000</v>
      </c>
      <c r="H47" s="1864">
        <v>20400000</v>
      </c>
      <c r="I47" s="1864">
        <v>11942500</v>
      </c>
      <c r="J47" s="757">
        <v>8500000</v>
      </c>
      <c r="K47" s="757">
        <v>10092500</v>
      </c>
      <c r="L47" s="757"/>
      <c r="M47" s="1475" t="s">
        <v>61</v>
      </c>
      <c r="N47" s="1475" t="s">
        <v>61</v>
      </c>
      <c r="O47" s="3495"/>
    </row>
    <row r="48" spans="1:15" s="596" customFormat="1" ht="12">
      <c r="A48" s="3492"/>
      <c r="B48" s="2185" t="s">
        <v>22</v>
      </c>
      <c r="C48" s="2186"/>
      <c r="D48" s="2187">
        <f>D51+D49</f>
        <v>76000729</v>
      </c>
      <c r="E48" s="2187">
        <f t="shared" ref="E48" si="32">E51+E49</f>
        <v>0</v>
      </c>
      <c r="F48" s="2187">
        <f t="shared" ref="F48:G48" si="33">F51+F49</f>
        <v>97440</v>
      </c>
      <c r="G48" s="2187">
        <f t="shared" si="33"/>
        <v>11317560</v>
      </c>
      <c r="H48" s="2187">
        <f>H51+H49</f>
        <v>26400000</v>
      </c>
      <c r="I48" s="2187">
        <f>I51+I49</f>
        <v>15942500</v>
      </c>
      <c r="J48" s="2187">
        <f t="shared" ref="J48:K48" si="34">J51+J49</f>
        <v>10500000</v>
      </c>
      <c r="K48" s="2187">
        <f t="shared" si="34"/>
        <v>11743229</v>
      </c>
      <c r="L48" s="2187"/>
      <c r="M48" s="3521" t="s">
        <v>61</v>
      </c>
      <c r="N48" s="3521" t="s">
        <v>61</v>
      </c>
      <c r="O48" s="3495"/>
    </row>
    <row r="49" spans="1:77" s="596" customFormat="1" ht="12">
      <c r="A49" s="3492"/>
      <c r="B49" s="2188" t="s">
        <v>24</v>
      </c>
      <c r="C49" s="3516" t="s">
        <v>558</v>
      </c>
      <c r="D49" s="1863">
        <f>+D50</f>
        <v>15800729</v>
      </c>
      <c r="E49" s="1863">
        <f t="shared" ref="E49:K49" si="35">+E50</f>
        <v>0</v>
      </c>
      <c r="F49" s="1863">
        <f t="shared" si="35"/>
        <v>97440</v>
      </c>
      <c r="G49" s="1863">
        <f t="shared" si="35"/>
        <v>2052560</v>
      </c>
      <c r="H49" s="1863">
        <f t="shared" si="35"/>
        <v>6000000</v>
      </c>
      <c r="I49" s="1863">
        <f t="shared" si="35"/>
        <v>4000000</v>
      </c>
      <c r="J49" s="1863">
        <f t="shared" si="35"/>
        <v>2000000</v>
      </c>
      <c r="K49" s="1863">
        <f t="shared" si="35"/>
        <v>1650729</v>
      </c>
      <c r="L49" s="1863"/>
      <c r="M49" s="3503"/>
      <c r="N49" s="3503"/>
      <c r="O49" s="3495"/>
    </row>
    <row r="50" spans="1:77" s="596" customFormat="1" ht="12.75" customHeight="1">
      <c r="A50" s="3492"/>
      <c r="B50" s="2190" t="s">
        <v>139</v>
      </c>
      <c r="C50" s="3517"/>
      <c r="D50" s="1016">
        <f>E50+F50+G50+H50+I50+J50+K50+L50</f>
        <v>15800729</v>
      </c>
      <c r="E50" s="2857">
        <v>0</v>
      </c>
      <c r="F50" s="2191">
        <f>350000-252560</f>
        <v>97440</v>
      </c>
      <c r="G50" s="2191">
        <f>1800000+252560</f>
        <v>2052560</v>
      </c>
      <c r="H50" s="2191">
        <v>6000000</v>
      </c>
      <c r="I50" s="2191">
        <v>4000000</v>
      </c>
      <c r="J50" s="2191">
        <v>2000000</v>
      </c>
      <c r="K50" s="2191">
        <v>1650729</v>
      </c>
      <c r="L50" s="2191"/>
      <c r="M50" s="3503"/>
      <c r="N50" s="3503"/>
      <c r="O50" s="3495"/>
      <c r="Q50" s="598">
        <v>10989251</v>
      </c>
    </row>
    <row r="51" spans="1:77" s="382" customFormat="1" ht="13.5" customHeight="1">
      <c r="A51" s="3492"/>
      <c r="B51" s="2192" t="s">
        <v>18</v>
      </c>
      <c r="C51" s="3517"/>
      <c r="D51" s="2193">
        <f>+D52</f>
        <v>60200000</v>
      </c>
      <c r="E51" s="2193">
        <f t="shared" ref="E51:K51" si="36">+E52</f>
        <v>0</v>
      </c>
      <c r="F51" s="2193">
        <f t="shared" si="36"/>
        <v>0</v>
      </c>
      <c r="G51" s="2193">
        <f t="shared" si="36"/>
        <v>9265000</v>
      </c>
      <c r="H51" s="2193">
        <f t="shared" si="36"/>
        <v>20400000</v>
      </c>
      <c r="I51" s="2193">
        <f t="shared" si="36"/>
        <v>11942500</v>
      </c>
      <c r="J51" s="2193">
        <f t="shared" si="36"/>
        <v>8500000</v>
      </c>
      <c r="K51" s="2193">
        <f t="shared" si="36"/>
        <v>10092500</v>
      </c>
      <c r="L51" s="2193"/>
      <c r="M51" s="3503"/>
      <c r="N51" s="3503"/>
      <c r="O51" s="3495"/>
    </row>
    <row r="52" spans="1:77" s="382" customFormat="1" ht="13.5" customHeight="1" thickBot="1">
      <c r="A52" s="3493"/>
      <c r="B52" s="610" t="s">
        <v>35</v>
      </c>
      <c r="C52" s="3519"/>
      <c r="D52" s="2860">
        <f>E52+F52+G52+H52+I52+J52+K52+L52</f>
        <v>60200000</v>
      </c>
      <c r="E52" s="585">
        <v>0</v>
      </c>
      <c r="F52" s="599">
        <v>0</v>
      </c>
      <c r="G52" s="599">
        <v>9265000</v>
      </c>
      <c r="H52" s="599">
        <v>20400000</v>
      </c>
      <c r="I52" s="599">
        <v>11942500</v>
      </c>
      <c r="J52" s="599">
        <v>8500000</v>
      </c>
      <c r="K52" s="599">
        <v>10092500</v>
      </c>
      <c r="L52" s="599"/>
      <c r="M52" s="3504"/>
      <c r="N52" s="3504"/>
      <c r="O52" s="3496"/>
    </row>
    <row r="53" spans="1:77" s="328" customFormat="1" ht="27" hidden="1" customHeight="1">
      <c r="A53" s="3491" t="s">
        <v>65</v>
      </c>
      <c r="B53" s="590"/>
      <c r="C53" s="591" t="s">
        <v>81</v>
      </c>
      <c r="D53" s="600"/>
      <c r="E53" s="601"/>
      <c r="F53" s="601"/>
      <c r="G53" s="601"/>
      <c r="H53" s="602"/>
      <c r="I53" s="602"/>
      <c r="J53" s="602"/>
      <c r="K53" s="602"/>
      <c r="L53" s="602"/>
      <c r="M53" s="603"/>
      <c r="N53" s="603"/>
      <c r="O53" s="3494" t="s">
        <v>161</v>
      </c>
      <c r="BY53" s="589"/>
    </row>
    <row r="54" spans="1:77" s="328" customFormat="1" ht="14.25" hidden="1" customHeight="1">
      <c r="A54" s="3492"/>
      <c r="B54" s="541" t="s">
        <v>10</v>
      </c>
      <c r="C54" s="592"/>
      <c r="D54" s="579"/>
      <c r="E54" s="579">
        <v>0</v>
      </c>
      <c r="F54" s="579">
        <f t="shared" ref="F54:I54" si="37">+F55+F58</f>
        <v>0</v>
      </c>
      <c r="G54" s="579">
        <f t="shared" si="37"/>
        <v>0</v>
      </c>
      <c r="H54" s="579">
        <f t="shared" si="37"/>
        <v>0</v>
      </c>
      <c r="I54" s="579">
        <f t="shared" si="37"/>
        <v>0</v>
      </c>
      <c r="J54" s="579"/>
      <c r="K54" s="579"/>
      <c r="L54" s="579"/>
      <c r="M54" s="582">
        <f>+M55</f>
        <v>0</v>
      </c>
      <c r="N54" s="582">
        <f>+N55</f>
        <v>0</v>
      </c>
      <c r="O54" s="3495"/>
    </row>
    <row r="55" spans="1:77" s="328" customFormat="1" ht="14.25" hidden="1" customHeight="1">
      <c r="A55" s="3492"/>
      <c r="B55" s="597" t="s">
        <v>24</v>
      </c>
      <c r="C55" s="3540" t="s">
        <v>162</v>
      </c>
      <c r="D55" s="531"/>
      <c r="E55" s="531">
        <v>0</v>
      </c>
      <c r="F55" s="531">
        <f t="shared" ref="F55:G55" si="38">F56+F57</f>
        <v>0</v>
      </c>
      <c r="G55" s="531">
        <f t="shared" si="38"/>
        <v>0</v>
      </c>
      <c r="H55" s="531">
        <f>H56+H57</f>
        <v>0</v>
      </c>
      <c r="I55" s="531">
        <f>I56+I57</f>
        <v>0</v>
      </c>
      <c r="J55" s="531"/>
      <c r="K55" s="531"/>
      <c r="L55" s="531"/>
      <c r="M55" s="584">
        <f>+M56</f>
        <v>0</v>
      </c>
      <c r="N55" s="584">
        <f>+N56</f>
        <v>0</v>
      </c>
      <c r="O55" s="3495"/>
    </row>
    <row r="56" spans="1:77" s="328" customFormat="1" ht="14.25" hidden="1" customHeight="1">
      <c r="A56" s="3492"/>
      <c r="B56" s="595" t="s">
        <v>122</v>
      </c>
      <c r="C56" s="3541"/>
      <c r="D56" s="529"/>
      <c r="E56" s="527"/>
      <c r="F56" s="527">
        <v>0</v>
      </c>
      <c r="G56" s="527">
        <v>0</v>
      </c>
      <c r="H56" s="527">
        <v>0</v>
      </c>
      <c r="I56" s="527">
        <v>0</v>
      </c>
      <c r="J56" s="527"/>
      <c r="K56" s="527"/>
      <c r="L56" s="527"/>
      <c r="M56" s="577">
        <f>SUM(E56:H56)</f>
        <v>0</v>
      </c>
      <c r="N56" s="577">
        <f>SUM(F56:I56)</f>
        <v>0</v>
      </c>
      <c r="O56" s="3495"/>
    </row>
    <row r="57" spans="1:77" s="328" customFormat="1" ht="14.25" hidden="1" customHeight="1">
      <c r="A57" s="3492"/>
      <c r="B57" s="604" t="s">
        <v>32</v>
      </c>
      <c r="C57" s="3512" t="s">
        <v>23</v>
      </c>
      <c r="D57" s="529"/>
      <c r="E57" s="527"/>
      <c r="F57" s="458"/>
      <c r="G57" s="458">
        <v>0</v>
      </c>
      <c r="H57" s="458">
        <v>0</v>
      </c>
      <c r="I57" s="458">
        <v>0</v>
      </c>
      <c r="J57" s="458"/>
      <c r="K57" s="458"/>
      <c r="L57" s="458"/>
      <c r="M57" s="605" t="s">
        <v>61</v>
      </c>
      <c r="N57" s="605" t="s">
        <v>61</v>
      </c>
      <c r="O57" s="3495"/>
    </row>
    <row r="58" spans="1:77" s="328" customFormat="1" ht="14.25" hidden="1" customHeight="1">
      <c r="A58" s="3492"/>
      <c r="B58" s="606" t="s">
        <v>18</v>
      </c>
      <c r="C58" s="3542"/>
      <c r="D58" s="587"/>
      <c r="E58" s="587">
        <v>0</v>
      </c>
      <c r="F58" s="587">
        <f t="shared" ref="F58:N58" si="39">+F59</f>
        <v>0</v>
      </c>
      <c r="G58" s="587">
        <f t="shared" si="39"/>
        <v>0</v>
      </c>
      <c r="H58" s="587">
        <f t="shared" si="39"/>
        <v>0</v>
      </c>
      <c r="I58" s="587">
        <f t="shared" si="39"/>
        <v>0</v>
      </c>
      <c r="J58" s="587"/>
      <c r="K58" s="587"/>
      <c r="L58" s="587"/>
      <c r="M58" s="594" t="str">
        <f t="shared" si="39"/>
        <v>x</v>
      </c>
      <c r="N58" s="594" t="str">
        <f t="shared" si="39"/>
        <v>x</v>
      </c>
      <c r="O58" s="3495"/>
    </row>
    <row r="59" spans="1:77" s="328" customFormat="1" ht="14.25" hidden="1" customHeight="1">
      <c r="A59" s="3492"/>
      <c r="B59" s="604" t="s">
        <v>35</v>
      </c>
      <c r="C59" s="3501"/>
      <c r="D59" s="529"/>
      <c r="E59" s="527"/>
      <c r="F59" s="527">
        <v>0</v>
      </c>
      <c r="G59" s="527">
        <v>0</v>
      </c>
      <c r="H59" s="527">
        <v>0</v>
      </c>
      <c r="I59" s="527">
        <v>0</v>
      </c>
      <c r="J59" s="527"/>
      <c r="K59" s="527"/>
      <c r="L59" s="527"/>
      <c r="M59" s="607" t="s">
        <v>61</v>
      </c>
      <c r="N59" s="607" t="s">
        <v>61</v>
      </c>
      <c r="O59" s="3495"/>
    </row>
    <row r="60" spans="1:77" s="589" customFormat="1" ht="14.25" hidden="1" customHeight="1">
      <c r="A60" s="3492"/>
      <c r="B60" s="541" t="s">
        <v>22</v>
      </c>
      <c r="C60" s="592"/>
      <c r="D60" s="579"/>
      <c r="E60" s="579">
        <v>0</v>
      </c>
      <c r="F60" s="579">
        <f>F63+F61</f>
        <v>0</v>
      </c>
      <c r="G60" s="579">
        <f>G63+G61</f>
        <v>0</v>
      </c>
      <c r="H60" s="579">
        <f>H63+H61</f>
        <v>0</v>
      </c>
      <c r="I60" s="579">
        <f>I63+I61</f>
        <v>0</v>
      </c>
      <c r="J60" s="579"/>
      <c r="K60" s="579"/>
      <c r="L60" s="579"/>
      <c r="M60" s="3543" t="s">
        <v>61</v>
      </c>
      <c r="N60" s="3543" t="s">
        <v>61</v>
      </c>
      <c r="O60" s="3495"/>
    </row>
    <row r="61" spans="1:77" s="589" customFormat="1" ht="14.25" hidden="1" customHeight="1">
      <c r="A61" s="3492"/>
      <c r="B61" s="597" t="s">
        <v>24</v>
      </c>
      <c r="C61" s="3540" t="s">
        <v>162</v>
      </c>
      <c r="D61" s="608"/>
      <c r="E61" s="608">
        <v>0</v>
      </c>
      <c r="F61" s="608">
        <f t="shared" ref="F61:I61" si="40">+F62</f>
        <v>0</v>
      </c>
      <c r="G61" s="608">
        <f t="shared" si="40"/>
        <v>0</v>
      </c>
      <c r="H61" s="608">
        <f t="shared" si="40"/>
        <v>0</v>
      </c>
      <c r="I61" s="608">
        <f t="shared" si="40"/>
        <v>0</v>
      </c>
      <c r="J61" s="608"/>
      <c r="K61" s="608"/>
      <c r="L61" s="608"/>
      <c r="M61" s="3544"/>
      <c r="N61" s="3544"/>
      <c r="O61" s="3495"/>
    </row>
    <row r="62" spans="1:77" s="589" customFormat="1" ht="14.25" hidden="1" customHeight="1">
      <c r="A62" s="3492"/>
      <c r="B62" s="604" t="s">
        <v>139</v>
      </c>
      <c r="C62" s="3541"/>
      <c r="D62" s="529"/>
      <c r="E62" s="527"/>
      <c r="F62" s="527">
        <v>0</v>
      </c>
      <c r="G62" s="527">
        <v>0</v>
      </c>
      <c r="H62" s="527">
        <v>0</v>
      </c>
      <c r="I62" s="527">
        <v>0</v>
      </c>
      <c r="J62" s="527"/>
      <c r="K62" s="527"/>
      <c r="L62" s="527"/>
      <c r="M62" s="3544"/>
      <c r="N62" s="3544"/>
      <c r="O62" s="3495"/>
      <c r="Q62" s="609">
        <v>-13525758</v>
      </c>
    </row>
    <row r="63" spans="1:77" s="328" customFormat="1" ht="14.25" hidden="1" customHeight="1">
      <c r="A63" s="3492"/>
      <c r="B63" s="606" t="s">
        <v>18</v>
      </c>
      <c r="C63" s="3512" t="s">
        <v>23</v>
      </c>
      <c r="D63" s="531"/>
      <c r="E63" s="531">
        <v>0</v>
      </c>
      <c r="F63" s="531">
        <f t="shared" ref="F63:I63" si="41">+F64</f>
        <v>0</v>
      </c>
      <c r="G63" s="531">
        <f t="shared" si="41"/>
        <v>0</v>
      </c>
      <c r="H63" s="531">
        <f t="shared" si="41"/>
        <v>0</v>
      </c>
      <c r="I63" s="531">
        <f t="shared" si="41"/>
        <v>0</v>
      </c>
      <c r="J63" s="531"/>
      <c r="K63" s="531"/>
      <c r="L63" s="531"/>
      <c r="M63" s="3544"/>
      <c r="N63" s="3544"/>
      <c r="O63" s="3495"/>
    </row>
    <row r="64" spans="1:77" s="328" customFormat="1" ht="14.25" hidden="1" customHeight="1" thickBot="1">
      <c r="A64" s="3493"/>
      <c r="B64" s="610" t="s">
        <v>35</v>
      </c>
      <c r="C64" s="3505"/>
      <c r="D64" s="599"/>
      <c r="E64" s="585"/>
      <c r="F64" s="585">
        <v>0</v>
      </c>
      <c r="G64" s="585">
        <v>0</v>
      </c>
      <c r="H64" s="585">
        <v>0</v>
      </c>
      <c r="I64" s="585">
        <v>0</v>
      </c>
      <c r="J64" s="585"/>
      <c r="K64" s="585"/>
      <c r="L64" s="585"/>
      <c r="M64" s="3545"/>
      <c r="N64" s="3545"/>
      <c r="O64" s="3496"/>
    </row>
    <row r="65" spans="1:77" s="328" customFormat="1" ht="39" hidden="1" customHeight="1">
      <c r="A65" s="3491" t="s">
        <v>66</v>
      </c>
      <c r="B65" s="590"/>
      <c r="C65" s="591" t="s">
        <v>81</v>
      </c>
      <c r="D65" s="600"/>
      <c r="E65" s="601"/>
      <c r="F65" s="601"/>
      <c r="G65" s="601"/>
      <c r="H65" s="602"/>
      <c r="I65" s="602"/>
      <c r="J65" s="602"/>
      <c r="K65" s="602"/>
      <c r="L65" s="602"/>
      <c r="M65" s="611"/>
      <c r="N65" s="611"/>
      <c r="O65" s="3494" t="s">
        <v>163</v>
      </c>
      <c r="BY65" s="589"/>
    </row>
    <row r="66" spans="1:77" s="328" customFormat="1" ht="13.5" hidden="1" customHeight="1">
      <c r="A66" s="3492"/>
      <c r="B66" s="541" t="s">
        <v>10</v>
      </c>
      <c r="C66" s="592"/>
      <c r="D66" s="579"/>
      <c r="E66" s="579">
        <v>0</v>
      </c>
      <c r="F66" s="579">
        <f t="shared" ref="F66:I66" si="42">+F67+F70</f>
        <v>0</v>
      </c>
      <c r="G66" s="579">
        <f t="shared" si="42"/>
        <v>0</v>
      </c>
      <c r="H66" s="579">
        <f t="shared" si="42"/>
        <v>0</v>
      </c>
      <c r="I66" s="579">
        <f t="shared" si="42"/>
        <v>0</v>
      </c>
      <c r="J66" s="579"/>
      <c r="K66" s="579"/>
      <c r="L66" s="579"/>
      <c r="M66" s="582">
        <f>+M67</f>
        <v>0</v>
      </c>
      <c r="N66" s="582">
        <f>+N67</f>
        <v>0</v>
      </c>
      <c r="O66" s="3495"/>
    </row>
    <row r="67" spans="1:77" s="328" customFormat="1" ht="13.5" hidden="1" customHeight="1">
      <c r="A67" s="3492"/>
      <c r="B67" s="583" t="s">
        <v>24</v>
      </c>
      <c r="C67" s="3540" t="s">
        <v>301</v>
      </c>
      <c r="D67" s="531"/>
      <c r="E67" s="531">
        <v>0</v>
      </c>
      <c r="F67" s="531">
        <f t="shared" ref="F67:G67" si="43">+F68+F69</f>
        <v>0</v>
      </c>
      <c r="G67" s="531">
        <f t="shared" si="43"/>
        <v>0</v>
      </c>
      <c r="H67" s="531">
        <f>+H68+H69</f>
        <v>0</v>
      </c>
      <c r="I67" s="531">
        <f>+I68+I69</f>
        <v>0</v>
      </c>
      <c r="J67" s="531"/>
      <c r="K67" s="531"/>
      <c r="L67" s="531"/>
      <c r="M67" s="612">
        <f>+M68</f>
        <v>0</v>
      </c>
      <c r="N67" s="612">
        <f>+N68</f>
        <v>0</v>
      </c>
      <c r="O67" s="3495"/>
    </row>
    <row r="68" spans="1:77" s="328" customFormat="1" ht="13.5" hidden="1" customHeight="1">
      <c r="A68" s="3492"/>
      <c r="B68" s="613" t="s">
        <v>122</v>
      </c>
      <c r="C68" s="3541"/>
      <c r="D68" s="529"/>
      <c r="E68" s="527"/>
      <c r="F68" s="527">
        <v>0</v>
      </c>
      <c r="G68" s="527">
        <v>0</v>
      </c>
      <c r="H68" s="527">
        <v>0</v>
      </c>
      <c r="I68" s="527">
        <v>0</v>
      </c>
      <c r="J68" s="527"/>
      <c r="K68" s="527"/>
      <c r="L68" s="527"/>
      <c r="M68" s="577">
        <f>SUM(E68:H68)</f>
        <v>0</v>
      </c>
      <c r="N68" s="577">
        <f>SUM(F68:I68)</f>
        <v>0</v>
      </c>
      <c r="O68" s="3495"/>
    </row>
    <row r="69" spans="1:77" s="328" customFormat="1" ht="13.5" hidden="1" customHeight="1">
      <c r="A69" s="3492"/>
      <c r="B69" s="549" t="s">
        <v>32</v>
      </c>
      <c r="C69" s="2484"/>
      <c r="D69" s="529"/>
      <c r="E69" s="527"/>
      <c r="F69" s="527"/>
      <c r="G69" s="527"/>
      <c r="H69" s="527"/>
      <c r="I69" s="527"/>
      <c r="J69" s="527"/>
      <c r="K69" s="527"/>
      <c r="L69" s="527"/>
      <c r="M69" s="578" t="s">
        <v>61</v>
      </c>
      <c r="N69" s="578" t="s">
        <v>61</v>
      </c>
      <c r="O69" s="3495"/>
    </row>
    <row r="70" spans="1:77" s="328" customFormat="1" ht="13.5" hidden="1" customHeight="1">
      <c r="A70" s="3492"/>
      <c r="B70" s="586" t="s">
        <v>18</v>
      </c>
      <c r="C70" s="3512" t="s">
        <v>23</v>
      </c>
      <c r="D70" s="608"/>
      <c r="E70" s="608">
        <v>0</v>
      </c>
      <c r="F70" s="608">
        <f t="shared" ref="F70:N70" si="44">+F71</f>
        <v>0</v>
      </c>
      <c r="G70" s="608">
        <f t="shared" si="44"/>
        <v>0</v>
      </c>
      <c r="H70" s="608">
        <f t="shared" si="44"/>
        <v>0</v>
      </c>
      <c r="I70" s="608">
        <f t="shared" si="44"/>
        <v>0</v>
      </c>
      <c r="J70" s="614"/>
      <c r="K70" s="614"/>
      <c r="L70" s="614"/>
      <c r="M70" s="594" t="str">
        <f t="shared" si="44"/>
        <v>x</v>
      </c>
      <c r="N70" s="594" t="str">
        <f t="shared" si="44"/>
        <v>x</v>
      </c>
      <c r="O70" s="3495"/>
    </row>
    <row r="71" spans="1:77" s="328" customFormat="1" ht="13.5" hidden="1" customHeight="1">
      <c r="A71" s="3492"/>
      <c r="B71" s="615" t="s">
        <v>35</v>
      </c>
      <c r="C71" s="3501"/>
      <c r="D71" s="529"/>
      <c r="E71" s="527"/>
      <c r="F71" s="527">
        <v>0</v>
      </c>
      <c r="G71" s="527">
        <v>0</v>
      </c>
      <c r="H71" s="527">
        <v>0</v>
      </c>
      <c r="I71" s="527">
        <v>0</v>
      </c>
      <c r="J71" s="527"/>
      <c r="K71" s="527"/>
      <c r="L71" s="527"/>
      <c r="M71" s="607" t="s">
        <v>61</v>
      </c>
      <c r="N71" s="607" t="s">
        <v>61</v>
      </c>
      <c r="O71" s="3495"/>
    </row>
    <row r="72" spans="1:77" s="328" customFormat="1" ht="13.5" hidden="1" customHeight="1">
      <c r="A72" s="3492"/>
      <c r="B72" s="541" t="s">
        <v>22</v>
      </c>
      <c r="C72" s="616"/>
      <c r="D72" s="579"/>
      <c r="E72" s="579">
        <v>0</v>
      </c>
      <c r="F72" s="579">
        <f t="shared" ref="F72:G72" si="45">+F73+F75</f>
        <v>0</v>
      </c>
      <c r="G72" s="579">
        <f t="shared" si="45"/>
        <v>0</v>
      </c>
      <c r="H72" s="579">
        <f>+H73+H75</f>
        <v>0</v>
      </c>
      <c r="I72" s="579">
        <f>+I73+I75</f>
        <v>0</v>
      </c>
      <c r="J72" s="579"/>
      <c r="K72" s="579"/>
      <c r="L72" s="579"/>
      <c r="M72" s="3426" t="s">
        <v>61</v>
      </c>
      <c r="N72" s="3426" t="s">
        <v>61</v>
      </c>
      <c r="O72" s="3495"/>
    </row>
    <row r="73" spans="1:77" s="328" customFormat="1" ht="13.5" hidden="1" customHeight="1">
      <c r="A73" s="3492"/>
      <c r="B73" s="583" t="s">
        <v>24</v>
      </c>
      <c r="C73" s="3540" t="s">
        <v>301</v>
      </c>
      <c r="D73" s="608"/>
      <c r="E73" s="531">
        <v>0</v>
      </c>
      <c r="F73" s="531">
        <f t="shared" ref="F73:I73" si="46">+F74</f>
        <v>0</v>
      </c>
      <c r="G73" s="531">
        <f t="shared" si="46"/>
        <v>0</v>
      </c>
      <c r="H73" s="531">
        <f t="shared" si="46"/>
        <v>0</v>
      </c>
      <c r="I73" s="531">
        <f t="shared" si="46"/>
        <v>0</v>
      </c>
      <c r="J73" s="531"/>
      <c r="K73" s="531"/>
      <c r="L73" s="531"/>
      <c r="M73" s="3345"/>
      <c r="N73" s="3345"/>
      <c r="O73" s="3495"/>
    </row>
    <row r="74" spans="1:77" s="328" customFormat="1" ht="13.5" hidden="1" customHeight="1">
      <c r="A74" s="3492"/>
      <c r="B74" s="615" t="s">
        <v>139</v>
      </c>
      <c r="C74" s="3541"/>
      <c r="D74" s="529"/>
      <c r="E74" s="527"/>
      <c r="F74" s="527">
        <v>0</v>
      </c>
      <c r="G74" s="527">
        <v>0</v>
      </c>
      <c r="H74" s="527">
        <v>0</v>
      </c>
      <c r="I74" s="527">
        <v>0</v>
      </c>
      <c r="J74" s="527"/>
      <c r="K74" s="527"/>
      <c r="L74" s="527"/>
      <c r="M74" s="3345"/>
      <c r="N74" s="3345"/>
      <c r="O74" s="3495"/>
    </row>
    <row r="75" spans="1:77" s="328" customFormat="1" ht="13.5" hidden="1" customHeight="1">
      <c r="A75" s="3492"/>
      <c r="B75" s="617" t="s">
        <v>18</v>
      </c>
      <c r="C75" s="3512" t="s">
        <v>23</v>
      </c>
      <c r="D75" s="608"/>
      <c r="E75" s="608">
        <v>0</v>
      </c>
      <c r="F75" s="608">
        <f t="shared" ref="F75:I75" si="47">+F76</f>
        <v>0</v>
      </c>
      <c r="G75" s="608">
        <f t="shared" si="47"/>
        <v>0</v>
      </c>
      <c r="H75" s="608">
        <f t="shared" si="47"/>
        <v>0</v>
      </c>
      <c r="I75" s="608">
        <f t="shared" si="47"/>
        <v>0</v>
      </c>
      <c r="J75" s="608"/>
      <c r="K75" s="608"/>
      <c r="L75" s="608"/>
      <c r="M75" s="3345"/>
      <c r="N75" s="3345"/>
      <c r="O75" s="3495"/>
    </row>
    <row r="76" spans="1:77" s="328" customFormat="1" ht="13.5" hidden="1" customHeight="1" thickBot="1">
      <c r="A76" s="3493"/>
      <c r="B76" s="618" t="s">
        <v>35</v>
      </c>
      <c r="C76" s="3501"/>
      <c r="D76" s="529"/>
      <c r="E76" s="527"/>
      <c r="F76" s="417">
        <v>0</v>
      </c>
      <c r="G76" s="417">
        <v>0</v>
      </c>
      <c r="H76" s="417">
        <v>0</v>
      </c>
      <c r="I76" s="417">
        <v>0</v>
      </c>
      <c r="J76" s="417"/>
      <c r="K76" s="417"/>
      <c r="L76" s="417"/>
      <c r="M76" s="3346"/>
      <c r="N76" s="3346"/>
      <c r="O76" s="3496"/>
    </row>
    <row r="77" spans="1:77" s="328" customFormat="1" ht="27.75" hidden="1" customHeight="1">
      <c r="A77" s="3491" t="s">
        <v>66</v>
      </c>
      <c r="B77" s="590"/>
      <c r="C77" s="591" t="s">
        <v>81</v>
      </c>
      <c r="D77" s="600"/>
      <c r="E77" s="601"/>
      <c r="F77" s="601"/>
      <c r="G77" s="601"/>
      <c r="H77" s="602"/>
      <c r="I77" s="602"/>
      <c r="J77" s="602"/>
      <c r="K77" s="602"/>
      <c r="L77" s="602"/>
      <c r="M77" s="611"/>
      <c r="N77" s="611"/>
      <c r="O77" s="3494" t="s">
        <v>159</v>
      </c>
    </row>
    <row r="78" spans="1:77" s="328" customFormat="1" ht="13.5" hidden="1" customHeight="1">
      <c r="A78" s="3492"/>
      <c r="B78" s="541" t="s">
        <v>10</v>
      </c>
      <c r="C78" s="616"/>
      <c r="D78" s="579"/>
      <c r="E78" s="579">
        <v>0</v>
      </c>
      <c r="F78" s="579">
        <f>+F79+F82</f>
        <v>0</v>
      </c>
      <c r="G78" s="579">
        <f>+G79+G82</f>
        <v>0</v>
      </c>
      <c r="H78" s="579">
        <f>+H79+H82</f>
        <v>0</v>
      </c>
      <c r="I78" s="579">
        <f>+I79+I82</f>
        <v>0</v>
      </c>
      <c r="J78" s="579"/>
      <c r="K78" s="579"/>
      <c r="L78" s="579"/>
      <c r="M78" s="582">
        <f>+M79</f>
        <v>0</v>
      </c>
      <c r="N78" s="582">
        <f>+N79</f>
        <v>0</v>
      </c>
      <c r="O78" s="3495"/>
      <c r="Q78" s="181"/>
    </row>
    <row r="79" spans="1:77" s="328" customFormat="1" ht="13.5" hidden="1" customHeight="1">
      <c r="A79" s="3492"/>
      <c r="B79" s="583" t="s">
        <v>24</v>
      </c>
      <c r="C79" s="3512" t="s">
        <v>23</v>
      </c>
      <c r="D79" s="531"/>
      <c r="E79" s="531">
        <v>0</v>
      </c>
      <c r="F79" s="531">
        <f>F81+F80</f>
        <v>0</v>
      </c>
      <c r="G79" s="531">
        <f>G81+G80</f>
        <v>0</v>
      </c>
      <c r="H79" s="531">
        <f>H81+H80</f>
        <v>0</v>
      </c>
      <c r="I79" s="531">
        <f>I81+I80</f>
        <v>0</v>
      </c>
      <c r="J79" s="531"/>
      <c r="K79" s="531"/>
      <c r="L79" s="531"/>
      <c r="M79" s="584">
        <f>+M81</f>
        <v>0</v>
      </c>
      <c r="N79" s="584">
        <f>+N81</f>
        <v>0</v>
      </c>
      <c r="O79" s="3495"/>
    </row>
    <row r="80" spans="1:77" s="328" customFormat="1" ht="13.5" hidden="1" customHeight="1">
      <c r="A80" s="3492"/>
      <c r="B80" s="613" t="s">
        <v>32</v>
      </c>
      <c r="C80" s="3501"/>
      <c r="D80" s="529"/>
      <c r="E80" s="527"/>
      <c r="F80" s="593">
        <v>0</v>
      </c>
      <c r="G80" s="593">
        <v>0</v>
      </c>
      <c r="H80" s="593">
        <v>0</v>
      </c>
      <c r="I80" s="593">
        <v>0</v>
      </c>
      <c r="J80" s="593"/>
      <c r="K80" s="593"/>
      <c r="L80" s="593"/>
      <c r="M80" s="607" t="s">
        <v>61</v>
      </c>
      <c r="N80" s="607" t="s">
        <v>61</v>
      </c>
      <c r="O80" s="3495"/>
    </row>
    <row r="81" spans="1:17" s="328" customFormat="1" ht="22.5" hidden="1" customHeight="1">
      <c r="A81" s="3492"/>
      <c r="B81" s="619" t="s">
        <v>122</v>
      </c>
      <c r="C81" s="620" t="s">
        <v>160</v>
      </c>
      <c r="D81" s="529"/>
      <c r="E81" s="529">
        <v>0</v>
      </c>
      <c r="F81" s="530">
        <v>0</v>
      </c>
      <c r="G81" s="530">
        <v>0</v>
      </c>
      <c r="H81" s="530">
        <v>0</v>
      </c>
      <c r="I81" s="530">
        <v>0</v>
      </c>
      <c r="J81" s="530"/>
      <c r="K81" s="530"/>
      <c r="L81" s="530"/>
      <c r="M81" s="550">
        <f>SUM(E81:H81)</f>
        <v>0</v>
      </c>
      <c r="N81" s="550">
        <f>SUM(F81:I81)</f>
        <v>0</v>
      </c>
      <c r="O81" s="3495"/>
    </row>
    <row r="82" spans="1:17" s="328" customFormat="1" ht="13.5" hidden="1" customHeight="1">
      <c r="A82" s="3492"/>
      <c r="B82" s="621" t="s">
        <v>18</v>
      </c>
      <c r="C82" s="3512" t="s">
        <v>23</v>
      </c>
      <c r="D82" s="531"/>
      <c r="E82" s="531">
        <v>0</v>
      </c>
      <c r="F82" s="531">
        <f t="shared" ref="F82:N82" si="48">+F83</f>
        <v>0</v>
      </c>
      <c r="G82" s="531">
        <f t="shared" si="48"/>
        <v>0</v>
      </c>
      <c r="H82" s="531">
        <f t="shared" si="48"/>
        <v>0</v>
      </c>
      <c r="I82" s="531">
        <f t="shared" si="48"/>
        <v>0</v>
      </c>
      <c r="J82" s="587"/>
      <c r="K82" s="587"/>
      <c r="L82" s="587"/>
      <c r="M82" s="594" t="str">
        <f t="shared" si="48"/>
        <v>x</v>
      </c>
      <c r="N82" s="594" t="str">
        <f t="shared" si="48"/>
        <v>x</v>
      </c>
      <c r="O82" s="3495"/>
    </row>
    <row r="83" spans="1:17" s="328" customFormat="1" ht="12" hidden="1">
      <c r="A83" s="3492"/>
      <c r="B83" s="613" t="s">
        <v>35</v>
      </c>
      <c r="C83" s="3501"/>
      <c r="D83" s="529"/>
      <c r="E83" s="527"/>
      <c r="F83" s="593">
        <v>0</v>
      </c>
      <c r="G83" s="593">
        <v>0</v>
      </c>
      <c r="H83" s="593">
        <v>0</v>
      </c>
      <c r="I83" s="593">
        <v>0</v>
      </c>
      <c r="J83" s="593"/>
      <c r="K83" s="593"/>
      <c r="L83" s="593"/>
      <c r="M83" s="607" t="s">
        <v>61</v>
      </c>
      <c r="N83" s="607" t="s">
        <v>61</v>
      </c>
      <c r="O83" s="3495"/>
    </row>
    <row r="84" spans="1:17" s="328" customFormat="1" ht="13.5" hidden="1" customHeight="1">
      <c r="A84" s="3492"/>
      <c r="B84" s="541" t="s">
        <v>22</v>
      </c>
      <c r="C84" s="616"/>
      <c r="D84" s="579"/>
      <c r="E84" s="579">
        <v>0</v>
      </c>
      <c r="F84" s="579">
        <f>+F85+F87</f>
        <v>0</v>
      </c>
      <c r="G84" s="579">
        <f>+G85+G87</f>
        <v>0</v>
      </c>
      <c r="H84" s="579">
        <f>+H85+H87</f>
        <v>0</v>
      </c>
      <c r="I84" s="579">
        <f>+I85+I87</f>
        <v>0</v>
      </c>
      <c r="J84" s="579"/>
      <c r="K84" s="579"/>
      <c r="L84" s="579"/>
      <c r="M84" s="3426" t="s">
        <v>61</v>
      </c>
      <c r="N84" s="3426" t="s">
        <v>61</v>
      </c>
      <c r="O84" s="3495"/>
    </row>
    <row r="85" spans="1:17" s="328" customFormat="1" ht="13.5" hidden="1" customHeight="1">
      <c r="A85" s="3492"/>
      <c r="B85" s="583" t="s">
        <v>24</v>
      </c>
      <c r="C85" s="3540" t="s">
        <v>160</v>
      </c>
      <c r="D85" s="622"/>
      <c r="E85" s="622">
        <v>0</v>
      </c>
      <c r="F85" s="622">
        <f t="shared" ref="F85:I85" si="49">+F86</f>
        <v>0</v>
      </c>
      <c r="G85" s="622">
        <f t="shared" si="49"/>
        <v>0</v>
      </c>
      <c r="H85" s="622">
        <f t="shared" si="49"/>
        <v>0</v>
      </c>
      <c r="I85" s="622">
        <f t="shared" si="49"/>
        <v>0</v>
      </c>
      <c r="J85" s="622"/>
      <c r="K85" s="622"/>
      <c r="L85" s="622"/>
      <c r="M85" s="3345"/>
      <c r="N85" s="3345"/>
      <c r="O85" s="3509"/>
    </row>
    <row r="86" spans="1:17" s="328" customFormat="1" ht="13.5" hidden="1" customHeight="1">
      <c r="A86" s="3492"/>
      <c r="B86" s="613" t="s">
        <v>139</v>
      </c>
      <c r="C86" s="3541"/>
      <c r="D86" s="529"/>
      <c r="E86" s="527"/>
      <c r="F86" s="593">
        <v>0</v>
      </c>
      <c r="G86" s="593">
        <v>0</v>
      </c>
      <c r="H86" s="593">
        <v>0</v>
      </c>
      <c r="I86" s="593">
        <v>0</v>
      </c>
      <c r="J86" s="593"/>
      <c r="K86" s="593"/>
      <c r="L86" s="593"/>
      <c r="M86" s="3345"/>
      <c r="N86" s="3345"/>
      <c r="O86" s="3509"/>
      <c r="Q86" s="181">
        <v>-1488145</v>
      </c>
    </row>
    <row r="87" spans="1:17" s="328" customFormat="1" ht="13.5" hidden="1" customHeight="1">
      <c r="A87" s="3492"/>
      <c r="B87" s="613" t="s">
        <v>18</v>
      </c>
      <c r="C87" s="3512" t="s">
        <v>23</v>
      </c>
      <c r="D87" s="531"/>
      <c r="E87" s="531">
        <v>0</v>
      </c>
      <c r="F87" s="531">
        <f t="shared" ref="F87:I87" si="50">+F88</f>
        <v>0</v>
      </c>
      <c r="G87" s="531">
        <f t="shared" si="50"/>
        <v>0</v>
      </c>
      <c r="H87" s="531">
        <f t="shared" si="50"/>
        <v>0</v>
      </c>
      <c r="I87" s="531">
        <f t="shared" si="50"/>
        <v>0</v>
      </c>
      <c r="J87" s="531"/>
      <c r="K87" s="531"/>
      <c r="L87" s="531"/>
      <c r="M87" s="3345"/>
      <c r="N87" s="3345"/>
      <c r="O87" s="3509"/>
    </row>
    <row r="88" spans="1:17" s="328" customFormat="1" ht="13.5" hidden="1" customHeight="1" thickBot="1">
      <c r="A88" s="3539"/>
      <c r="B88" s="588" t="s">
        <v>35</v>
      </c>
      <c r="C88" s="3501"/>
      <c r="D88" s="529"/>
      <c r="E88" s="527">
        <v>0</v>
      </c>
      <c r="F88" s="585">
        <v>0</v>
      </c>
      <c r="G88" s="585">
        <v>0</v>
      </c>
      <c r="H88" s="585">
        <v>0</v>
      </c>
      <c r="I88" s="585">
        <v>0</v>
      </c>
      <c r="J88" s="585"/>
      <c r="K88" s="585"/>
      <c r="L88" s="585"/>
      <c r="M88" s="3346"/>
      <c r="N88" s="3346"/>
      <c r="O88" s="3510"/>
    </row>
    <row r="89" spans="1:17" s="328" customFormat="1" ht="39" hidden="1" customHeight="1">
      <c r="A89" s="3506" t="s">
        <v>67</v>
      </c>
      <c r="B89" s="590" t="s">
        <v>299</v>
      </c>
      <c r="C89" s="591" t="s">
        <v>81</v>
      </c>
      <c r="D89" s="600"/>
      <c r="E89" s="601"/>
      <c r="F89" s="601"/>
      <c r="G89" s="601"/>
      <c r="H89" s="602"/>
      <c r="I89" s="602"/>
      <c r="J89" s="602"/>
      <c r="K89" s="602"/>
      <c r="L89" s="602"/>
      <c r="M89" s="611"/>
      <c r="N89" s="611"/>
      <c r="O89" s="3494" t="s">
        <v>164</v>
      </c>
    </row>
    <row r="90" spans="1:17" s="382" customFormat="1" ht="16.5" hidden="1" customHeight="1">
      <c r="A90" s="3507"/>
      <c r="B90" s="541" t="s">
        <v>10</v>
      </c>
      <c r="C90" s="616"/>
      <c r="D90" s="532"/>
      <c r="E90" s="532">
        <v>0</v>
      </c>
      <c r="F90" s="532">
        <f t="shared" ref="F90:G90" si="51">+F91+F94</f>
        <v>0</v>
      </c>
      <c r="G90" s="532">
        <f t="shared" si="51"/>
        <v>0</v>
      </c>
      <c r="H90" s="532">
        <f>+H91+H94</f>
        <v>0</v>
      </c>
      <c r="I90" s="532">
        <f>+I91+I94</f>
        <v>0</v>
      </c>
      <c r="J90" s="532"/>
      <c r="K90" s="532"/>
      <c r="L90" s="532"/>
      <c r="M90" s="560">
        <f>+M91</f>
        <v>0</v>
      </c>
      <c r="N90" s="560">
        <f>+N91</f>
        <v>0</v>
      </c>
      <c r="O90" s="3495"/>
    </row>
    <row r="91" spans="1:17" s="328" customFormat="1" ht="13.5" hidden="1" customHeight="1">
      <c r="A91" s="3507"/>
      <c r="B91" s="583" t="s">
        <v>24</v>
      </c>
      <c r="C91" s="3511" t="s">
        <v>165</v>
      </c>
      <c r="D91" s="531"/>
      <c r="E91" s="531">
        <v>0</v>
      </c>
      <c r="F91" s="531">
        <f t="shared" ref="F91:I91" si="52">F93</f>
        <v>0</v>
      </c>
      <c r="G91" s="531">
        <f t="shared" si="52"/>
        <v>0</v>
      </c>
      <c r="H91" s="531">
        <f t="shared" si="52"/>
        <v>0</v>
      </c>
      <c r="I91" s="531">
        <f t="shared" si="52"/>
        <v>0</v>
      </c>
      <c r="J91" s="531"/>
      <c r="K91" s="531"/>
      <c r="L91" s="531"/>
      <c r="M91" s="584">
        <f>+M93</f>
        <v>0</v>
      </c>
      <c r="N91" s="584">
        <f>+N93</f>
        <v>0</v>
      </c>
      <c r="O91" s="3495"/>
    </row>
    <row r="92" spans="1:17" s="328" customFormat="1" ht="13.5" hidden="1" customHeight="1">
      <c r="A92" s="3507"/>
      <c r="B92" s="604" t="s">
        <v>32</v>
      </c>
      <c r="C92" s="3498"/>
      <c r="D92" s="529"/>
      <c r="E92" s="527"/>
      <c r="F92" s="531"/>
      <c r="G92" s="531"/>
      <c r="H92" s="531"/>
      <c r="I92" s="531"/>
      <c r="J92" s="531"/>
      <c r="K92" s="531"/>
      <c r="L92" s="531"/>
      <c r="M92" s="584">
        <v>0</v>
      </c>
      <c r="N92" s="584">
        <v>0</v>
      </c>
      <c r="O92" s="3495"/>
    </row>
    <row r="93" spans="1:17" s="328" customFormat="1" ht="13.5" hidden="1" customHeight="1">
      <c r="A93" s="3507"/>
      <c r="B93" s="613" t="s">
        <v>122</v>
      </c>
      <c r="C93" s="3499"/>
      <c r="D93" s="529"/>
      <c r="E93" s="527"/>
      <c r="F93" s="527">
        <v>0</v>
      </c>
      <c r="G93" s="527">
        <v>0</v>
      </c>
      <c r="H93" s="527">
        <v>0</v>
      </c>
      <c r="I93" s="527">
        <v>0</v>
      </c>
      <c r="J93" s="527"/>
      <c r="K93" s="527"/>
      <c r="L93" s="527"/>
      <c r="M93" s="577">
        <f>SUM(E93:H93)</f>
        <v>0</v>
      </c>
      <c r="N93" s="577">
        <f>SUM(F93:I93)</f>
        <v>0</v>
      </c>
      <c r="O93" s="3495"/>
    </row>
    <row r="94" spans="1:17" s="328" customFormat="1" ht="13.5" hidden="1" customHeight="1">
      <c r="A94" s="3507"/>
      <c r="B94" s="621" t="s">
        <v>18</v>
      </c>
      <c r="C94" s="3512" t="s">
        <v>23</v>
      </c>
      <c r="D94" s="531"/>
      <c r="E94" s="531">
        <v>0</v>
      </c>
      <c r="F94" s="531">
        <f t="shared" ref="F94:N94" si="53">+F95</f>
        <v>0</v>
      </c>
      <c r="G94" s="531">
        <f t="shared" si="53"/>
        <v>0</v>
      </c>
      <c r="H94" s="531">
        <f t="shared" si="53"/>
        <v>0</v>
      </c>
      <c r="I94" s="531">
        <f t="shared" si="53"/>
        <v>0</v>
      </c>
      <c r="J94" s="587"/>
      <c r="K94" s="587"/>
      <c r="L94" s="587"/>
      <c r="M94" s="594" t="str">
        <f t="shared" si="53"/>
        <v>x</v>
      </c>
      <c r="N94" s="594" t="str">
        <f t="shared" si="53"/>
        <v>x</v>
      </c>
      <c r="O94" s="3495"/>
    </row>
    <row r="95" spans="1:17" s="328" customFormat="1" ht="13.5" hidden="1" customHeight="1">
      <c r="A95" s="3507"/>
      <c r="B95" s="613" t="s">
        <v>35</v>
      </c>
      <c r="C95" s="3501"/>
      <c r="D95" s="529"/>
      <c r="E95" s="527"/>
      <c r="F95" s="527">
        <v>0</v>
      </c>
      <c r="G95" s="527">
        <v>0</v>
      </c>
      <c r="H95" s="527">
        <v>0</v>
      </c>
      <c r="I95" s="527">
        <v>0</v>
      </c>
      <c r="J95" s="458"/>
      <c r="K95" s="458"/>
      <c r="L95" s="458"/>
      <c r="M95" s="594" t="s">
        <v>61</v>
      </c>
      <c r="N95" s="594" t="s">
        <v>61</v>
      </c>
      <c r="O95" s="3495"/>
    </row>
    <row r="96" spans="1:17" s="382" customFormat="1" ht="16.5" hidden="1" customHeight="1">
      <c r="A96" s="3507"/>
      <c r="B96" s="541" t="s">
        <v>22</v>
      </c>
      <c r="C96" s="616"/>
      <c r="D96" s="532"/>
      <c r="E96" s="532">
        <v>0</v>
      </c>
      <c r="F96" s="532">
        <f t="shared" ref="F96:G96" si="54">F99+F97</f>
        <v>0</v>
      </c>
      <c r="G96" s="532">
        <f t="shared" si="54"/>
        <v>0</v>
      </c>
      <c r="H96" s="532">
        <f>H99+H97</f>
        <v>0</v>
      </c>
      <c r="I96" s="532">
        <f>I99+I97</f>
        <v>0</v>
      </c>
      <c r="J96" s="532"/>
      <c r="K96" s="532"/>
      <c r="L96" s="532"/>
      <c r="M96" s="3426" t="s">
        <v>61</v>
      </c>
      <c r="N96" s="3426" t="s">
        <v>61</v>
      </c>
      <c r="O96" s="3495"/>
    </row>
    <row r="97" spans="1:17" s="328" customFormat="1" ht="13.5" hidden="1" customHeight="1">
      <c r="A97" s="3507"/>
      <c r="B97" s="583" t="s">
        <v>24</v>
      </c>
      <c r="C97" s="3511" t="s">
        <v>165</v>
      </c>
      <c r="D97" s="622"/>
      <c r="E97" s="622">
        <v>0</v>
      </c>
      <c r="F97" s="622">
        <f t="shared" ref="F97:I97" si="55">+F98</f>
        <v>0</v>
      </c>
      <c r="G97" s="622">
        <f t="shared" si="55"/>
        <v>0</v>
      </c>
      <c r="H97" s="622">
        <f t="shared" si="55"/>
        <v>0</v>
      </c>
      <c r="I97" s="622">
        <f t="shared" si="55"/>
        <v>0</v>
      </c>
      <c r="J97" s="622"/>
      <c r="K97" s="622"/>
      <c r="L97" s="622"/>
      <c r="M97" s="3345"/>
      <c r="N97" s="3345"/>
      <c r="O97" s="3509"/>
      <c r="Q97" s="181">
        <v>-4922063</v>
      </c>
    </row>
    <row r="98" spans="1:17" s="328" customFormat="1" ht="13.5" hidden="1" customHeight="1">
      <c r="A98" s="3507"/>
      <c r="B98" s="613" t="s">
        <v>139</v>
      </c>
      <c r="C98" s="3499"/>
      <c r="D98" s="529"/>
      <c r="E98" s="527"/>
      <c r="F98" s="593">
        <v>0</v>
      </c>
      <c r="G98" s="593">
        <v>0</v>
      </c>
      <c r="H98" s="593">
        <v>0</v>
      </c>
      <c r="I98" s="593">
        <v>0</v>
      </c>
      <c r="J98" s="593"/>
      <c r="K98" s="593"/>
      <c r="L98" s="593"/>
      <c r="M98" s="3345"/>
      <c r="N98" s="3345"/>
      <c r="O98" s="3509"/>
    </row>
    <row r="99" spans="1:17" s="328" customFormat="1" ht="13.5" hidden="1" customHeight="1">
      <c r="A99" s="3507"/>
      <c r="B99" s="621" t="s">
        <v>18</v>
      </c>
      <c r="C99" s="3512" t="s">
        <v>23</v>
      </c>
      <c r="D99" s="531"/>
      <c r="E99" s="531">
        <v>0</v>
      </c>
      <c r="F99" s="531">
        <f t="shared" ref="F99:I99" si="56">+F100</f>
        <v>0</v>
      </c>
      <c r="G99" s="531">
        <f t="shared" si="56"/>
        <v>0</v>
      </c>
      <c r="H99" s="531">
        <f t="shared" si="56"/>
        <v>0</v>
      </c>
      <c r="I99" s="531">
        <f t="shared" si="56"/>
        <v>0</v>
      </c>
      <c r="J99" s="531"/>
      <c r="K99" s="531"/>
      <c r="L99" s="531"/>
      <c r="M99" s="3345"/>
      <c r="N99" s="3345"/>
      <c r="O99" s="3509"/>
    </row>
    <row r="100" spans="1:17" s="328" customFormat="1" ht="13.5" hidden="1" customHeight="1" thickBot="1">
      <c r="A100" s="3508"/>
      <c r="B100" s="588" t="s">
        <v>35</v>
      </c>
      <c r="C100" s="3505"/>
      <c r="D100" s="599"/>
      <c r="E100" s="585"/>
      <c r="F100" s="585">
        <v>0</v>
      </c>
      <c r="G100" s="585">
        <v>0</v>
      </c>
      <c r="H100" s="585">
        <v>0</v>
      </c>
      <c r="I100" s="585">
        <v>0</v>
      </c>
      <c r="J100" s="585"/>
      <c r="K100" s="585"/>
      <c r="L100" s="585"/>
      <c r="M100" s="3346"/>
      <c r="N100" s="3346"/>
      <c r="O100" s="3510"/>
    </row>
    <row r="101" spans="1:17" s="328" customFormat="1" ht="29.25" customHeight="1">
      <c r="A101" s="3491" t="s">
        <v>66</v>
      </c>
      <c r="B101" s="590" t="s">
        <v>490</v>
      </c>
      <c r="C101" s="591" t="s">
        <v>81</v>
      </c>
      <c r="D101" s="526"/>
      <c r="E101" s="601"/>
      <c r="F101" s="601"/>
      <c r="G101" s="601"/>
      <c r="H101" s="601"/>
      <c r="I101" s="601"/>
      <c r="J101" s="601"/>
      <c r="K101" s="601"/>
      <c r="L101" s="601"/>
      <c r="M101" s="611"/>
      <c r="N101" s="611"/>
      <c r="O101" s="3494" t="s">
        <v>368</v>
      </c>
    </row>
    <row r="102" spans="1:17" s="328" customFormat="1" ht="13.5" customHeight="1">
      <c r="A102" s="3492"/>
      <c r="B102" s="2172" t="s">
        <v>10</v>
      </c>
      <c r="C102" s="2173"/>
      <c r="D102" s="1999">
        <f>+D103+D106</f>
        <v>3973222</v>
      </c>
      <c r="E102" s="1999">
        <f t="shared" ref="E102" si="57">+E103+E106</f>
        <v>0</v>
      </c>
      <c r="F102" s="1999">
        <f t="shared" ref="F102:G102" si="58">+F103+F106</f>
        <v>34809</v>
      </c>
      <c r="G102" s="1999">
        <f t="shared" si="58"/>
        <v>3938413</v>
      </c>
      <c r="H102" s="1999">
        <f>+H103+H106</f>
        <v>0</v>
      </c>
      <c r="I102" s="1999">
        <f>+I103+I106</f>
        <v>0</v>
      </c>
      <c r="J102" s="1999">
        <f t="shared" ref="J102:K102" si="59">+J103+J106</f>
        <v>0</v>
      </c>
      <c r="K102" s="1999">
        <f t="shared" si="59"/>
        <v>0</v>
      </c>
      <c r="L102" s="1999"/>
      <c r="M102" s="2174">
        <f>+M103</f>
        <v>1202512</v>
      </c>
      <c r="N102" s="2174">
        <f>+N103</f>
        <v>1202512</v>
      </c>
      <c r="O102" s="3495"/>
    </row>
    <row r="103" spans="1:17" s="328" customFormat="1" ht="12">
      <c r="A103" s="3492"/>
      <c r="B103" s="2175" t="s">
        <v>24</v>
      </c>
      <c r="C103" s="3497" t="s">
        <v>367</v>
      </c>
      <c r="D103" s="1983">
        <f>D105+D104</f>
        <v>1232217</v>
      </c>
      <c r="E103" s="1983">
        <f t="shared" ref="E103" si="60">E105+E104</f>
        <v>0</v>
      </c>
      <c r="F103" s="1983">
        <f t="shared" ref="F103:K103" si="61">F105+F104</f>
        <v>12454</v>
      </c>
      <c r="G103" s="1983">
        <f>G105+G104</f>
        <v>1219763</v>
      </c>
      <c r="H103" s="1983">
        <f t="shared" si="61"/>
        <v>0</v>
      </c>
      <c r="I103" s="1983">
        <f t="shared" si="61"/>
        <v>0</v>
      </c>
      <c r="J103" s="1983">
        <f t="shared" si="61"/>
        <v>0</v>
      </c>
      <c r="K103" s="1983">
        <f t="shared" si="61"/>
        <v>0</v>
      </c>
      <c r="L103" s="1983"/>
      <c r="M103" s="1953">
        <f>+M105</f>
        <v>1202512</v>
      </c>
      <c r="N103" s="1953">
        <f>+N105</f>
        <v>1202512</v>
      </c>
      <c r="O103" s="3495"/>
    </row>
    <row r="104" spans="1:17" s="328" customFormat="1" ht="12">
      <c r="A104" s="3492"/>
      <c r="B104" s="2176" t="s">
        <v>32</v>
      </c>
      <c r="C104" s="3498"/>
      <c r="D104" s="1016">
        <f>E104+F104+G104+H104+I104+J104+K104+L104</f>
        <v>29705</v>
      </c>
      <c r="E104" s="1964">
        <v>0</v>
      </c>
      <c r="F104" s="2177">
        <v>12454</v>
      </c>
      <c r="G104" s="2177">
        <v>17251</v>
      </c>
      <c r="H104" s="2177">
        <v>0</v>
      </c>
      <c r="I104" s="2177">
        <v>0</v>
      </c>
      <c r="J104" s="756"/>
      <c r="K104" s="756"/>
      <c r="L104" s="756"/>
      <c r="M104" s="594" t="s">
        <v>61</v>
      </c>
      <c r="N104" s="594" t="s">
        <v>61</v>
      </c>
      <c r="O104" s="3495"/>
    </row>
    <row r="105" spans="1:17" s="328" customFormat="1" ht="12">
      <c r="A105" s="3492"/>
      <c r="B105" s="2178" t="s">
        <v>122</v>
      </c>
      <c r="C105" s="3499"/>
      <c r="D105" s="1016">
        <f>E105+F105+G105+H105+I105+J105+K105+L105</f>
        <v>1202512</v>
      </c>
      <c r="E105" s="1964">
        <v>0</v>
      </c>
      <c r="F105" s="2179">
        <f>62454-62454</f>
        <v>0</v>
      </c>
      <c r="G105" s="2179">
        <f>1469763-267251</f>
        <v>1202512</v>
      </c>
      <c r="H105" s="2179"/>
      <c r="I105" s="2179"/>
      <c r="J105" s="2179"/>
      <c r="K105" s="2179"/>
      <c r="L105" s="2179"/>
      <c r="M105" s="2180">
        <f>SUM(F105:K105)</f>
        <v>1202512</v>
      </c>
      <c r="N105" s="2180">
        <f>SUM(G105:L105)</f>
        <v>1202512</v>
      </c>
      <c r="O105" s="3495"/>
    </row>
    <row r="106" spans="1:17" s="328" customFormat="1" ht="13.5" customHeight="1">
      <c r="A106" s="3492"/>
      <c r="B106" s="2181" t="s">
        <v>18</v>
      </c>
      <c r="C106" s="3500" t="s">
        <v>23</v>
      </c>
      <c r="D106" s="2127">
        <f>+D107</f>
        <v>2741005</v>
      </c>
      <c r="E106" s="2127">
        <f t="shared" ref="E106:N106" si="62">+E107</f>
        <v>0</v>
      </c>
      <c r="F106" s="2127">
        <f t="shared" si="62"/>
        <v>22355</v>
      </c>
      <c r="G106" s="2127">
        <f t="shared" si="62"/>
        <v>2718650</v>
      </c>
      <c r="H106" s="2127">
        <f t="shared" si="62"/>
        <v>0</v>
      </c>
      <c r="I106" s="2127">
        <f t="shared" si="62"/>
        <v>0</v>
      </c>
      <c r="J106" s="2127">
        <f t="shared" si="62"/>
        <v>0</v>
      </c>
      <c r="K106" s="2127">
        <f t="shared" si="62"/>
        <v>0</v>
      </c>
      <c r="L106" s="1473"/>
      <c r="M106" s="1474" t="str">
        <f t="shared" si="62"/>
        <v>x</v>
      </c>
      <c r="N106" s="1474" t="str">
        <f t="shared" si="62"/>
        <v>x</v>
      </c>
      <c r="O106" s="3495"/>
    </row>
    <row r="107" spans="1:17" s="328" customFormat="1" ht="12">
      <c r="A107" s="3492"/>
      <c r="B107" s="2178" t="s">
        <v>35</v>
      </c>
      <c r="C107" s="3501"/>
      <c r="D107" s="1016">
        <f>E107+F107+G107+H107+I107+J107+K107+L107</f>
        <v>2741005</v>
      </c>
      <c r="E107" s="1964">
        <v>0</v>
      </c>
      <c r="F107" s="2182">
        <v>22355</v>
      </c>
      <c r="G107" s="2182">
        <v>2718650</v>
      </c>
      <c r="H107" s="2182"/>
      <c r="I107" s="2182"/>
      <c r="J107" s="757"/>
      <c r="K107" s="757"/>
      <c r="L107" s="757"/>
      <c r="M107" s="1475" t="s">
        <v>61</v>
      </c>
      <c r="N107" s="1475" t="s">
        <v>61</v>
      </c>
      <c r="O107" s="3495"/>
    </row>
    <row r="108" spans="1:17" s="328" customFormat="1" ht="13.5" customHeight="1">
      <c r="A108" s="3492"/>
      <c r="B108" s="2172" t="s">
        <v>22</v>
      </c>
      <c r="C108" s="2183"/>
      <c r="D108" s="1994">
        <f>D111+D109</f>
        <v>2741005</v>
      </c>
      <c r="E108" s="1994">
        <f t="shared" ref="E108" si="63">E111+E109</f>
        <v>0</v>
      </c>
      <c r="F108" s="1994">
        <f t="shared" ref="F108:G108" si="64">F111+F109</f>
        <v>22355</v>
      </c>
      <c r="G108" s="1994">
        <f t="shared" si="64"/>
        <v>2718650</v>
      </c>
      <c r="H108" s="1994">
        <f>H111+H109</f>
        <v>0</v>
      </c>
      <c r="I108" s="1994">
        <f>I111+I109</f>
        <v>0</v>
      </c>
      <c r="J108" s="1994">
        <f t="shared" ref="J108:K108" si="65">J111+J109</f>
        <v>0</v>
      </c>
      <c r="K108" s="1994">
        <f t="shared" si="65"/>
        <v>0</v>
      </c>
      <c r="L108" s="1994"/>
      <c r="M108" s="3502" t="s">
        <v>61</v>
      </c>
      <c r="N108" s="3502" t="s">
        <v>61</v>
      </c>
      <c r="O108" s="3495"/>
    </row>
    <row r="109" spans="1:17" s="328" customFormat="1" ht="13.5" hidden="1" customHeight="1">
      <c r="A109" s="3492"/>
      <c r="B109" s="2184" t="s">
        <v>24</v>
      </c>
      <c r="C109" s="3497" t="s">
        <v>367</v>
      </c>
      <c r="D109" s="2134">
        <f>+D110</f>
        <v>0</v>
      </c>
      <c r="E109" s="2134">
        <f t="shared" ref="E109:K109" si="66">+E110</f>
        <v>0</v>
      </c>
      <c r="F109" s="2134">
        <f t="shared" si="66"/>
        <v>0</v>
      </c>
      <c r="G109" s="2134">
        <f t="shared" si="66"/>
        <v>0</v>
      </c>
      <c r="H109" s="2134">
        <f t="shared" si="66"/>
        <v>0</v>
      </c>
      <c r="I109" s="2134">
        <f t="shared" si="66"/>
        <v>0</v>
      </c>
      <c r="J109" s="2134">
        <f t="shared" si="66"/>
        <v>0</v>
      </c>
      <c r="K109" s="2134">
        <f t="shared" si="66"/>
        <v>0</v>
      </c>
      <c r="L109" s="2134"/>
      <c r="M109" s="3503"/>
      <c r="N109" s="3503"/>
      <c r="O109" s="3495"/>
    </row>
    <row r="110" spans="1:17" s="328" customFormat="1" ht="12" hidden="1">
      <c r="A110" s="3492"/>
      <c r="B110" s="2178" t="s">
        <v>139</v>
      </c>
      <c r="C110" s="3498"/>
      <c r="D110" s="1016">
        <f>E110+F110+G110+H110+I110+J110+K110+L110</f>
        <v>0</v>
      </c>
      <c r="E110" s="2179"/>
      <c r="F110" s="2179"/>
      <c r="G110" s="2179"/>
      <c r="H110" s="2179"/>
      <c r="I110" s="2179"/>
      <c r="J110" s="2179"/>
      <c r="K110" s="2179"/>
      <c r="L110" s="2179"/>
      <c r="M110" s="3503"/>
      <c r="N110" s="3503"/>
      <c r="O110" s="3495"/>
    </row>
    <row r="111" spans="1:17" s="328" customFormat="1" ht="13.5" customHeight="1">
      <c r="A111" s="3492"/>
      <c r="B111" s="2181" t="s">
        <v>18</v>
      </c>
      <c r="C111" s="3500" t="s">
        <v>23</v>
      </c>
      <c r="D111" s="2127">
        <f>+D112</f>
        <v>2741005</v>
      </c>
      <c r="E111" s="2127">
        <f t="shared" ref="E111:K111" si="67">+E112</f>
        <v>0</v>
      </c>
      <c r="F111" s="2127">
        <f t="shared" si="67"/>
        <v>22355</v>
      </c>
      <c r="G111" s="2127">
        <f t="shared" si="67"/>
        <v>2718650</v>
      </c>
      <c r="H111" s="2127">
        <f t="shared" si="67"/>
        <v>0</v>
      </c>
      <c r="I111" s="2127">
        <f t="shared" si="67"/>
        <v>0</v>
      </c>
      <c r="J111" s="2127">
        <f t="shared" si="67"/>
        <v>0</v>
      </c>
      <c r="K111" s="2127">
        <f t="shared" si="67"/>
        <v>0</v>
      </c>
      <c r="L111" s="2127"/>
      <c r="M111" s="3503"/>
      <c r="N111" s="3503"/>
      <c r="O111" s="3495"/>
    </row>
    <row r="112" spans="1:17" s="328" customFormat="1" ht="12.75" thickBot="1">
      <c r="A112" s="3493"/>
      <c r="B112" s="610" t="s">
        <v>35</v>
      </c>
      <c r="C112" s="3505"/>
      <c r="D112" s="1016">
        <f>E112+F112+G112+H112+I112+J112+K112+L112</f>
        <v>2741005</v>
      </c>
      <c r="E112" s="1964">
        <v>0</v>
      </c>
      <c r="F112" s="599">
        <v>22355</v>
      </c>
      <c r="G112" s="599">
        <v>2718650</v>
      </c>
      <c r="H112" s="599"/>
      <c r="I112" s="599"/>
      <c r="J112" s="599"/>
      <c r="K112" s="599"/>
      <c r="L112" s="599"/>
      <c r="M112" s="3504"/>
      <c r="N112" s="3504"/>
      <c r="O112" s="3496"/>
    </row>
    <row r="113" spans="1:15" s="328" customFormat="1" ht="30" customHeight="1">
      <c r="A113" s="3491" t="s">
        <v>67</v>
      </c>
      <c r="B113" s="590" t="s">
        <v>434</v>
      </c>
      <c r="C113" s="591" t="s">
        <v>81</v>
      </c>
      <c r="D113" s="526"/>
      <c r="E113" s="601"/>
      <c r="F113" s="601"/>
      <c r="G113" s="601"/>
      <c r="H113" s="601"/>
      <c r="I113" s="601"/>
      <c r="J113" s="601"/>
      <c r="K113" s="601"/>
      <c r="L113" s="601"/>
      <c r="M113" s="611"/>
      <c r="N113" s="611"/>
      <c r="O113" s="3494" t="s">
        <v>368</v>
      </c>
    </row>
    <row r="114" spans="1:15" s="328" customFormat="1" ht="12">
      <c r="A114" s="3492"/>
      <c r="B114" s="2172" t="s">
        <v>10</v>
      </c>
      <c r="C114" s="2173"/>
      <c r="D114" s="1999">
        <f>+D115+D118</f>
        <v>300000</v>
      </c>
      <c r="E114" s="1999">
        <f t="shared" ref="E114" si="68">+E115+E118</f>
        <v>0</v>
      </c>
      <c r="F114" s="1999">
        <f t="shared" ref="F114:G114" si="69">+F115+F118</f>
        <v>50000</v>
      </c>
      <c r="G114" s="1999">
        <f t="shared" si="69"/>
        <v>250000</v>
      </c>
      <c r="H114" s="1999">
        <f>+H115+H118</f>
        <v>0</v>
      </c>
      <c r="I114" s="1999">
        <f>+I115+I118</f>
        <v>0</v>
      </c>
      <c r="J114" s="1999">
        <f t="shared" ref="J114:K114" si="70">+J115+J118</f>
        <v>0</v>
      </c>
      <c r="K114" s="1999">
        <f t="shared" si="70"/>
        <v>0</v>
      </c>
      <c r="L114" s="1999"/>
      <c r="M114" s="2174">
        <f>+M115</f>
        <v>300000</v>
      </c>
      <c r="N114" s="2174">
        <f>+N115</f>
        <v>250000</v>
      </c>
      <c r="O114" s="3495"/>
    </row>
    <row r="115" spans="1:15" s="328" customFormat="1" ht="12">
      <c r="A115" s="3492"/>
      <c r="B115" s="2175" t="s">
        <v>24</v>
      </c>
      <c r="C115" s="3497" t="s">
        <v>367</v>
      </c>
      <c r="D115" s="1983">
        <f>D117+D116</f>
        <v>300000</v>
      </c>
      <c r="E115" s="1983">
        <f t="shared" ref="E115" si="71">E117+E116</f>
        <v>0</v>
      </c>
      <c r="F115" s="1983">
        <f t="shared" ref="F115:K115" si="72">F117+F116</f>
        <v>50000</v>
      </c>
      <c r="G115" s="1983">
        <f t="shared" si="72"/>
        <v>250000</v>
      </c>
      <c r="H115" s="1983">
        <f t="shared" si="72"/>
        <v>0</v>
      </c>
      <c r="I115" s="1983">
        <f t="shared" si="72"/>
        <v>0</v>
      </c>
      <c r="J115" s="1983">
        <f t="shared" si="72"/>
        <v>0</v>
      </c>
      <c r="K115" s="1983">
        <f t="shared" si="72"/>
        <v>0</v>
      </c>
      <c r="L115" s="1983"/>
      <c r="M115" s="1953">
        <f>+M117</f>
        <v>300000</v>
      </c>
      <c r="N115" s="1953">
        <f>+N117</f>
        <v>250000</v>
      </c>
      <c r="O115" s="3495"/>
    </row>
    <row r="116" spans="1:15" s="328" customFormat="1" ht="13.5" hidden="1" customHeight="1">
      <c r="A116" s="3492"/>
      <c r="B116" s="2176" t="s">
        <v>32</v>
      </c>
      <c r="C116" s="3498"/>
      <c r="D116" s="1016">
        <f>E116+F116+G116+H116+I116+J116+K116+L116</f>
        <v>0</v>
      </c>
      <c r="E116" s="2122"/>
      <c r="F116" s="2177">
        <v>0</v>
      </c>
      <c r="G116" s="2177">
        <v>0</v>
      </c>
      <c r="H116" s="2177">
        <v>0</v>
      </c>
      <c r="I116" s="2177">
        <v>0</v>
      </c>
      <c r="J116" s="756"/>
      <c r="K116" s="756"/>
      <c r="L116" s="756"/>
      <c r="M116" s="594" t="s">
        <v>61</v>
      </c>
      <c r="N116" s="594" t="s">
        <v>61</v>
      </c>
      <c r="O116" s="3495"/>
    </row>
    <row r="117" spans="1:15" s="328" customFormat="1" ht="13.5" customHeight="1" thickBot="1">
      <c r="A117" s="3492"/>
      <c r="B117" s="2178" t="s">
        <v>122</v>
      </c>
      <c r="C117" s="3499"/>
      <c r="D117" s="1016">
        <f>E117+F117+G117+H117+I117+J117+K117+L117</f>
        <v>300000</v>
      </c>
      <c r="E117" s="2375">
        <v>0</v>
      </c>
      <c r="F117" s="2429">
        <v>50000</v>
      </c>
      <c r="G117" s="2429">
        <v>250000</v>
      </c>
      <c r="H117" s="2429"/>
      <c r="I117" s="2429"/>
      <c r="J117" s="2429"/>
      <c r="K117" s="2429"/>
      <c r="L117" s="2429"/>
      <c r="M117" s="2430">
        <f>SUM(F117:K117)</f>
        <v>300000</v>
      </c>
      <c r="N117" s="2180">
        <f>SUM(G117:L117)</f>
        <v>250000</v>
      </c>
      <c r="O117" s="3495"/>
    </row>
    <row r="118" spans="1:15" s="328" customFormat="1" ht="13.5" hidden="1" customHeight="1">
      <c r="A118" s="3492"/>
      <c r="B118" s="2181" t="s">
        <v>18</v>
      </c>
      <c r="C118" s="3500" t="s">
        <v>23</v>
      </c>
      <c r="D118" s="2127">
        <f>+D119</f>
        <v>0</v>
      </c>
      <c r="E118" s="1516">
        <f t="shared" ref="E118:N118" si="73">+E119</f>
        <v>0</v>
      </c>
      <c r="F118" s="1473">
        <f t="shared" si="73"/>
        <v>0</v>
      </c>
      <c r="G118" s="1473">
        <f t="shared" si="73"/>
        <v>0</v>
      </c>
      <c r="H118" s="1473">
        <f t="shared" si="73"/>
        <v>0</v>
      </c>
      <c r="I118" s="1473">
        <f t="shared" si="73"/>
        <v>0</v>
      </c>
      <c r="J118" s="1473">
        <f t="shared" si="73"/>
        <v>0</v>
      </c>
      <c r="K118" s="1473">
        <f t="shared" si="73"/>
        <v>0</v>
      </c>
      <c r="L118" s="1473"/>
      <c r="M118" s="1474" t="str">
        <f t="shared" si="73"/>
        <v>x</v>
      </c>
      <c r="N118" s="1474" t="str">
        <f t="shared" si="73"/>
        <v>x</v>
      </c>
      <c r="O118" s="3495"/>
    </row>
    <row r="119" spans="1:15" s="328" customFormat="1" ht="13.5" hidden="1" customHeight="1">
      <c r="A119" s="3492"/>
      <c r="B119" s="2178" t="s">
        <v>35</v>
      </c>
      <c r="C119" s="3501"/>
      <c r="D119" s="1016">
        <f>E119+F119+G119+H119+I119+J119+K119+L119</f>
        <v>0</v>
      </c>
      <c r="E119" s="1518"/>
      <c r="F119" s="1864">
        <v>0</v>
      </c>
      <c r="G119" s="1864">
        <v>0</v>
      </c>
      <c r="H119" s="1864"/>
      <c r="I119" s="1864"/>
      <c r="J119" s="757"/>
      <c r="K119" s="757"/>
      <c r="L119" s="757"/>
      <c r="M119" s="1475" t="s">
        <v>61</v>
      </c>
      <c r="N119" s="1475" t="s">
        <v>61</v>
      </c>
      <c r="O119" s="3495"/>
    </row>
    <row r="120" spans="1:15" s="328" customFormat="1" ht="13.5" hidden="1" customHeight="1">
      <c r="A120" s="3492"/>
      <c r="B120" s="2185" t="s">
        <v>22</v>
      </c>
      <c r="C120" s="2186"/>
      <c r="D120" s="2187">
        <f>D123+D121</f>
        <v>0</v>
      </c>
      <c r="E120" s="1517">
        <f>E123+E121</f>
        <v>0</v>
      </c>
      <c r="F120" s="2187">
        <f t="shared" ref="F120:G120" si="74">F123+F121</f>
        <v>0</v>
      </c>
      <c r="G120" s="2187">
        <f t="shared" si="74"/>
        <v>0</v>
      </c>
      <c r="H120" s="2187">
        <f>H123+H121</f>
        <v>0</v>
      </c>
      <c r="I120" s="2187">
        <f>I123+I121</f>
        <v>0</v>
      </c>
      <c r="J120" s="2187">
        <f t="shared" ref="J120:K120" si="75">J123+J121</f>
        <v>0</v>
      </c>
      <c r="K120" s="2187">
        <f t="shared" si="75"/>
        <v>0</v>
      </c>
      <c r="L120" s="2187"/>
      <c r="M120" s="3502" t="s">
        <v>61</v>
      </c>
      <c r="N120" s="3502" t="s">
        <v>61</v>
      </c>
      <c r="O120" s="3495"/>
    </row>
    <row r="121" spans="1:15" s="328" customFormat="1" ht="13.5" hidden="1" customHeight="1">
      <c r="A121" s="3492"/>
      <c r="B121" s="2188" t="s">
        <v>24</v>
      </c>
      <c r="C121" s="3497" t="s">
        <v>367</v>
      </c>
      <c r="D121" s="1863">
        <f>+D122</f>
        <v>0</v>
      </c>
      <c r="E121" s="2189">
        <f t="shared" ref="E121:K121" si="76">+E122</f>
        <v>0</v>
      </c>
      <c r="F121" s="1863">
        <f t="shared" si="76"/>
        <v>0</v>
      </c>
      <c r="G121" s="1863">
        <f t="shared" si="76"/>
        <v>0</v>
      </c>
      <c r="H121" s="1863">
        <f t="shared" si="76"/>
        <v>0</v>
      </c>
      <c r="I121" s="1863">
        <f t="shared" si="76"/>
        <v>0</v>
      </c>
      <c r="J121" s="1863">
        <f t="shared" si="76"/>
        <v>0</v>
      </c>
      <c r="K121" s="1863">
        <f t="shared" si="76"/>
        <v>0</v>
      </c>
      <c r="L121" s="1863"/>
      <c r="M121" s="3503"/>
      <c r="N121" s="3503"/>
      <c r="O121" s="3495"/>
    </row>
    <row r="122" spans="1:15" s="328" customFormat="1" ht="13.5" hidden="1" customHeight="1">
      <c r="A122" s="3492"/>
      <c r="B122" s="2190" t="s">
        <v>139</v>
      </c>
      <c r="C122" s="3498"/>
      <c r="D122" s="1016">
        <f>E122+F122+G122+H122+I122+J122+K122+L122</f>
        <v>0</v>
      </c>
      <c r="E122" s="1518"/>
      <c r="F122" s="2191"/>
      <c r="G122" s="2191"/>
      <c r="H122" s="2191"/>
      <c r="I122" s="2191"/>
      <c r="J122" s="2191"/>
      <c r="K122" s="2191"/>
      <c r="L122" s="2191"/>
      <c r="M122" s="3503"/>
      <c r="N122" s="3503"/>
      <c r="O122" s="3495"/>
    </row>
    <row r="123" spans="1:15" s="328" customFormat="1" ht="13.5" hidden="1" customHeight="1">
      <c r="A123" s="3492"/>
      <c r="B123" s="2192" t="s">
        <v>18</v>
      </c>
      <c r="C123" s="3500" t="s">
        <v>23</v>
      </c>
      <c r="D123" s="2193">
        <f>+D124</f>
        <v>0</v>
      </c>
      <c r="E123" s="1516">
        <f t="shared" ref="E123:K123" si="77">+E124</f>
        <v>0</v>
      </c>
      <c r="F123" s="2193">
        <f t="shared" si="77"/>
        <v>0</v>
      </c>
      <c r="G123" s="2193">
        <f t="shared" si="77"/>
        <v>0</v>
      </c>
      <c r="H123" s="2193">
        <f t="shared" si="77"/>
        <v>0</v>
      </c>
      <c r="I123" s="2193">
        <f t="shared" si="77"/>
        <v>0</v>
      </c>
      <c r="J123" s="2193">
        <f t="shared" si="77"/>
        <v>0</v>
      </c>
      <c r="K123" s="2193">
        <f t="shared" si="77"/>
        <v>0</v>
      </c>
      <c r="L123" s="2193"/>
      <c r="M123" s="3503"/>
      <c r="N123" s="3503"/>
      <c r="O123" s="3495"/>
    </row>
    <row r="124" spans="1:15" s="328" customFormat="1" ht="13.5" hidden="1" customHeight="1" thickBot="1">
      <c r="A124" s="3493"/>
      <c r="B124" s="2194" t="s">
        <v>35</v>
      </c>
      <c r="C124" s="3505"/>
      <c r="D124" s="2195">
        <f>E124+F124+G124+H124+I124+J124+K124+L124</f>
        <v>0</v>
      </c>
      <c r="E124" s="2196"/>
      <c r="F124" s="2197">
        <v>0</v>
      </c>
      <c r="G124" s="2197">
        <v>0</v>
      </c>
      <c r="H124" s="2197"/>
      <c r="I124" s="2197"/>
      <c r="J124" s="2197"/>
      <c r="K124" s="2197"/>
      <c r="L124" s="2197"/>
      <c r="M124" s="3504"/>
      <c r="N124" s="3504"/>
      <c r="O124" s="3496"/>
    </row>
    <row r="125" spans="1:15" s="328" customFormat="1" ht="39.75" customHeight="1">
      <c r="A125" s="3491" t="s">
        <v>115</v>
      </c>
      <c r="B125" s="590" t="s">
        <v>506</v>
      </c>
      <c r="C125" s="591" t="s">
        <v>81</v>
      </c>
      <c r="D125" s="526"/>
      <c r="E125" s="601"/>
      <c r="F125" s="601"/>
      <c r="G125" s="601"/>
      <c r="H125" s="601"/>
      <c r="I125" s="601"/>
      <c r="J125" s="601"/>
      <c r="K125" s="601"/>
      <c r="L125" s="601"/>
      <c r="M125" s="611"/>
      <c r="N125" s="611"/>
      <c r="O125" s="3494" t="s">
        <v>511</v>
      </c>
    </row>
    <row r="126" spans="1:15" s="328" customFormat="1" ht="13.5" customHeight="1">
      <c r="A126" s="3492"/>
      <c r="B126" s="2172" t="s">
        <v>10</v>
      </c>
      <c r="C126" s="2173"/>
      <c r="D126" s="1999">
        <f>+D127+D131</f>
        <v>3503619</v>
      </c>
      <c r="E126" s="1999">
        <f t="shared" ref="E126:G126" si="78">+E127+E131</f>
        <v>0</v>
      </c>
      <c r="F126" s="1999">
        <f t="shared" si="78"/>
        <v>41820</v>
      </c>
      <c r="G126" s="1999">
        <f t="shared" si="78"/>
        <v>1793294</v>
      </c>
      <c r="H126" s="1999">
        <f>+H127+H131</f>
        <v>1668505</v>
      </c>
      <c r="I126" s="1999">
        <f>+I127+I131</f>
        <v>0</v>
      </c>
      <c r="J126" s="1999">
        <f t="shared" ref="J126:K126" si="79">+J127+J131</f>
        <v>0</v>
      </c>
      <c r="K126" s="1999">
        <f t="shared" si="79"/>
        <v>0</v>
      </c>
      <c r="L126" s="1999"/>
      <c r="M126" s="2174">
        <f>+M127</f>
        <v>606910</v>
      </c>
      <c r="N126" s="2174">
        <f>+N127</f>
        <v>606910</v>
      </c>
      <c r="O126" s="3495"/>
    </row>
    <row r="127" spans="1:15" s="328" customFormat="1" ht="13.5" customHeight="1">
      <c r="A127" s="3492"/>
      <c r="B127" s="2175" t="s">
        <v>24</v>
      </c>
      <c r="C127" s="3522" t="s">
        <v>160</v>
      </c>
      <c r="D127" s="1983">
        <f>D129+D128+D130</f>
        <v>1052313</v>
      </c>
      <c r="E127" s="1983">
        <f t="shared" ref="E127:L127" si="80">E129+E128+E130</f>
        <v>0</v>
      </c>
      <c r="F127" s="1983">
        <f t="shared" si="80"/>
        <v>17170</v>
      </c>
      <c r="G127" s="1983">
        <f t="shared" si="80"/>
        <v>531303</v>
      </c>
      <c r="H127" s="1983">
        <f t="shared" si="80"/>
        <v>503840</v>
      </c>
      <c r="I127" s="1983">
        <f t="shared" si="80"/>
        <v>0</v>
      </c>
      <c r="J127" s="1983">
        <f t="shared" si="80"/>
        <v>0</v>
      </c>
      <c r="K127" s="1983">
        <f t="shared" si="80"/>
        <v>0</v>
      </c>
      <c r="L127" s="1983">
        <f t="shared" si="80"/>
        <v>0</v>
      </c>
      <c r="M127" s="1953">
        <f>+M129</f>
        <v>606910</v>
      </c>
      <c r="N127" s="1953">
        <f>+N129</f>
        <v>606910</v>
      </c>
      <c r="O127" s="3495"/>
    </row>
    <row r="128" spans="1:15" s="328" customFormat="1" ht="12">
      <c r="A128" s="3492"/>
      <c r="B128" s="2176" t="s">
        <v>32</v>
      </c>
      <c r="C128" s="3498"/>
      <c r="D128" s="1913">
        <f>E128+F128+G128+H128+I128+J128+K128+L128</f>
        <v>12820</v>
      </c>
      <c r="E128" s="1964"/>
      <c r="F128" s="2177">
        <v>12820</v>
      </c>
      <c r="G128" s="2177">
        <v>0</v>
      </c>
      <c r="H128" s="2177">
        <v>0</v>
      </c>
      <c r="I128" s="2177">
        <v>0</v>
      </c>
      <c r="J128" s="756"/>
      <c r="K128" s="756"/>
      <c r="L128" s="756"/>
      <c r="M128" s="594" t="s">
        <v>61</v>
      </c>
      <c r="N128" s="594" t="s">
        <v>61</v>
      </c>
      <c r="O128" s="3495"/>
    </row>
    <row r="129" spans="1:76" s="328" customFormat="1" ht="12">
      <c r="A129" s="3492"/>
      <c r="B129" s="2178" t="s">
        <v>122</v>
      </c>
      <c r="C129" s="3498"/>
      <c r="D129" s="1913">
        <f>E129+F129+G129+H129+I129+J129+K129+L129</f>
        <v>606910</v>
      </c>
      <c r="E129" s="1964"/>
      <c r="F129" s="2179">
        <v>0</v>
      </c>
      <c r="G129" s="2179">
        <v>308599</v>
      </c>
      <c r="H129" s="2179">
        <v>298311</v>
      </c>
      <c r="I129" s="2179"/>
      <c r="J129" s="2179"/>
      <c r="K129" s="2179"/>
      <c r="L129" s="2179"/>
      <c r="M129" s="2180">
        <f>SUM(F129:K129)</f>
        <v>606910</v>
      </c>
      <c r="N129" s="2180">
        <f>SUM(G129:L129)</f>
        <v>606910</v>
      </c>
      <c r="O129" s="3495"/>
    </row>
    <row r="130" spans="1:76" s="328" customFormat="1" ht="12">
      <c r="A130" s="3492"/>
      <c r="B130" s="2178" t="s">
        <v>507</v>
      </c>
      <c r="C130" s="3499"/>
      <c r="D130" s="1913">
        <f>E130+F130+G130+H130+I130+J130+K130+L130</f>
        <v>432583</v>
      </c>
      <c r="E130" s="1964"/>
      <c r="F130" s="2179">
        <v>4350</v>
      </c>
      <c r="G130" s="2179">
        <v>222704</v>
      </c>
      <c r="H130" s="2179">
        <v>205529</v>
      </c>
      <c r="I130" s="2179"/>
      <c r="J130" s="2179"/>
      <c r="K130" s="2179"/>
      <c r="L130" s="2693"/>
      <c r="M130" s="2431"/>
      <c r="N130" s="2431"/>
      <c r="O130" s="3495"/>
    </row>
    <row r="131" spans="1:76" s="328" customFormat="1" ht="13.5" customHeight="1">
      <c r="A131" s="3492"/>
      <c r="B131" s="2181" t="s">
        <v>18</v>
      </c>
      <c r="C131" s="3546" t="s">
        <v>23</v>
      </c>
      <c r="D131" s="2127">
        <f>+D132</f>
        <v>2451306</v>
      </c>
      <c r="E131" s="2127">
        <f t="shared" ref="E131:N131" si="81">+E132</f>
        <v>0</v>
      </c>
      <c r="F131" s="2127">
        <f t="shared" si="81"/>
        <v>24650</v>
      </c>
      <c r="G131" s="2127">
        <f t="shared" si="81"/>
        <v>1261991</v>
      </c>
      <c r="H131" s="2127">
        <f t="shared" si="81"/>
        <v>1164665</v>
      </c>
      <c r="I131" s="2127">
        <f t="shared" si="81"/>
        <v>0</v>
      </c>
      <c r="J131" s="2127">
        <f t="shared" si="81"/>
        <v>0</v>
      </c>
      <c r="K131" s="2127">
        <f t="shared" si="81"/>
        <v>0</v>
      </c>
      <c r="L131" s="1473"/>
      <c r="M131" s="1474" t="str">
        <f t="shared" si="81"/>
        <v>x</v>
      </c>
      <c r="N131" s="1474" t="str">
        <f t="shared" si="81"/>
        <v>x</v>
      </c>
      <c r="O131" s="3495"/>
    </row>
    <row r="132" spans="1:76" s="328" customFormat="1" ht="13.5" customHeight="1">
      <c r="A132" s="3492"/>
      <c r="B132" s="2178" t="s">
        <v>35</v>
      </c>
      <c r="C132" s="3501"/>
      <c r="D132" s="1913">
        <f>E132+F132+G132+H132+I132+J132+K132+L132</f>
        <v>2451306</v>
      </c>
      <c r="E132" s="1964">
        <v>0</v>
      </c>
      <c r="F132" s="2182">
        <v>24650</v>
      </c>
      <c r="G132" s="2182">
        <v>1261991</v>
      </c>
      <c r="H132" s="2182">
        <v>1164665</v>
      </c>
      <c r="I132" s="2182"/>
      <c r="J132" s="757"/>
      <c r="K132" s="757"/>
      <c r="L132" s="757"/>
      <c r="M132" s="1475" t="s">
        <v>61</v>
      </c>
      <c r="N132" s="1475" t="s">
        <v>61</v>
      </c>
      <c r="O132" s="3495"/>
    </row>
    <row r="133" spans="1:76" s="328" customFormat="1" ht="13.5" customHeight="1">
      <c r="A133" s="3492"/>
      <c r="B133" s="2172" t="s">
        <v>22</v>
      </c>
      <c r="C133" s="2183"/>
      <c r="D133" s="1994">
        <f>D137+D134</f>
        <v>3490799</v>
      </c>
      <c r="E133" s="1994">
        <f t="shared" ref="E133:G133" si="82">E137+E134</f>
        <v>0</v>
      </c>
      <c r="F133" s="1994">
        <f t="shared" si="82"/>
        <v>0</v>
      </c>
      <c r="G133" s="1994">
        <f t="shared" si="82"/>
        <v>1822294</v>
      </c>
      <c r="H133" s="1994">
        <f>H137+H134</f>
        <v>1668505</v>
      </c>
      <c r="I133" s="1994">
        <f>I137+I134</f>
        <v>0</v>
      </c>
      <c r="J133" s="1994">
        <f t="shared" ref="J133:K133" si="83">J137+J134</f>
        <v>0</v>
      </c>
      <c r="K133" s="1994">
        <f t="shared" si="83"/>
        <v>0</v>
      </c>
      <c r="L133" s="1994"/>
      <c r="M133" s="3502" t="s">
        <v>61</v>
      </c>
      <c r="N133" s="3502" t="s">
        <v>61</v>
      </c>
      <c r="O133" s="3495"/>
    </row>
    <row r="134" spans="1:76" s="328" customFormat="1" ht="13.5" customHeight="1">
      <c r="A134" s="3492"/>
      <c r="B134" s="2184" t="s">
        <v>24</v>
      </c>
      <c r="C134" s="3522" t="s">
        <v>160</v>
      </c>
      <c r="D134" s="2134">
        <f>+D135+D136</f>
        <v>1039493</v>
      </c>
      <c r="E134" s="2134">
        <f t="shared" ref="E134:K134" si="84">+E135+E136</f>
        <v>0</v>
      </c>
      <c r="F134" s="2134">
        <f t="shared" si="84"/>
        <v>0</v>
      </c>
      <c r="G134" s="2134">
        <f t="shared" si="84"/>
        <v>535653</v>
      </c>
      <c r="H134" s="2134">
        <f t="shared" si="84"/>
        <v>503840</v>
      </c>
      <c r="I134" s="2134">
        <f t="shared" si="84"/>
        <v>0</v>
      </c>
      <c r="J134" s="2134">
        <f t="shared" si="84"/>
        <v>0</v>
      </c>
      <c r="K134" s="2134">
        <f t="shared" si="84"/>
        <v>0</v>
      </c>
      <c r="L134" s="2134"/>
      <c r="M134" s="3503"/>
      <c r="N134" s="3503"/>
      <c r="O134" s="3495"/>
    </row>
    <row r="135" spans="1:76" s="328" customFormat="1" ht="12">
      <c r="A135" s="3492"/>
      <c r="B135" s="2178" t="s">
        <v>139</v>
      </c>
      <c r="C135" s="3498"/>
      <c r="D135" s="1913">
        <f>E135+F135+G135+H135+I135+J135+K135+L135</f>
        <v>606910</v>
      </c>
      <c r="E135" s="1964">
        <v>0</v>
      </c>
      <c r="F135" s="2179"/>
      <c r="G135" s="2179">
        <v>308599</v>
      </c>
      <c r="H135" s="2179">
        <v>298311</v>
      </c>
      <c r="I135" s="2179"/>
      <c r="J135" s="2179"/>
      <c r="K135" s="2179"/>
      <c r="L135" s="2179"/>
      <c r="M135" s="3503"/>
      <c r="N135" s="3503"/>
      <c r="O135" s="3495"/>
    </row>
    <row r="136" spans="1:76" s="328" customFormat="1" ht="12">
      <c r="A136" s="3492"/>
      <c r="B136" s="2178" t="s">
        <v>507</v>
      </c>
      <c r="C136" s="2485"/>
      <c r="D136" s="1913">
        <f>E136+F136+G136+H136+I136+J136+K136+L136</f>
        <v>432583</v>
      </c>
      <c r="E136" s="1964"/>
      <c r="F136" s="2179"/>
      <c r="G136" s="2179">
        <v>227054</v>
      </c>
      <c r="H136" s="2179">
        <v>205529</v>
      </c>
      <c r="I136" s="2179"/>
      <c r="J136" s="2179"/>
      <c r="K136" s="2179"/>
      <c r="L136" s="2179"/>
      <c r="M136" s="3503"/>
      <c r="N136" s="3503"/>
      <c r="O136" s="3495"/>
    </row>
    <row r="137" spans="1:76" ht="14.25" customHeight="1">
      <c r="A137" s="3492"/>
      <c r="B137" s="2181" t="s">
        <v>18</v>
      </c>
      <c r="C137" s="3546" t="s">
        <v>23</v>
      </c>
      <c r="D137" s="2127">
        <f>+D138</f>
        <v>2451306</v>
      </c>
      <c r="E137" s="2127">
        <f t="shared" ref="E137:K137" si="85">+E138</f>
        <v>0</v>
      </c>
      <c r="F137" s="2127">
        <f t="shared" si="85"/>
        <v>0</v>
      </c>
      <c r="G137" s="2127">
        <f t="shared" si="85"/>
        <v>1286641</v>
      </c>
      <c r="H137" s="2127">
        <f t="shared" si="85"/>
        <v>1164665</v>
      </c>
      <c r="I137" s="2127">
        <f t="shared" si="85"/>
        <v>0</v>
      </c>
      <c r="J137" s="2127">
        <f t="shared" si="85"/>
        <v>0</v>
      </c>
      <c r="K137" s="2127">
        <f t="shared" si="85"/>
        <v>0</v>
      </c>
      <c r="L137" s="2127"/>
      <c r="M137" s="3503"/>
      <c r="N137" s="3503"/>
      <c r="O137" s="3495"/>
      <c r="P137" s="328"/>
      <c r="Q137" s="328"/>
      <c r="R137" s="328"/>
      <c r="S137" s="328"/>
      <c r="T137" s="328"/>
      <c r="U137" s="328"/>
      <c r="V137" s="328"/>
      <c r="W137" s="328"/>
      <c r="X137" s="328"/>
      <c r="Y137" s="328"/>
      <c r="Z137" s="328"/>
      <c r="AA137" s="328"/>
      <c r="AB137" s="328"/>
      <c r="AC137" s="328"/>
      <c r="AD137" s="328"/>
      <c r="AE137" s="328"/>
      <c r="AF137" s="328"/>
      <c r="AG137" s="328"/>
      <c r="AH137" s="328"/>
      <c r="AI137" s="328"/>
      <c r="AJ137" s="328"/>
      <c r="AK137" s="328"/>
      <c r="AL137" s="328"/>
      <c r="AM137" s="328"/>
      <c r="AN137" s="328"/>
      <c r="AO137" s="328"/>
      <c r="AP137" s="328"/>
      <c r="AQ137" s="328"/>
      <c r="AR137" s="328"/>
      <c r="AS137" s="328"/>
      <c r="AT137" s="328"/>
      <c r="AU137" s="328"/>
      <c r="AV137" s="328"/>
      <c r="AW137" s="328"/>
      <c r="AX137" s="328"/>
      <c r="AY137" s="328"/>
      <c r="AZ137" s="328"/>
      <c r="BA137" s="328"/>
      <c r="BB137" s="328"/>
      <c r="BC137" s="328"/>
      <c r="BD137" s="328"/>
      <c r="BE137" s="328"/>
      <c r="BF137" s="328"/>
      <c r="BG137" s="328"/>
      <c r="BH137" s="328"/>
      <c r="BI137" s="328"/>
      <c r="BJ137" s="328"/>
      <c r="BK137" s="328"/>
      <c r="BL137" s="328"/>
      <c r="BM137" s="328"/>
      <c r="BN137" s="328"/>
      <c r="BO137" s="328"/>
      <c r="BP137" s="328"/>
      <c r="BQ137" s="328"/>
      <c r="BR137" s="328"/>
      <c r="BS137" s="328"/>
      <c r="BT137" s="328"/>
      <c r="BU137" s="328"/>
      <c r="BV137" s="328"/>
      <c r="BW137" s="328"/>
      <c r="BX137" s="328"/>
    </row>
    <row r="138" spans="1:76" ht="12.75" thickBot="1">
      <c r="A138" s="3493"/>
      <c r="B138" s="2194" t="s">
        <v>35</v>
      </c>
      <c r="C138" s="3505"/>
      <c r="D138" s="2417">
        <f>E138+F138+G138+H138+I138+J138+K138+L138</f>
        <v>2451306</v>
      </c>
      <c r="E138" s="2375">
        <v>0</v>
      </c>
      <c r="F138" s="2197">
        <v>0</v>
      </c>
      <c r="G138" s="2197">
        <v>1286641</v>
      </c>
      <c r="H138" s="2197">
        <v>1164665</v>
      </c>
      <c r="I138" s="2197"/>
      <c r="J138" s="2197"/>
      <c r="K138" s="2197"/>
      <c r="L138" s="2197"/>
      <c r="M138" s="3504"/>
      <c r="N138" s="3504"/>
      <c r="O138" s="3496"/>
    </row>
    <row r="139" spans="1:76" ht="28.5" customHeight="1">
      <c r="A139" s="3491" t="s">
        <v>87</v>
      </c>
      <c r="B139" s="590" t="s">
        <v>528</v>
      </c>
      <c r="C139" s="591" t="s">
        <v>109</v>
      </c>
      <c r="D139" s="526"/>
      <c r="E139" s="580"/>
      <c r="F139" s="580"/>
      <c r="G139" s="580"/>
      <c r="H139" s="580"/>
      <c r="I139" s="580"/>
      <c r="J139" s="580"/>
      <c r="K139" s="580"/>
      <c r="L139" s="580"/>
      <c r="M139" s="581"/>
      <c r="N139" s="581"/>
      <c r="O139" s="3494" t="s">
        <v>159</v>
      </c>
    </row>
    <row r="140" spans="1:76" ht="14.25" customHeight="1">
      <c r="A140" s="3492"/>
      <c r="B140" s="2172" t="s">
        <v>10</v>
      </c>
      <c r="C140" s="2173"/>
      <c r="D140" s="1999">
        <f>+D141+D144</f>
        <v>4777476</v>
      </c>
      <c r="E140" s="1999">
        <f t="shared" ref="E140:G140" si="86">+E141+E144</f>
        <v>6055</v>
      </c>
      <c r="F140" s="1999">
        <f t="shared" si="86"/>
        <v>1200</v>
      </c>
      <c r="G140" s="1999">
        <f t="shared" si="86"/>
        <v>1650997</v>
      </c>
      <c r="H140" s="1999">
        <f>+H141+H144</f>
        <v>2110656</v>
      </c>
      <c r="I140" s="1999">
        <f>+I141+I144</f>
        <v>1008568</v>
      </c>
      <c r="J140" s="1999">
        <f t="shared" ref="J140:K140" si="87">+J141+J144</f>
        <v>0</v>
      </c>
      <c r="K140" s="1999">
        <f t="shared" si="87"/>
        <v>0</v>
      </c>
      <c r="L140" s="1999"/>
      <c r="M140" s="2174">
        <f>+M141</f>
        <v>1346936</v>
      </c>
      <c r="N140" s="2174">
        <f>+N141</f>
        <v>1346936</v>
      </c>
      <c r="O140" s="3495"/>
    </row>
    <row r="141" spans="1:76" ht="12">
      <c r="A141" s="3492"/>
      <c r="B141" s="2175" t="s">
        <v>24</v>
      </c>
      <c r="C141" s="3522" t="s">
        <v>160</v>
      </c>
      <c r="D141" s="1983">
        <f>D143+D142</f>
        <v>1354191</v>
      </c>
      <c r="E141" s="1983">
        <f t="shared" ref="E141:K141" si="88">E143+E142</f>
        <v>6055</v>
      </c>
      <c r="F141" s="1983">
        <f t="shared" si="88"/>
        <v>1200</v>
      </c>
      <c r="G141" s="1983">
        <f t="shared" si="88"/>
        <v>453927</v>
      </c>
      <c r="H141" s="1983">
        <f t="shared" si="88"/>
        <v>614097</v>
      </c>
      <c r="I141" s="1983">
        <f t="shared" si="88"/>
        <v>278912</v>
      </c>
      <c r="J141" s="1983">
        <f t="shared" si="88"/>
        <v>0</v>
      </c>
      <c r="K141" s="1983">
        <f t="shared" si="88"/>
        <v>0</v>
      </c>
      <c r="L141" s="1983"/>
      <c r="M141" s="1953">
        <f>+M143</f>
        <v>1346936</v>
      </c>
      <c r="N141" s="1953">
        <f>+N143</f>
        <v>1346936</v>
      </c>
      <c r="O141" s="3495"/>
    </row>
    <row r="142" spans="1:76" ht="12">
      <c r="A142" s="3492"/>
      <c r="B142" s="2176" t="s">
        <v>32</v>
      </c>
      <c r="C142" s="3498"/>
      <c r="D142" s="1913">
        <f>E142+F142+G142+H142+I142+J142+K142+L142</f>
        <v>7255</v>
      </c>
      <c r="E142" s="1964">
        <f>2279+3776</f>
        <v>6055</v>
      </c>
      <c r="F142" s="2177">
        <v>1200</v>
      </c>
      <c r="G142" s="2177">
        <v>0</v>
      </c>
      <c r="H142" s="2177">
        <v>0</v>
      </c>
      <c r="I142" s="2177">
        <v>0</v>
      </c>
      <c r="J142" s="756"/>
      <c r="K142" s="756"/>
      <c r="L142" s="756"/>
      <c r="M142" s="594" t="s">
        <v>61</v>
      </c>
      <c r="N142" s="594" t="s">
        <v>61</v>
      </c>
      <c r="O142" s="3495"/>
    </row>
    <row r="143" spans="1:76" ht="12">
      <c r="A143" s="3492"/>
      <c r="B143" s="2178" t="s">
        <v>122</v>
      </c>
      <c r="C143" s="3499"/>
      <c r="D143" s="1913">
        <f>E143+F143+G143+H143+I143+J143+K143+L143</f>
        <v>1346936</v>
      </c>
      <c r="E143" s="1964"/>
      <c r="F143" s="2179">
        <v>0</v>
      </c>
      <c r="G143" s="2179">
        <v>453927</v>
      </c>
      <c r="H143" s="2179">
        <v>614097</v>
      </c>
      <c r="I143" s="2179">
        <v>278912</v>
      </c>
      <c r="J143" s="2179"/>
      <c r="K143" s="2179"/>
      <c r="L143" s="2179"/>
      <c r="M143" s="2180">
        <f>SUM(F143:K143)</f>
        <v>1346936</v>
      </c>
      <c r="N143" s="2180">
        <f>SUM(G143:L143)</f>
        <v>1346936</v>
      </c>
      <c r="O143" s="3495"/>
    </row>
    <row r="144" spans="1:76" ht="12">
      <c r="A144" s="3492"/>
      <c r="B144" s="2181" t="s">
        <v>18</v>
      </c>
      <c r="C144" s="3546" t="s">
        <v>23</v>
      </c>
      <c r="D144" s="2127">
        <f>+D145</f>
        <v>3423285</v>
      </c>
      <c r="E144" s="2127">
        <f t="shared" ref="E144:N144" si="89">+E145</f>
        <v>0</v>
      </c>
      <c r="F144" s="2127">
        <f t="shared" si="89"/>
        <v>0</v>
      </c>
      <c r="G144" s="2127">
        <f t="shared" si="89"/>
        <v>1197070</v>
      </c>
      <c r="H144" s="2127">
        <f t="shared" si="89"/>
        <v>1496559</v>
      </c>
      <c r="I144" s="2127">
        <f t="shared" si="89"/>
        <v>729656</v>
      </c>
      <c r="J144" s="2127">
        <f t="shared" si="89"/>
        <v>0</v>
      </c>
      <c r="K144" s="2127">
        <f t="shared" si="89"/>
        <v>0</v>
      </c>
      <c r="L144" s="1473"/>
      <c r="M144" s="1474" t="str">
        <f t="shared" si="89"/>
        <v>x</v>
      </c>
      <c r="N144" s="1474" t="str">
        <f t="shared" si="89"/>
        <v>x</v>
      </c>
      <c r="O144" s="3495"/>
    </row>
    <row r="145" spans="1:15" ht="12">
      <c r="A145" s="3492"/>
      <c r="B145" s="2178" t="s">
        <v>35</v>
      </c>
      <c r="C145" s="3501"/>
      <c r="D145" s="1913">
        <f>E145+F145+G145+H145+I145+J145+K145+L145</f>
        <v>3423285</v>
      </c>
      <c r="E145" s="1964">
        <v>0</v>
      </c>
      <c r="F145" s="2182">
        <v>0</v>
      </c>
      <c r="G145" s="2182">
        <v>1197070</v>
      </c>
      <c r="H145" s="2182">
        <v>1496559</v>
      </c>
      <c r="I145" s="2182">
        <v>729656</v>
      </c>
      <c r="J145" s="757"/>
      <c r="K145" s="757"/>
      <c r="L145" s="757"/>
      <c r="M145" s="1475" t="s">
        <v>61</v>
      </c>
      <c r="N145" s="1475" t="s">
        <v>61</v>
      </c>
      <c r="O145" s="3495"/>
    </row>
    <row r="146" spans="1:15" ht="13.5" customHeight="1">
      <c r="A146" s="3492"/>
      <c r="B146" s="2172" t="s">
        <v>22</v>
      </c>
      <c r="C146" s="2183"/>
      <c r="D146" s="1994">
        <f>D149+D147</f>
        <v>4173450</v>
      </c>
      <c r="E146" s="1994">
        <f t="shared" ref="E146:G146" si="90">E149+E147</f>
        <v>0</v>
      </c>
      <c r="F146" s="1994">
        <f t="shared" si="90"/>
        <v>0</v>
      </c>
      <c r="G146" s="1994">
        <f t="shared" si="90"/>
        <v>1450174</v>
      </c>
      <c r="H146" s="1994">
        <f>H149+H147</f>
        <v>1846557</v>
      </c>
      <c r="I146" s="1994">
        <f>I149+I147</f>
        <v>876719</v>
      </c>
      <c r="J146" s="1994">
        <f t="shared" ref="J146:K146" si="91">J149+J147</f>
        <v>0</v>
      </c>
      <c r="K146" s="1994">
        <f t="shared" si="91"/>
        <v>0</v>
      </c>
      <c r="L146" s="1994"/>
      <c r="M146" s="3502" t="s">
        <v>61</v>
      </c>
      <c r="N146" s="3502" t="s">
        <v>61</v>
      </c>
      <c r="O146" s="3495"/>
    </row>
    <row r="147" spans="1:15" ht="12">
      <c r="A147" s="3492"/>
      <c r="B147" s="2184" t="s">
        <v>24</v>
      </c>
      <c r="C147" s="3522" t="s">
        <v>160</v>
      </c>
      <c r="D147" s="2134">
        <f>+D148</f>
        <v>750165</v>
      </c>
      <c r="E147" s="2134">
        <f t="shared" ref="E147:K147" si="92">+E148</f>
        <v>0</v>
      </c>
      <c r="F147" s="2134">
        <f t="shared" si="92"/>
        <v>0</v>
      </c>
      <c r="G147" s="2134">
        <f t="shared" si="92"/>
        <v>253104</v>
      </c>
      <c r="H147" s="2134">
        <f t="shared" si="92"/>
        <v>349998</v>
      </c>
      <c r="I147" s="2134">
        <f t="shared" si="92"/>
        <v>147063</v>
      </c>
      <c r="J147" s="2134">
        <f t="shared" si="92"/>
        <v>0</v>
      </c>
      <c r="K147" s="2134">
        <f t="shared" si="92"/>
        <v>0</v>
      </c>
      <c r="L147" s="2134"/>
      <c r="M147" s="3503"/>
      <c r="N147" s="3503"/>
      <c r="O147" s="3495"/>
    </row>
    <row r="148" spans="1:15" ht="12">
      <c r="A148" s="3492"/>
      <c r="B148" s="2178" t="s">
        <v>139</v>
      </c>
      <c r="C148" s="3498"/>
      <c r="D148" s="1913">
        <f>E148+F148+G148+H148+I148+J148+K148+L148</f>
        <v>750165</v>
      </c>
      <c r="E148" s="1964">
        <v>0</v>
      </c>
      <c r="F148" s="2179"/>
      <c r="G148" s="2179">
        <v>253104</v>
      </c>
      <c r="H148" s="2179">
        <v>349998</v>
      </c>
      <c r="I148" s="2179">
        <v>147063</v>
      </c>
      <c r="J148" s="2179"/>
      <c r="K148" s="2179"/>
      <c r="L148" s="2179"/>
      <c r="M148" s="3503"/>
      <c r="N148" s="3503"/>
      <c r="O148" s="3495"/>
    </row>
    <row r="149" spans="1:15" ht="12">
      <c r="A149" s="3492"/>
      <c r="B149" s="2181" t="s">
        <v>18</v>
      </c>
      <c r="C149" s="3546" t="s">
        <v>23</v>
      </c>
      <c r="D149" s="2127">
        <f>+D150</f>
        <v>3423285</v>
      </c>
      <c r="E149" s="2127">
        <f t="shared" ref="E149:K149" si="93">+E150</f>
        <v>0</v>
      </c>
      <c r="F149" s="2127">
        <f t="shared" si="93"/>
        <v>0</v>
      </c>
      <c r="G149" s="2127">
        <f t="shared" si="93"/>
        <v>1197070</v>
      </c>
      <c r="H149" s="2127">
        <f t="shared" si="93"/>
        <v>1496559</v>
      </c>
      <c r="I149" s="2127">
        <f t="shared" si="93"/>
        <v>729656</v>
      </c>
      <c r="J149" s="2127">
        <f t="shared" si="93"/>
        <v>0</v>
      </c>
      <c r="K149" s="2127">
        <f t="shared" si="93"/>
        <v>0</v>
      </c>
      <c r="L149" s="2127"/>
      <c r="M149" s="3503"/>
      <c r="N149" s="3503"/>
      <c r="O149" s="3495"/>
    </row>
    <row r="150" spans="1:15" ht="12.75" thickBot="1">
      <c r="A150" s="3493"/>
      <c r="B150" s="2194" t="s">
        <v>35</v>
      </c>
      <c r="C150" s="3505"/>
      <c r="D150" s="2195">
        <f>E150+F150+G150+H150+I150+J150+K150+L150</f>
        <v>3423285</v>
      </c>
      <c r="E150" s="2375">
        <v>0</v>
      </c>
      <c r="F150" s="2197">
        <v>0</v>
      </c>
      <c r="G150" s="2197">
        <v>1197070</v>
      </c>
      <c r="H150" s="2197">
        <v>1496559</v>
      </c>
      <c r="I150" s="2197">
        <v>729656</v>
      </c>
      <c r="J150" s="2197"/>
      <c r="K150" s="2197"/>
      <c r="L150" s="2197"/>
      <c r="M150" s="3504"/>
      <c r="N150" s="3504"/>
      <c r="O150" s="3496"/>
    </row>
    <row r="151" spans="1:15" ht="29.25" customHeight="1">
      <c r="A151" s="3491" t="s">
        <v>88</v>
      </c>
      <c r="B151" s="590" t="s">
        <v>529</v>
      </c>
      <c r="C151" s="591" t="s">
        <v>81</v>
      </c>
      <c r="D151" s="526"/>
      <c r="E151" s="580"/>
      <c r="F151" s="580"/>
      <c r="G151" s="580"/>
      <c r="H151" s="580"/>
      <c r="I151" s="580"/>
      <c r="J151" s="580"/>
      <c r="K151" s="580"/>
      <c r="L151" s="580"/>
      <c r="M151" s="581"/>
      <c r="N151" s="581"/>
      <c r="O151" s="3494" t="s">
        <v>511</v>
      </c>
    </row>
    <row r="152" spans="1:15" ht="14.25" customHeight="1">
      <c r="A152" s="3492"/>
      <c r="B152" s="541" t="s">
        <v>10</v>
      </c>
      <c r="C152" s="592"/>
      <c r="D152" s="579">
        <f>+D153+D156</f>
        <v>2606667</v>
      </c>
      <c r="E152" s="579">
        <f t="shared" ref="E152:F152" si="94">+E153+E156</f>
        <v>6118</v>
      </c>
      <c r="F152" s="579">
        <f t="shared" si="94"/>
        <v>0</v>
      </c>
      <c r="G152" s="579">
        <f>+G153+G156</f>
        <v>676773</v>
      </c>
      <c r="H152" s="579">
        <f>+H153+H156</f>
        <v>1923776</v>
      </c>
      <c r="I152" s="579">
        <f>+I153+I156</f>
        <v>0</v>
      </c>
      <c r="J152" s="579">
        <f t="shared" ref="J152:K152" si="95">+J153+J156</f>
        <v>0</v>
      </c>
      <c r="K152" s="579">
        <f t="shared" si="95"/>
        <v>0</v>
      </c>
      <c r="L152" s="579"/>
      <c r="M152" s="582">
        <f>+M153</f>
        <v>792857</v>
      </c>
      <c r="N152" s="582">
        <f>+N153</f>
        <v>792857</v>
      </c>
      <c r="O152" s="3495"/>
    </row>
    <row r="153" spans="1:15" ht="12" customHeight="1">
      <c r="A153" s="3492"/>
      <c r="B153" s="2694" t="s">
        <v>24</v>
      </c>
      <c r="C153" s="3511" t="s">
        <v>160</v>
      </c>
      <c r="D153" s="531">
        <f>D155+D154</f>
        <v>798975</v>
      </c>
      <c r="E153" s="531">
        <f t="shared" ref="E153:K153" si="96">E155+E154</f>
        <v>6118</v>
      </c>
      <c r="F153" s="531">
        <f t="shared" si="96"/>
        <v>0</v>
      </c>
      <c r="G153" s="531">
        <f t="shared" si="96"/>
        <v>198520</v>
      </c>
      <c r="H153" s="531">
        <f t="shared" si="96"/>
        <v>594337</v>
      </c>
      <c r="I153" s="531">
        <f t="shared" si="96"/>
        <v>0</v>
      </c>
      <c r="J153" s="531">
        <f t="shared" si="96"/>
        <v>0</v>
      </c>
      <c r="K153" s="531">
        <f t="shared" si="96"/>
        <v>0</v>
      </c>
      <c r="L153" s="531"/>
      <c r="M153" s="584">
        <f>+M155</f>
        <v>792857</v>
      </c>
      <c r="N153" s="584">
        <f>+N155</f>
        <v>792857</v>
      </c>
      <c r="O153" s="3495"/>
    </row>
    <row r="154" spans="1:15" ht="12">
      <c r="A154" s="3492"/>
      <c r="B154" s="549" t="s">
        <v>32</v>
      </c>
      <c r="C154" s="3498"/>
      <c r="D154" s="249">
        <f>E154+F154+G154+H154+I154+J154+K154+L154</f>
        <v>6118</v>
      </c>
      <c r="E154" s="527">
        <v>6118</v>
      </c>
      <c r="F154" s="593">
        <v>0</v>
      </c>
      <c r="G154" s="593">
        <v>0</v>
      </c>
      <c r="H154" s="593">
        <v>0</v>
      </c>
      <c r="I154" s="593">
        <v>0</v>
      </c>
      <c r="J154" s="756"/>
      <c r="K154" s="756"/>
      <c r="L154" s="756"/>
      <c r="M154" s="594" t="s">
        <v>61</v>
      </c>
      <c r="N154" s="594" t="s">
        <v>61</v>
      </c>
      <c r="O154" s="3495"/>
    </row>
    <row r="155" spans="1:15" ht="12">
      <c r="A155" s="3492"/>
      <c r="B155" s="595" t="s">
        <v>122</v>
      </c>
      <c r="C155" s="3499"/>
      <c r="D155" s="249">
        <f>E155+F155+G155+H155+I155+J155+K155+L155</f>
        <v>792857</v>
      </c>
      <c r="E155" s="527"/>
      <c r="F155" s="530"/>
      <c r="G155" s="530">
        <v>198520</v>
      </c>
      <c r="H155" s="530">
        <v>594337</v>
      </c>
      <c r="I155" s="530"/>
      <c r="J155" s="530"/>
      <c r="K155" s="530"/>
      <c r="L155" s="530"/>
      <c r="M155" s="577">
        <f>SUM(F155:K155)</f>
        <v>792857</v>
      </c>
      <c r="N155" s="577">
        <f>SUM(G155:L155)</f>
        <v>792857</v>
      </c>
      <c r="O155" s="3495"/>
    </row>
    <row r="156" spans="1:15" ht="12">
      <c r="A156" s="3492"/>
      <c r="B156" s="2695" t="s">
        <v>18</v>
      </c>
      <c r="C156" s="3512" t="s">
        <v>23</v>
      </c>
      <c r="D156" s="2696">
        <f>+D157</f>
        <v>1807692</v>
      </c>
      <c r="E156" s="2696">
        <f t="shared" ref="E156:N156" si="97">+E157</f>
        <v>0</v>
      </c>
      <c r="F156" s="2696">
        <f t="shared" si="97"/>
        <v>0</v>
      </c>
      <c r="G156" s="2696">
        <f t="shared" si="97"/>
        <v>478253</v>
      </c>
      <c r="H156" s="2696">
        <f t="shared" si="97"/>
        <v>1329439</v>
      </c>
      <c r="I156" s="2696">
        <f t="shared" si="97"/>
        <v>0</v>
      </c>
      <c r="J156" s="2696">
        <f t="shared" si="97"/>
        <v>0</v>
      </c>
      <c r="K156" s="2696">
        <f t="shared" si="97"/>
        <v>0</v>
      </c>
      <c r="L156" s="1473"/>
      <c r="M156" s="1474" t="str">
        <f t="shared" si="97"/>
        <v>x</v>
      </c>
      <c r="N156" s="1474" t="str">
        <f t="shared" si="97"/>
        <v>x</v>
      </c>
      <c r="O156" s="3495"/>
    </row>
    <row r="157" spans="1:15" ht="12">
      <c r="A157" s="3492"/>
      <c r="B157" s="595" t="s">
        <v>35</v>
      </c>
      <c r="C157" s="3501"/>
      <c r="D157" s="249">
        <f>E157+F157+G157+H157+I157+J157+K157+L157</f>
        <v>1807692</v>
      </c>
      <c r="E157" s="527">
        <v>0</v>
      </c>
      <c r="F157" s="529">
        <v>0</v>
      </c>
      <c r="G157" s="529">
        <v>478253</v>
      </c>
      <c r="H157" s="529">
        <v>1329439</v>
      </c>
      <c r="I157" s="529"/>
      <c r="J157" s="757"/>
      <c r="K157" s="757"/>
      <c r="L157" s="757"/>
      <c r="M157" s="1475" t="s">
        <v>61</v>
      </c>
      <c r="N157" s="1475" t="s">
        <v>61</v>
      </c>
      <c r="O157" s="3495"/>
    </row>
    <row r="158" spans="1:15" ht="13.5" customHeight="1">
      <c r="A158" s="3492"/>
      <c r="B158" s="541" t="s">
        <v>22</v>
      </c>
      <c r="C158" s="2697"/>
      <c r="D158" s="532">
        <f>D161+D159</f>
        <v>2287580</v>
      </c>
      <c r="E158" s="532">
        <f t="shared" ref="E158:G158" si="98">E161+E159</f>
        <v>0</v>
      </c>
      <c r="F158" s="532">
        <f t="shared" si="98"/>
        <v>0</v>
      </c>
      <c r="G158" s="532">
        <f t="shared" si="98"/>
        <v>598410</v>
      </c>
      <c r="H158" s="532">
        <f>H161+H159</f>
        <v>1689170</v>
      </c>
      <c r="I158" s="532">
        <f>I161+I159</f>
        <v>0</v>
      </c>
      <c r="J158" s="532">
        <f t="shared" ref="J158:K158" si="99">J161+J159</f>
        <v>0</v>
      </c>
      <c r="K158" s="532">
        <f t="shared" si="99"/>
        <v>0</v>
      </c>
      <c r="L158" s="532"/>
      <c r="M158" s="3521" t="s">
        <v>61</v>
      </c>
      <c r="N158" s="3521" t="s">
        <v>61</v>
      </c>
      <c r="O158" s="3495"/>
    </row>
    <row r="159" spans="1:15" ht="12" customHeight="1">
      <c r="A159" s="3492"/>
      <c r="B159" s="597" t="s">
        <v>24</v>
      </c>
      <c r="C159" s="3511" t="s">
        <v>160</v>
      </c>
      <c r="D159" s="2698">
        <f>+D160</f>
        <v>479888</v>
      </c>
      <c r="E159" s="2698">
        <f t="shared" ref="E159:K159" si="100">+E160</f>
        <v>0</v>
      </c>
      <c r="F159" s="2698">
        <f t="shared" si="100"/>
        <v>0</v>
      </c>
      <c r="G159" s="2698">
        <f t="shared" si="100"/>
        <v>120157</v>
      </c>
      <c r="H159" s="2698">
        <f t="shared" si="100"/>
        <v>359731</v>
      </c>
      <c r="I159" s="2698">
        <f t="shared" si="100"/>
        <v>0</v>
      </c>
      <c r="J159" s="2698">
        <f t="shared" si="100"/>
        <v>0</v>
      </c>
      <c r="K159" s="2698">
        <f t="shared" si="100"/>
        <v>0</v>
      </c>
      <c r="L159" s="2698"/>
      <c r="M159" s="3503"/>
      <c r="N159" s="3503"/>
      <c r="O159" s="3495"/>
    </row>
    <row r="160" spans="1:15" ht="12">
      <c r="A160" s="3492"/>
      <c r="B160" s="595" t="s">
        <v>139</v>
      </c>
      <c r="C160" s="3498"/>
      <c r="D160" s="249">
        <f>E160+F160+G160+H160+I160+J160+K160+L160</f>
        <v>479888</v>
      </c>
      <c r="E160" s="527">
        <v>0</v>
      </c>
      <c r="F160" s="530"/>
      <c r="G160" s="530">
        <v>120157</v>
      </c>
      <c r="H160" s="530">
        <v>359731</v>
      </c>
      <c r="I160" s="530"/>
      <c r="J160" s="530"/>
      <c r="K160" s="530"/>
      <c r="L160" s="530"/>
      <c r="M160" s="3503"/>
      <c r="N160" s="3503"/>
      <c r="O160" s="3495"/>
    </row>
    <row r="161" spans="1:15" ht="12">
      <c r="A161" s="3492"/>
      <c r="B161" s="2695" t="s">
        <v>18</v>
      </c>
      <c r="C161" s="3512" t="s">
        <v>23</v>
      </c>
      <c r="D161" s="2696">
        <f>+D162</f>
        <v>1807692</v>
      </c>
      <c r="E161" s="2696">
        <f t="shared" ref="E161:K161" si="101">+E162</f>
        <v>0</v>
      </c>
      <c r="F161" s="2696">
        <f t="shared" si="101"/>
        <v>0</v>
      </c>
      <c r="G161" s="2696">
        <f t="shared" si="101"/>
        <v>478253</v>
      </c>
      <c r="H161" s="2696">
        <f t="shared" si="101"/>
        <v>1329439</v>
      </c>
      <c r="I161" s="2696">
        <f t="shared" si="101"/>
        <v>0</v>
      </c>
      <c r="J161" s="2696">
        <f t="shared" si="101"/>
        <v>0</v>
      </c>
      <c r="K161" s="2696">
        <f t="shared" si="101"/>
        <v>0</v>
      </c>
      <c r="L161" s="2696"/>
      <c r="M161" s="3503"/>
      <c r="N161" s="3503"/>
      <c r="O161" s="3495"/>
    </row>
    <row r="162" spans="1:15" ht="12.75" thickBot="1">
      <c r="A162" s="3493"/>
      <c r="B162" s="610" t="s">
        <v>35</v>
      </c>
      <c r="C162" s="3505"/>
      <c r="D162" s="2417">
        <f>E162+F162+G162+H162+I162+J162+K162+L162</f>
        <v>1807692</v>
      </c>
      <c r="E162" s="585">
        <v>0</v>
      </c>
      <c r="F162" s="599">
        <v>0</v>
      </c>
      <c r="G162" s="599">
        <v>478253</v>
      </c>
      <c r="H162" s="599">
        <v>1329439</v>
      </c>
      <c r="I162" s="599"/>
      <c r="J162" s="599"/>
      <c r="K162" s="599"/>
      <c r="L162" s="599"/>
      <c r="M162" s="3504"/>
      <c r="N162" s="3504"/>
      <c r="O162" s="3496"/>
    </row>
    <row r="163" spans="1:15">
      <c r="O163" s="2488"/>
    </row>
    <row r="164" spans="1:15">
      <c r="O164" s="2488"/>
    </row>
    <row r="165" spans="1:15" hidden="1">
      <c r="O165" s="2488"/>
    </row>
    <row r="166" spans="1:15" hidden="1">
      <c r="A166" s="419" t="s">
        <v>508</v>
      </c>
      <c r="O166" s="2488"/>
    </row>
    <row r="167" spans="1:15" hidden="1">
      <c r="O167" s="2488"/>
    </row>
    <row r="168" spans="1:15" hidden="1">
      <c r="D168" s="553"/>
      <c r="G168" s="553">
        <f>G152+G140+G126+G114+G102+G42+G33+G24</f>
        <v>27695146</v>
      </c>
      <c r="O168" s="2488"/>
    </row>
    <row r="169" spans="1:15" hidden="1">
      <c r="G169" s="553">
        <f>G168-G10</f>
        <v>0</v>
      </c>
      <c r="O169" s="2488"/>
    </row>
    <row r="170" spans="1:15" hidden="1">
      <c r="O170" s="2488"/>
    </row>
    <row r="171" spans="1:15" hidden="1">
      <c r="D171" s="553">
        <f>D155+D143+D129+D117+D105+D45+D35+D26</f>
        <v>40999681</v>
      </c>
      <c r="O171" s="2488"/>
    </row>
    <row r="172" spans="1:15" hidden="1">
      <c r="D172" s="553">
        <f>D7-D171</f>
        <v>0</v>
      </c>
      <c r="O172" s="2488"/>
    </row>
    <row r="173" spans="1:15" hidden="1">
      <c r="O173" s="2488"/>
    </row>
    <row r="174" spans="1:15">
      <c r="O174" s="2488"/>
    </row>
    <row r="175" spans="1:15">
      <c r="O175" s="2488"/>
    </row>
    <row r="176" spans="1:15">
      <c r="O176" s="2488"/>
    </row>
    <row r="177" spans="15:15">
      <c r="O177" s="2488"/>
    </row>
    <row r="178" spans="15:15">
      <c r="O178" s="2488"/>
    </row>
    <row r="179" spans="15:15">
      <c r="O179" s="2488"/>
    </row>
    <row r="180" spans="15:15">
      <c r="O180" s="2488"/>
    </row>
    <row r="181" spans="15:15">
      <c r="O181" s="2488"/>
    </row>
    <row r="182" spans="15:15">
      <c r="O182" s="2488"/>
    </row>
    <row r="183" spans="15:15">
      <c r="O183" s="2488"/>
    </row>
    <row r="184" spans="15:15">
      <c r="O184" s="2488"/>
    </row>
    <row r="185" spans="15:15">
      <c r="O185" s="2488"/>
    </row>
    <row r="186" spans="15:15">
      <c r="O186" s="2488"/>
    </row>
    <row r="187" spans="15:15">
      <c r="O187" s="2488"/>
    </row>
    <row r="188" spans="15:15">
      <c r="O188" s="2488"/>
    </row>
    <row r="189" spans="15:15">
      <c r="O189" s="2488"/>
    </row>
    <row r="190" spans="15:15">
      <c r="O190" s="2488"/>
    </row>
    <row r="191" spans="15:15">
      <c r="O191" s="2488"/>
    </row>
    <row r="192" spans="15:15">
      <c r="O192" s="2488"/>
    </row>
    <row r="193" spans="15:15">
      <c r="O193" s="2488"/>
    </row>
    <row r="194" spans="15:15">
      <c r="O194" s="2488"/>
    </row>
    <row r="195" spans="15:15">
      <c r="O195" s="2488"/>
    </row>
    <row r="196" spans="15:15">
      <c r="O196" s="2488"/>
    </row>
    <row r="197" spans="15:15">
      <c r="O197" s="2488"/>
    </row>
    <row r="198" spans="15:15">
      <c r="O198" s="2488"/>
    </row>
    <row r="199" spans="15:15">
      <c r="O199" s="2488"/>
    </row>
    <row r="200" spans="15:15">
      <c r="O200" s="2488"/>
    </row>
    <row r="201" spans="15:15">
      <c r="O201" s="2488"/>
    </row>
    <row r="202" spans="15:15">
      <c r="O202" s="2488"/>
    </row>
    <row r="203" spans="15:15">
      <c r="O203" s="2488"/>
    </row>
    <row r="204" spans="15:15">
      <c r="O204" s="2488"/>
    </row>
    <row r="205" spans="15:15">
      <c r="O205" s="2488"/>
    </row>
    <row r="206" spans="15:15">
      <c r="O206" s="2488"/>
    </row>
    <row r="207" spans="15:15">
      <c r="O207" s="2488"/>
    </row>
    <row r="208" spans="15:15">
      <c r="O208" s="2488"/>
    </row>
    <row r="209" spans="15:15">
      <c r="O209" s="2488"/>
    </row>
    <row r="210" spans="15:15">
      <c r="O210" s="2488"/>
    </row>
    <row r="211" spans="15:15">
      <c r="O211" s="2488"/>
    </row>
    <row r="212" spans="15:15">
      <c r="O212" s="2488"/>
    </row>
    <row r="213" spans="15:15">
      <c r="O213" s="2488"/>
    </row>
    <row r="214" spans="15:15">
      <c r="O214" s="2488"/>
    </row>
    <row r="215" spans="15:15">
      <c r="O215" s="2488"/>
    </row>
    <row r="216" spans="15:15">
      <c r="O216" s="2488"/>
    </row>
    <row r="217" spans="15:15">
      <c r="O217" s="2488"/>
    </row>
    <row r="218" spans="15:15">
      <c r="O218" s="2488"/>
    </row>
    <row r="219" spans="15:15">
      <c r="O219" s="2488"/>
    </row>
    <row r="220" spans="15:15">
      <c r="O220" s="2488"/>
    </row>
    <row r="221" spans="15:15">
      <c r="O221" s="2488"/>
    </row>
    <row r="222" spans="15:15">
      <c r="O222" s="2488"/>
    </row>
    <row r="223" spans="15:15">
      <c r="O223" s="2488"/>
    </row>
    <row r="224" spans="15:15">
      <c r="O224" s="2488"/>
    </row>
    <row r="225" spans="15:15">
      <c r="O225" s="2488"/>
    </row>
    <row r="226" spans="15:15">
      <c r="O226" s="2488"/>
    </row>
    <row r="227" spans="15:15">
      <c r="O227" s="2488"/>
    </row>
    <row r="228" spans="15:15">
      <c r="O228" s="2488"/>
    </row>
    <row r="229" spans="15:15">
      <c r="O229" s="2488"/>
    </row>
    <row r="230" spans="15:15">
      <c r="O230" s="2488"/>
    </row>
    <row r="231" spans="15:15">
      <c r="O231" s="2488"/>
    </row>
    <row r="232" spans="15:15">
      <c r="O232" s="2488"/>
    </row>
    <row r="233" spans="15:15">
      <c r="O233" s="2488"/>
    </row>
    <row r="234" spans="15:15">
      <c r="O234" s="2488"/>
    </row>
    <row r="235" spans="15:15">
      <c r="O235" s="2488"/>
    </row>
    <row r="236" spans="15:15">
      <c r="O236" s="2488"/>
    </row>
    <row r="237" spans="15:15">
      <c r="O237" s="2488"/>
    </row>
    <row r="238" spans="15:15">
      <c r="O238" s="2488"/>
    </row>
    <row r="239" spans="15:15">
      <c r="O239" s="2488"/>
    </row>
    <row r="240" spans="15:15">
      <c r="O240" s="2488"/>
    </row>
    <row r="241" spans="15:15">
      <c r="O241" s="2488"/>
    </row>
    <row r="242" spans="15:15">
      <c r="O242" s="2488"/>
    </row>
    <row r="243" spans="15:15">
      <c r="O243" s="2488"/>
    </row>
    <row r="244" spans="15:15">
      <c r="O244" s="2488"/>
    </row>
    <row r="245" spans="15:15">
      <c r="O245" s="2488"/>
    </row>
    <row r="246" spans="15:15">
      <c r="O246" s="2488"/>
    </row>
    <row r="247" spans="15:15">
      <c r="O247" s="2488"/>
    </row>
    <row r="248" spans="15:15">
      <c r="O248" s="2488"/>
    </row>
    <row r="249" spans="15:15">
      <c r="O249" s="2488"/>
    </row>
    <row r="250" spans="15:15">
      <c r="O250" s="2488"/>
    </row>
    <row r="251" spans="15:15">
      <c r="O251" s="2488"/>
    </row>
    <row r="252" spans="15:15">
      <c r="O252" s="2488"/>
    </row>
    <row r="253" spans="15:15">
      <c r="O253" s="2488"/>
    </row>
    <row r="254" spans="15:15">
      <c r="O254" s="2488"/>
    </row>
    <row r="255" spans="15:15">
      <c r="O255" s="2488"/>
    </row>
    <row r="256" spans="15:15">
      <c r="O256" s="2488"/>
    </row>
    <row r="257" spans="15:15">
      <c r="O257" s="2488"/>
    </row>
    <row r="258" spans="15:15">
      <c r="O258" s="2488"/>
    </row>
    <row r="259" spans="15:15">
      <c r="O259" s="2488"/>
    </row>
    <row r="260" spans="15:15">
      <c r="O260" s="2488"/>
    </row>
    <row r="261" spans="15:15">
      <c r="O261" s="2488"/>
    </row>
    <row r="262" spans="15:15">
      <c r="O262" s="2488"/>
    </row>
    <row r="263" spans="15:15">
      <c r="O263" s="2488"/>
    </row>
    <row r="264" spans="15:15">
      <c r="O264" s="2488"/>
    </row>
    <row r="265" spans="15:15">
      <c r="O265" s="2488"/>
    </row>
    <row r="266" spans="15:15">
      <c r="O266" s="2488"/>
    </row>
    <row r="267" spans="15:15">
      <c r="O267" s="2488"/>
    </row>
    <row r="268" spans="15:15">
      <c r="O268" s="2488"/>
    </row>
    <row r="269" spans="15:15">
      <c r="O269" s="2488"/>
    </row>
    <row r="270" spans="15:15">
      <c r="O270" s="2488"/>
    </row>
    <row r="271" spans="15:15">
      <c r="O271" s="2488"/>
    </row>
    <row r="272" spans="15:15">
      <c r="O272" s="2488"/>
    </row>
    <row r="273" spans="15:15">
      <c r="O273" s="2488"/>
    </row>
    <row r="274" spans="15:15">
      <c r="O274" s="2488"/>
    </row>
    <row r="275" spans="15:15">
      <c r="O275" s="2488"/>
    </row>
    <row r="276" spans="15:15">
      <c r="O276" s="2488"/>
    </row>
    <row r="277" spans="15:15">
      <c r="O277" s="2488"/>
    </row>
    <row r="278" spans="15:15">
      <c r="O278" s="2488"/>
    </row>
    <row r="279" spans="15:15">
      <c r="O279" s="2488"/>
    </row>
    <row r="280" spans="15:15">
      <c r="O280" s="2488"/>
    </row>
    <row r="281" spans="15:15">
      <c r="O281" s="2488"/>
    </row>
    <row r="282" spans="15:15">
      <c r="O282" s="2488"/>
    </row>
    <row r="283" spans="15:15">
      <c r="O283" s="2488"/>
    </row>
    <row r="284" spans="15:15">
      <c r="O284" s="2488"/>
    </row>
    <row r="285" spans="15:15">
      <c r="O285" s="2488"/>
    </row>
    <row r="286" spans="15:15">
      <c r="O286" s="2488"/>
    </row>
    <row r="287" spans="15:15">
      <c r="O287" s="2488"/>
    </row>
    <row r="288" spans="15:15">
      <c r="O288" s="2488"/>
    </row>
    <row r="493" spans="1:15" ht="12" thickBot="1"/>
    <row r="494" spans="1:15" ht="33.75">
      <c r="A494" s="624"/>
      <c r="B494" s="393" t="s">
        <v>69</v>
      </c>
      <c r="C494" s="393"/>
      <c r="D494" s="625"/>
      <c r="E494" s="626"/>
      <c r="F494" s="626"/>
      <c r="G494" s="626"/>
      <c r="H494" s="626"/>
      <c r="I494" s="626"/>
      <c r="J494" s="626"/>
      <c r="K494" s="626"/>
      <c r="L494" s="626"/>
      <c r="M494" s="626"/>
      <c r="N494" s="626"/>
      <c r="O494" s="627"/>
    </row>
    <row r="495" spans="1:15">
      <c r="A495" s="628"/>
      <c r="E495" s="562"/>
      <c r="F495" s="562"/>
      <c r="G495" s="562"/>
      <c r="H495" s="562"/>
      <c r="I495" s="562"/>
      <c r="J495" s="562"/>
      <c r="K495" s="562"/>
      <c r="L495" s="562"/>
      <c r="M495" s="562"/>
      <c r="N495" s="562"/>
      <c r="O495" s="629"/>
    </row>
    <row r="496" spans="1:15">
      <c r="A496" s="628"/>
      <c r="E496" s="562"/>
      <c r="F496" s="562"/>
      <c r="G496" s="562"/>
      <c r="H496" s="562"/>
      <c r="I496" s="562"/>
      <c r="J496" s="562"/>
      <c r="K496" s="562"/>
      <c r="L496" s="562"/>
      <c r="M496" s="562"/>
      <c r="N496" s="562"/>
      <c r="O496" s="629"/>
    </row>
    <row r="497" spans="1:15">
      <c r="A497" s="628"/>
      <c r="E497" s="562"/>
      <c r="F497" s="562"/>
      <c r="G497" s="562"/>
      <c r="H497" s="562"/>
      <c r="I497" s="562"/>
      <c r="J497" s="562"/>
      <c r="K497" s="562"/>
      <c r="L497" s="562"/>
      <c r="M497" s="562"/>
      <c r="N497" s="562"/>
      <c r="O497" s="629"/>
    </row>
    <row r="498" spans="1:15">
      <c r="A498" s="628"/>
      <c r="E498" s="562"/>
      <c r="F498" s="562"/>
      <c r="G498" s="562"/>
      <c r="H498" s="562"/>
      <c r="I498" s="562"/>
      <c r="J498" s="562"/>
      <c r="K498" s="562"/>
      <c r="L498" s="562"/>
      <c r="M498" s="562"/>
      <c r="N498" s="562"/>
      <c r="O498" s="629"/>
    </row>
    <row r="499" spans="1:15">
      <c r="A499" s="628"/>
      <c r="E499" s="562"/>
      <c r="F499" s="562"/>
      <c r="G499" s="562"/>
      <c r="H499" s="562"/>
      <c r="I499" s="562"/>
      <c r="J499" s="562"/>
      <c r="K499" s="562"/>
      <c r="L499" s="562"/>
      <c r="M499" s="562"/>
      <c r="N499" s="562"/>
      <c r="O499" s="629"/>
    </row>
    <row r="500" spans="1:15">
      <c r="A500" s="628"/>
      <c r="E500" s="562"/>
      <c r="F500" s="562"/>
      <c r="G500" s="562"/>
      <c r="H500" s="562"/>
      <c r="I500" s="562"/>
      <c r="J500" s="562"/>
      <c r="K500" s="562"/>
      <c r="L500" s="562"/>
      <c r="M500" s="562"/>
      <c r="N500" s="562"/>
      <c r="O500" s="629"/>
    </row>
    <row r="501" spans="1:15">
      <c r="A501" s="628"/>
      <c r="E501" s="562"/>
      <c r="F501" s="562"/>
      <c r="G501" s="562"/>
      <c r="H501" s="562"/>
      <c r="I501" s="562"/>
      <c r="J501" s="562"/>
      <c r="K501" s="562"/>
      <c r="L501" s="562"/>
      <c r="M501" s="562"/>
      <c r="N501" s="562"/>
      <c r="O501" s="629"/>
    </row>
    <row r="502" spans="1:15">
      <c r="A502" s="628"/>
      <c r="E502" s="562"/>
      <c r="F502" s="562"/>
      <c r="G502" s="562"/>
      <c r="H502" s="562"/>
      <c r="I502" s="562"/>
      <c r="J502" s="562"/>
      <c r="K502" s="562"/>
      <c r="L502" s="562"/>
      <c r="M502" s="562"/>
      <c r="N502" s="562"/>
      <c r="O502" s="629"/>
    </row>
    <row r="503" spans="1:15">
      <c r="A503" s="628"/>
      <c r="E503" s="562"/>
      <c r="F503" s="562"/>
      <c r="G503" s="562"/>
      <c r="H503" s="562"/>
      <c r="I503" s="562"/>
      <c r="J503" s="562"/>
      <c r="K503" s="562"/>
      <c r="L503" s="562"/>
      <c r="M503" s="562"/>
      <c r="N503" s="562"/>
      <c r="O503" s="629"/>
    </row>
    <row r="504" spans="1:15">
      <c r="A504" s="628"/>
      <c r="E504" s="562"/>
      <c r="F504" s="562"/>
      <c r="G504" s="562"/>
      <c r="H504" s="562"/>
      <c r="I504" s="562"/>
      <c r="J504" s="562"/>
      <c r="K504" s="562"/>
      <c r="L504" s="562"/>
      <c r="M504" s="562"/>
      <c r="N504" s="562"/>
      <c r="O504" s="629"/>
    </row>
    <row r="505" spans="1:15" ht="12" thickBot="1">
      <c r="A505" s="630"/>
      <c r="B505" s="631"/>
      <c r="C505" s="631"/>
      <c r="D505" s="631"/>
      <c r="E505" s="632"/>
      <c r="F505" s="632"/>
      <c r="G505" s="632"/>
      <c r="H505" s="632"/>
      <c r="I505" s="632"/>
      <c r="J505" s="632"/>
      <c r="K505" s="632"/>
      <c r="L505" s="632"/>
      <c r="M505" s="632"/>
      <c r="N505" s="632"/>
      <c r="O505" s="633"/>
    </row>
  </sheetData>
  <mergeCells count="102">
    <mergeCell ref="A125:A138"/>
    <mergeCell ref="O125:O138"/>
    <mergeCell ref="C131:C132"/>
    <mergeCell ref="M133:M138"/>
    <mergeCell ref="N133:N138"/>
    <mergeCell ref="C134:C135"/>
    <mergeCell ref="A151:A162"/>
    <mergeCell ref="O151:O162"/>
    <mergeCell ref="C153:C155"/>
    <mergeCell ref="C156:C157"/>
    <mergeCell ref="M158:M162"/>
    <mergeCell ref="N158:N162"/>
    <mergeCell ref="C159:C160"/>
    <mergeCell ref="C161:C162"/>
    <mergeCell ref="A139:A150"/>
    <mergeCell ref="O139:O150"/>
    <mergeCell ref="C141:C143"/>
    <mergeCell ref="C144:C145"/>
    <mergeCell ref="M146:M150"/>
    <mergeCell ref="N146:N150"/>
    <mergeCell ref="C147:C148"/>
    <mergeCell ref="C149:C150"/>
    <mergeCell ref="C137:C138"/>
    <mergeCell ref="C127:C130"/>
    <mergeCell ref="A77:A88"/>
    <mergeCell ref="O77:O88"/>
    <mergeCell ref="C79:C80"/>
    <mergeCell ref="C82:C83"/>
    <mergeCell ref="A53:A64"/>
    <mergeCell ref="O53:O64"/>
    <mergeCell ref="C55:C56"/>
    <mergeCell ref="C57:C59"/>
    <mergeCell ref="C61:C62"/>
    <mergeCell ref="C63:C64"/>
    <mergeCell ref="N60:N64"/>
    <mergeCell ref="M60:M64"/>
    <mergeCell ref="A65:A76"/>
    <mergeCell ref="O65:O76"/>
    <mergeCell ref="C67:C68"/>
    <mergeCell ref="C70:C71"/>
    <mergeCell ref="C73:C74"/>
    <mergeCell ref="C75:C76"/>
    <mergeCell ref="N72:N76"/>
    <mergeCell ref="M72:M76"/>
    <mergeCell ref="C85:C86"/>
    <mergeCell ref="C87:C88"/>
    <mergeCell ref="N84:N88"/>
    <mergeCell ref="M84:M88"/>
    <mergeCell ref="B4:B5"/>
    <mergeCell ref="C4:C5"/>
    <mergeCell ref="D4:D5"/>
    <mergeCell ref="O4:O5"/>
    <mergeCell ref="O10:O22"/>
    <mergeCell ref="C11:C16"/>
    <mergeCell ref="C18:C22"/>
    <mergeCell ref="N4:N5"/>
    <mergeCell ref="N17:N22"/>
    <mergeCell ref="E4:E5"/>
    <mergeCell ref="F4:F5"/>
    <mergeCell ref="G4:L4"/>
    <mergeCell ref="M4:M5"/>
    <mergeCell ref="M17:M22"/>
    <mergeCell ref="M38:M40"/>
    <mergeCell ref="N38:N40"/>
    <mergeCell ref="C43:C47"/>
    <mergeCell ref="C49:C52"/>
    <mergeCell ref="O23:O31"/>
    <mergeCell ref="A41:A52"/>
    <mergeCell ref="O41:O52"/>
    <mergeCell ref="N48:N52"/>
    <mergeCell ref="A23:A31"/>
    <mergeCell ref="N29:N31"/>
    <mergeCell ref="C25:C31"/>
    <mergeCell ref="M29:M31"/>
    <mergeCell ref="M48:M52"/>
    <mergeCell ref="A32:A40"/>
    <mergeCell ref="O32:O40"/>
    <mergeCell ref="C34:C40"/>
    <mergeCell ref="A113:A124"/>
    <mergeCell ref="O113:O124"/>
    <mergeCell ref="C115:C117"/>
    <mergeCell ref="C118:C119"/>
    <mergeCell ref="N120:N124"/>
    <mergeCell ref="C121:C122"/>
    <mergeCell ref="C123:C124"/>
    <mergeCell ref="M120:M124"/>
    <mergeCell ref="A89:A100"/>
    <mergeCell ref="O89:O100"/>
    <mergeCell ref="C91:C93"/>
    <mergeCell ref="C94:C95"/>
    <mergeCell ref="C97:C98"/>
    <mergeCell ref="C99:C100"/>
    <mergeCell ref="N96:N100"/>
    <mergeCell ref="M96:M100"/>
    <mergeCell ref="C111:C112"/>
    <mergeCell ref="M108:M112"/>
    <mergeCell ref="A101:A112"/>
    <mergeCell ref="O101:O112"/>
    <mergeCell ref="C103:C105"/>
    <mergeCell ref="C106:C107"/>
    <mergeCell ref="N108:N112"/>
    <mergeCell ref="C109:C110"/>
  </mergeCells>
  <printOptions horizontalCentered="1"/>
  <pageMargins left="0.15748031496062992" right="0.15748031496062992" top="0.47244094488188981" bottom="0.39370078740157483" header="0.15748031496062992" footer="0.15748031496062992"/>
  <pageSetup paperSize="9" scale="68" firstPageNumber="32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______________________________________________________________________________________________________________________________________</oddHeader>
    <oddFooter>&amp;C&amp;8&amp;P</oddFooter>
  </headerFooter>
  <rowBreaks count="2" manualBreakCount="2">
    <brk id="100" max="14" man="1"/>
    <brk id="150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BN120"/>
  <sheetViews>
    <sheetView showGridLines="0" view="pageBreakPreview" zoomScaleSheetLayoutView="100" workbookViewId="0">
      <pane xSplit="3" ySplit="7" topLeftCell="D8" activePane="bottomRight" state="frozen"/>
      <selection activeCell="L250" sqref="L250"/>
      <selection pane="topRight" activeCell="L250" sqref="L250"/>
      <selection pane="bottomLeft" activeCell="L250" sqref="L250"/>
      <selection pane="bottomRight" activeCell="G113" sqref="G113:H120"/>
    </sheetView>
  </sheetViews>
  <sheetFormatPr defaultColWidth="9.140625" defaultRowHeight="12" outlineLevelRow="1"/>
  <cols>
    <col min="1" max="1" width="3.7109375" style="552" customWidth="1"/>
    <col min="2" max="2" width="59" style="329" customWidth="1"/>
    <col min="3" max="3" width="9.7109375" style="329" customWidth="1"/>
    <col min="4" max="4" width="14.140625" style="329" customWidth="1"/>
    <col min="5" max="5" width="12.5703125" style="329" customWidth="1"/>
    <col min="6" max="12" width="10.85546875" style="329" customWidth="1"/>
    <col min="13" max="13" width="11.7109375" style="329" hidden="1" customWidth="1"/>
    <col min="14" max="14" width="11.7109375" style="329" customWidth="1"/>
    <col min="15" max="15" width="17.42578125" style="556" customWidth="1"/>
    <col min="16" max="16" width="15.140625" style="329" hidden="1" customWidth="1"/>
    <col min="17" max="17" width="11.7109375" style="329" hidden="1" customWidth="1"/>
    <col min="18" max="16384" width="9.140625" style="329"/>
  </cols>
  <sheetData>
    <row r="1" spans="1:66" ht="16.5" customHeight="1">
      <c r="F1" s="3585"/>
      <c r="G1" s="3585"/>
      <c r="H1" s="325" t="s">
        <v>492</v>
      </c>
      <c r="I1" s="321"/>
      <c r="J1" s="321"/>
      <c r="K1" s="321"/>
      <c r="L1" s="321"/>
      <c r="M1" s="6"/>
      <c r="N1" s="6"/>
      <c r="O1" s="7"/>
    </row>
    <row r="2" spans="1:66" ht="15" hidden="1" customHeight="1">
      <c r="F2" s="324"/>
      <c r="G2" s="324"/>
      <c r="H2" s="324"/>
      <c r="I2" s="324"/>
      <c r="J2" s="324"/>
      <c r="K2" s="324"/>
      <c r="L2" s="324"/>
      <c r="M2" s="6"/>
      <c r="N2" s="6"/>
      <c r="O2" s="7"/>
    </row>
    <row r="3" spans="1:66" ht="9" customHeight="1">
      <c r="D3" s="553"/>
      <c r="F3" s="326"/>
      <c r="G3" s="326"/>
      <c r="H3" s="326"/>
      <c r="I3" s="326"/>
      <c r="J3" s="326"/>
      <c r="K3" s="326"/>
      <c r="L3" s="326"/>
      <c r="M3" s="6"/>
      <c r="N3" s="6"/>
      <c r="O3" s="7"/>
    </row>
    <row r="4" spans="1:66" s="555" customFormat="1" ht="40.5" customHeight="1" thickBot="1">
      <c r="A4" s="3586" t="s">
        <v>230</v>
      </c>
      <c r="B4" s="3586"/>
      <c r="C4" s="3586"/>
      <c r="D4" s="3586"/>
      <c r="E4" s="3586"/>
      <c r="F4" s="3586"/>
      <c r="G4" s="3586"/>
      <c r="H4" s="3586"/>
      <c r="I4" s="3586"/>
      <c r="J4" s="3586"/>
      <c r="K4" s="3586"/>
      <c r="L4" s="3586"/>
      <c r="M4" s="3586"/>
      <c r="N4" s="3586"/>
      <c r="O4" s="3586"/>
      <c r="P4" s="554"/>
      <c r="Q4" s="554"/>
      <c r="R4" s="554"/>
      <c r="S4" s="554"/>
      <c r="T4" s="554"/>
      <c r="U4" s="554"/>
      <c r="V4" s="554"/>
      <c r="W4" s="554"/>
      <c r="X4" s="554"/>
      <c r="Y4" s="554"/>
      <c r="Z4" s="554"/>
      <c r="AA4" s="554"/>
      <c r="AB4" s="554"/>
      <c r="AC4" s="554"/>
      <c r="AD4" s="554"/>
      <c r="AE4" s="554"/>
      <c r="AF4" s="554"/>
      <c r="AG4" s="554"/>
      <c r="AH4" s="554"/>
      <c r="AI4" s="554"/>
      <c r="AJ4" s="554"/>
      <c r="AK4" s="554"/>
      <c r="AL4" s="328"/>
      <c r="AM4" s="328"/>
      <c r="AN4" s="328"/>
      <c r="AO4" s="328"/>
      <c r="AP4" s="328"/>
      <c r="AQ4" s="328"/>
      <c r="AR4" s="328"/>
      <c r="AS4" s="328"/>
      <c r="AT4" s="328"/>
      <c r="AU4" s="328"/>
      <c r="AV4" s="328"/>
      <c r="AW4" s="328"/>
      <c r="AX4" s="328"/>
      <c r="AY4" s="328"/>
      <c r="AZ4" s="328"/>
      <c r="BA4" s="328"/>
      <c r="BB4" s="328"/>
      <c r="BC4" s="328"/>
      <c r="BD4" s="328"/>
      <c r="BE4" s="328"/>
      <c r="BF4" s="328"/>
      <c r="BG4" s="328"/>
      <c r="BH4" s="328"/>
      <c r="BI4" s="328"/>
      <c r="BJ4" s="328"/>
      <c r="BK4" s="328"/>
      <c r="BL4" s="328"/>
      <c r="BM4" s="328"/>
      <c r="BN4" s="328"/>
    </row>
    <row r="5" spans="1:66" ht="72" customHeight="1">
      <c r="A5" s="1064"/>
      <c r="B5" s="3587" t="s">
        <v>75</v>
      </c>
      <c r="C5" s="3589" t="s">
        <v>71</v>
      </c>
      <c r="D5" s="3591" t="s">
        <v>72</v>
      </c>
      <c r="E5" s="1878" t="s">
        <v>263</v>
      </c>
      <c r="F5" s="3017" t="s">
        <v>533</v>
      </c>
      <c r="G5" s="3146" t="s">
        <v>474</v>
      </c>
      <c r="H5" s="3147"/>
      <c r="I5" s="3147"/>
      <c r="J5" s="3147"/>
      <c r="K5" s="3147"/>
      <c r="L5" s="3148"/>
      <c r="M5" s="3534" t="s">
        <v>495</v>
      </c>
      <c r="N5" s="3534" t="s">
        <v>475</v>
      </c>
      <c r="O5" s="3593" t="s">
        <v>73</v>
      </c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  <c r="AJ5" s="328"/>
      <c r="AK5" s="328"/>
      <c r="AL5" s="328"/>
      <c r="AM5" s="328"/>
      <c r="AN5" s="328"/>
      <c r="AO5" s="328"/>
      <c r="AP5" s="328"/>
      <c r="AQ5" s="328"/>
      <c r="AR5" s="328"/>
      <c r="AS5" s="328"/>
      <c r="AT5" s="328"/>
      <c r="AU5" s="328"/>
      <c r="AV5" s="328"/>
      <c r="AW5" s="328"/>
      <c r="AX5" s="328"/>
      <c r="AY5" s="328"/>
      <c r="AZ5" s="328"/>
      <c r="BA5" s="328"/>
      <c r="BB5" s="328"/>
      <c r="BC5" s="328"/>
      <c r="BD5" s="328"/>
      <c r="BE5" s="328"/>
      <c r="BF5" s="328"/>
      <c r="BG5" s="328"/>
      <c r="BH5" s="328"/>
      <c r="BI5" s="328"/>
      <c r="BJ5" s="328"/>
      <c r="BK5" s="328"/>
      <c r="BL5" s="328"/>
      <c r="BM5" s="328"/>
      <c r="BN5" s="328"/>
    </row>
    <row r="6" spans="1:66" ht="21" customHeight="1">
      <c r="A6" s="758"/>
      <c r="B6" s="3588"/>
      <c r="C6" s="3590"/>
      <c r="D6" s="3592"/>
      <c r="E6" s="1880" t="s">
        <v>453</v>
      </c>
      <c r="F6" s="3597"/>
      <c r="G6" s="2489" t="s">
        <v>6</v>
      </c>
      <c r="H6" s="2089" t="s">
        <v>207</v>
      </c>
      <c r="I6" s="2089" t="s">
        <v>208</v>
      </c>
      <c r="J6" s="2089" t="s">
        <v>256</v>
      </c>
      <c r="K6" s="2089" t="s">
        <v>257</v>
      </c>
      <c r="L6" s="2089" t="s">
        <v>258</v>
      </c>
      <c r="M6" s="3595"/>
      <c r="N6" s="3595"/>
      <c r="O6" s="3594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28"/>
      <c r="AI6" s="328"/>
      <c r="AJ6" s="328"/>
      <c r="AK6" s="328"/>
      <c r="AL6" s="328"/>
      <c r="AM6" s="328"/>
      <c r="AN6" s="328"/>
      <c r="AO6" s="328"/>
      <c r="AP6" s="328"/>
      <c r="AQ6" s="328"/>
      <c r="AR6" s="328"/>
      <c r="AS6" s="328"/>
      <c r="AT6" s="328"/>
      <c r="AU6" s="328"/>
      <c r="AV6" s="328"/>
      <c r="AW6" s="328"/>
      <c r="AX6" s="328"/>
      <c r="AY6" s="328"/>
      <c r="AZ6" s="328"/>
      <c r="BA6" s="328"/>
      <c r="BB6" s="328"/>
      <c r="BC6" s="328"/>
      <c r="BD6" s="328"/>
      <c r="BE6" s="328"/>
      <c r="BF6" s="328"/>
      <c r="BG6" s="328"/>
      <c r="BH6" s="328"/>
      <c r="BI6" s="328"/>
      <c r="BJ6" s="328"/>
      <c r="BK6" s="328"/>
      <c r="BL6" s="328"/>
      <c r="BM6" s="328"/>
      <c r="BN6" s="328"/>
    </row>
    <row r="7" spans="1:66" ht="11.25">
      <c r="A7" s="1120">
        <v>1</v>
      </c>
      <c r="B7" s="1121">
        <v>2</v>
      </c>
      <c r="C7" s="1122" t="s">
        <v>119</v>
      </c>
      <c r="D7" s="1122" t="s">
        <v>120</v>
      </c>
      <c r="E7" s="1122">
        <v>5</v>
      </c>
      <c r="F7" s="1908">
        <v>6</v>
      </c>
      <c r="G7" s="1908">
        <v>7</v>
      </c>
      <c r="H7" s="1908">
        <v>8</v>
      </c>
      <c r="I7" s="1908">
        <v>9</v>
      </c>
      <c r="J7" s="1908">
        <v>10</v>
      </c>
      <c r="K7" s="1908">
        <v>11</v>
      </c>
      <c r="L7" s="1908">
        <v>12</v>
      </c>
      <c r="M7" s="1123">
        <v>13</v>
      </c>
      <c r="N7" s="1123">
        <v>13</v>
      </c>
      <c r="O7" s="1124">
        <v>14</v>
      </c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28"/>
      <c r="AL7" s="328"/>
      <c r="AM7" s="328"/>
      <c r="AN7" s="328"/>
      <c r="AO7" s="328"/>
      <c r="AP7" s="328"/>
      <c r="AQ7" s="328"/>
      <c r="AR7" s="328"/>
      <c r="AS7" s="328"/>
      <c r="AT7" s="328"/>
      <c r="AU7" s="328"/>
      <c r="AV7" s="328"/>
      <c r="AW7" s="328"/>
      <c r="AX7" s="328"/>
      <c r="AY7" s="328"/>
      <c r="AZ7" s="328"/>
      <c r="BA7" s="328"/>
      <c r="BB7" s="328"/>
      <c r="BC7" s="328"/>
      <c r="BD7" s="328"/>
      <c r="BE7" s="328"/>
      <c r="BF7" s="328"/>
      <c r="BG7" s="328"/>
      <c r="BH7" s="328"/>
      <c r="BI7" s="328"/>
      <c r="BJ7" s="328"/>
      <c r="BK7" s="328"/>
      <c r="BL7" s="328"/>
      <c r="BM7" s="328"/>
      <c r="BN7" s="328"/>
    </row>
    <row r="8" spans="1:66" s="2051" customFormat="1" ht="16.5" customHeight="1">
      <c r="A8" s="1588"/>
      <c r="B8" s="759" t="s">
        <v>76</v>
      </c>
      <c r="C8" s="223"/>
      <c r="D8" s="224">
        <f>+D9+D10</f>
        <v>45905279</v>
      </c>
      <c r="E8" s="224">
        <f t="shared" ref="E8:L8" si="0">+E9+E10</f>
        <v>14991962</v>
      </c>
      <c r="F8" s="224">
        <f t="shared" si="0"/>
        <v>7325505</v>
      </c>
      <c r="G8" s="224">
        <f t="shared" si="0"/>
        <v>10244879</v>
      </c>
      <c r="H8" s="224">
        <f t="shared" si="0"/>
        <v>5868759</v>
      </c>
      <c r="I8" s="224">
        <f t="shared" si="0"/>
        <v>2898811</v>
      </c>
      <c r="J8" s="224">
        <f t="shared" si="0"/>
        <v>1607579</v>
      </c>
      <c r="K8" s="224">
        <f t="shared" si="0"/>
        <v>1607578</v>
      </c>
      <c r="L8" s="224">
        <f t="shared" si="0"/>
        <v>1360206</v>
      </c>
      <c r="M8" s="152">
        <f t="shared" ref="M8" si="1">+M9+M10</f>
        <v>30913317</v>
      </c>
      <c r="N8" s="152">
        <f t="shared" ref="N8" si="2">+N9+N10</f>
        <v>23587812</v>
      </c>
      <c r="O8" s="1589"/>
      <c r="P8" s="331">
        <f>+F8+G8+H8+I8+J8+K8+L8</f>
        <v>30913317</v>
      </c>
    </row>
    <row r="9" spans="1:66" s="2051" customFormat="1" ht="13.5" customHeight="1">
      <c r="A9" s="1590"/>
      <c r="B9" s="759" t="s">
        <v>77</v>
      </c>
      <c r="C9" s="223"/>
      <c r="D9" s="224">
        <f>+D44+D67</f>
        <v>25166036</v>
      </c>
      <c r="E9" s="224">
        <f t="shared" ref="E9:L9" si="3">+E44+E67</f>
        <v>5960282</v>
      </c>
      <c r="F9" s="224">
        <f t="shared" si="3"/>
        <v>3903380</v>
      </c>
      <c r="G9" s="224">
        <f t="shared" si="3"/>
        <v>5503300</v>
      </c>
      <c r="H9" s="224">
        <f t="shared" si="3"/>
        <v>2503300</v>
      </c>
      <c r="I9" s="224">
        <f t="shared" si="3"/>
        <v>2720411</v>
      </c>
      <c r="J9" s="224">
        <f t="shared" si="3"/>
        <v>1607579</v>
      </c>
      <c r="K9" s="224">
        <f t="shared" si="3"/>
        <v>1607578</v>
      </c>
      <c r="L9" s="224">
        <f t="shared" si="3"/>
        <v>1360206</v>
      </c>
      <c r="M9" s="152">
        <f>SUM(F9:L9)</f>
        <v>19205754</v>
      </c>
      <c r="N9" s="152">
        <f>SUM(G9:L9)</f>
        <v>15302374</v>
      </c>
      <c r="O9" s="1589"/>
      <c r="P9" s="331"/>
    </row>
    <row r="10" spans="1:66" s="2051" customFormat="1" ht="13.5" customHeight="1" thickBot="1">
      <c r="A10" s="1590"/>
      <c r="B10" s="228" t="s">
        <v>9</v>
      </c>
      <c r="C10" s="711"/>
      <c r="D10" s="226">
        <f>+D33+D58</f>
        <v>20739243</v>
      </c>
      <c r="E10" s="226">
        <f t="shared" ref="E10:L10" si="4">+E33+E58</f>
        <v>9031680</v>
      </c>
      <c r="F10" s="226">
        <f t="shared" si="4"/>
        <v>3422125</v>
      </c>
      <c r="G10" s="226">
        <f t="shared" si="4"/>
        <v>4741579</v>
      </c>
      <c r="H10" s="226">
        <f t="shared" si="4"/>
        <v>3365459</v>
      </c>
      <c r="I10" s="226">
        <f t="shared" si="4"/>
        <v>178400</v>
      </c>
      <c r="J10" s="226">
        <f t="shared" si="4"/>
        <v>0</v>
      </c>
      <c r="K10" s="226">
        <f t="shared" si="4"/>
        <v>0</v>
      </c>
      <c r="L10" s="226">
        <f t="shared" si="4"/>
        <v>0</v>
      </c>
      <c r="M10" s="2423">
        <f>SUM(F10:L10)</f>
        <v>11707563</v>
      </c>
      <c r="N10" s="154">
        <f>SUM(G10:L10)</f>
        <v>8285438</v>
      </c>
      <c r="O10" s="1591"/>
    </row>
    <row r="11" spans="1:66" s="1597" customFormat="1" ht="14.25" customHeight="1">
      <c r="A11" s="1592"/>
      <c r="B11" s="82" t="s">
        <v>10</v>
      </c>
      <c r="C11" s="190"/>
      <c r="D11" s="103">
        <f t="shared" ref="D11:L11" si="5">+D12+D16</f>
        <v>45905279</v>
      </c>
      <c r="E11" s="103">
        <f t="shared" si="5"/>
        <v>14991962</v>
      </c>
      <c r="F11" s="103">
        <f t="shared" si="5"/>
        <v>7325505</v>
      </c>
      <c r="G11" s="103">
        <f t="shared" si="5"/>
        <v>10244879</v>
      </c>
      <c r="H11" s="103">
        <f t="shared" si="5"/>
        <v>5868759</v>
      </c>
      <c r="I11" s="103">
        <f t="shared" si="5"/>
        <v>2898811</v>
      </c>
      <c r="J11" s="103">
        <f t="shared" si="5"/>
        <v>1607579</v>
      </c>
      <c r="K11" s="103">
        <f t="shared" si="5"/>
        <v>1607578</v>
      </c>
      <c r="L11" s="103">
        <f t="shared" si="5"/>
        <v>1360206</v>
      </c>
      <c r="M11" s="1593">
        <f>+M12+M16</f>
        <v>30913317</v>
      </c>
      <c r="N11" s="1593">
        <f>+N12+N16</f>
        <v>23587812</v>
      </c>
      <c r="O11" s="1594"/>
      <c r="P11" s="1595"/>
      <c r="Q11" s="374"/>
      <c r="R11" s="1596"/>
      <c r="S11" s="1596"/>
      <c r="T11" s="1596"/>
      <c r="U11" s="1596"/>
      <c r="V11" s="1596"/>
      <c r="W11" s="1596"/>
      <c r="X11" s="1596"/>
      <c r="Y11" s="1596"/>
      <c r="Z11" s="1596"/>
      <c r="AA11" s="1596"/>
      <c r="AB11" s="1596"/>
      <c r="AC11" s="1596"/>
      <c r="AD11" s="1596"/>
      <c r="AE11" s="1596"/>
      <c r="AF11" s="1596"/>
      <c r="AG11" s="1596"/>
      <c r="AH11" s="1596"/>
      <c r="AI11" s="1596"/>
      <c r="AJ11" s="1596"/>
      <c r="AK11" s="1596"/>
      <c r="AL11" s="1596"/>
      <c r="AM11" s="1596"/>
      <c r="AN11" s="1596"/>
      <c r="AO11" s="1596"/>
      <c r="AP11" s="1596"/>
      <c r="AQ11" s="1596"/>
      <c r="AR11" s="1596"/>
      <c r="AS11" s="1596"/>
      <c r="AT11" s="1596"/>
      <c r="AU11" s="1596"/>
      <c r="AV11" s="1596"/>
      <c r="AW11" s="1596"/>
      <c r="AX11" s="1596"/>
      <c r="AY11" s="1596"/>
      <c r="AZ11" s="1596"/>
      <c r="BA11" s="1596"/>
      <c r="BB11" s="1596"/>
      <c r="BC11" s="1596"/>
      <c r="BD11" s="1596"/>
      <c r="BE11" s="1596"/>
      <c r="BF11" s="1596"/>
      <c r="BG11" s="1596"/>
      <c r="BH11" s="1596"/>
      <c r="BI11" s="1596"/>
      <c r="BJ11" s="1596"/>
      <c r="BK11" s="1596"/>
      <c r="BL11" s="1596"/>
      <c r="BM11" s="1596"/>
      <c r="BN11" s="1596"/>
    </row>
    <row r="12" spans="1:66" s="1602" customFormat="1" ht="14.25" customHeight="1">
      <c r="A12" s="1598"/>
      <c r="B12" s="760" t="s">
        <v>11</v>
      </c>
      <c r="C12" s="1599"/>
      <c r="D12" s="1600">
        <f t="shared" ref="D12:N12" si="6">SUM(D13:D15)</f>
        <v>18667851</v>
      </c>
      <c r="E12" s="1600">
        <f t="shared" si="6"/>
        <v>4393251</v>
      </c>
      <c r="F12" s="1600">
        <f t="shared" si="6"/>
        <v>4642632</v>
      </c>
      <c r="G12" s="1600">
        <f t="shared" si="6"/>
        <v>4745756</v>
      </c>
      <c r="H12" s="1600">
        <f t="shared" si="6"/>
        <v>2205179</v>
      </c>
      <c r="I12" s="1600">
        <f t="shared" si="6"/>
        <v>1016174</v>
      </c>
      <c r="J12" s="1600">
        <f t="shared" si="6"/>
        <v>585076</v>
      </c>
      <c r="K12" s="1600">
        <f t="shared" si="6"/>
        <v>585076</v>
      </c>
      <c r="L12" s="1600">
        <f t="shared" si="6"/>
        <v>494707</v>
      </c>
      <c r="M12" s="1601">
        <f t="shared" si="6"/>
        <v>14274600</v>
      </c>
      <c r="N12" s="1601">
        <f t="shared" si="6"/>
        <v>9631968</v>
      </c>
      <c r="O12" s="2486"/>
      <c r="Q12" s="2051"/>
    </row>
    <row r="13" spans="1:66" s="1602" customFormat="1" ht="14.25" customHeight="1">
      <c r="A13" s="1603"/>
      <c r="B13" s="761" t="s">
        <v>12</v>
      </c>
      <c r="C13" s="1604"/>
      <c r="D13" s="1605">
        <f>+D46+D60+D69</f>
        <v>176001</v>
      </c>
      <c r="E13" s="1605">
        <f t="shared" ref="E13:L13" si="7">+E46+E60+E69</f>
        <v>29465</v>
      </c>
      <c r="F13" s="1605">
        <f t="shared" si="7"/>
        <v>507</v>
      </c>
      <c r="G13" s="1605">
        <f t="shared" si="7"/>
        <v>67055</v>
      </c>
      <c r="H13" s="1605">
        <f t="shared" si="7"/>
        <v>52214</v>
      </c>
      <c r="I13" s="1605">
        <f t="shared" si="7"/>
        <v>26760</v>
      </c>
      <c r="J13" s="1605">
        <f t="shared" si="7"/>
        <v>0</v>
      </c>
      <c r="K13" s="1605">
        <f t="shared" si="7"/>
        <v>0</v>
      </c>
      <c r="L13" s="1605">
        <f t="shared" si="7"/>
        <v>0</v>
      </c>
      <c r="M13" s="1606">
        <f>+M46+M60+M69</f>
        <v>146536</v>
      </c>
      <c r="N13" s="1606">
        <f>+N46+N60+N69</f>
        <v>146029</v>
      </c>
      <c r="O13" s="2486"/>
      <c r="P13" s="1607"/>
      <c r="Q13" s="1608"/>
    </row>
    <row r="14" spans="1:66" s="1602" customFormat="1" ht="13.5" customHeight="1" outlineLevel="1">
      <c r="A14" s="1603"/>
      <c r="B14" s="762" t="s">
        <v>13</v>
      </c>
      <c r="C14" s="1604"/>
      <c r="D14" s="1605">
        <f>+D47</f>
        <v>9149279</v>
      </c>
      <c r="E14" s="1605">
        <f t="shared" ref="E14:L14" si="8">+E47</f>
        <v>2167756</v>
      </c>
      <c r="F14" s="1605">
        <f t="shared" si="8"/>
        <v>1418000</v>
      </c>
      <c r="G14" s="1605">
        <f t="shared" si="8"/>
        <v>2000000</v>
      </c>
      <c r="H14" s="1605">
        <f t="shared" si="8"/>
        <v>909250</v>
      </c>
      <c r="I14" s="1605">
        <f t="shared" si="8"/>
        <v>989414</v>
      </c>
      <c r="J14" s="1605">
        <f t="shared" si="8"/>
        <v>585076</v>
      </c>
      <c r="K14" s="1605">
        <f t="shared" si="8"/>
        <v>585076</v>
      </c>
      <c r="L14" s="1605">
        <f t="shared" si="8"/>
        <v>494707</v>
      </c>
      <c r="M14" s="1606">
        <f>+M47</f>
        <v>6981523</v>
      </c>
      <c r="N14" s="1606">
        <f>+N47</f>
        <v>5563523</v>
      </c>
      <c r="O14" s="2486"/>
      <c r="P14" s="1607">
        <f>D14-D23</f>
        <v>0</v>
      </c>
      <c r="Q14" s="1608"/>
    </row>
    <row r="15" spans="1:66" s="1602" customFormat="1" ht="14.25" customHeight="1" outlineLevel="1">
      <c r="A15" s="1603"/>
      <c r="B15" s="761" t="s">
        <v>16</v>
      </c>
      <c r="C15" s="763"/>
      <c r="D15" s="1605">
        <f>+D35</f>
        <v>9342571</v>
      </c>
      <c r="E15" s="1605">
        <f t="shared" ref="E15:L15" si="9">+E35</f>
        <v>2196030</v>
      </c>
      <c r="F15" s="1605">
        <f t="shared" si="9"/>
        <v>3224125</v>
      </c>
      <c r="G15" s="1605">
        <f t="shared" si="9"/>
        <v>2678701</v>
      </c>
      <c r="H15" s="1605">
        <f t="shared" si="9"/>
        <v>1243715</v>
      </c>
      <c r="I15" s="1605">
        <f t="shared" si="9"/>
        <v>0</v>
      </c>
      <c r="J15" s="1605">
        <f t="shared" si="9"/>
        <v>0</v>
      </c>
      <c r="K15" s="1605">
        <f t="shared" si="9"/>
        <v>0</v>
      </c>
      <c r="L15" s="1605">
        <f t="shared" si="9"/>
        <v>0</v>
      </c>
      <c r="M15" s="1606">
        <f>+M35</f>
        <v>7146541</v>
      </c>
      <c r="N15" s="1606">
        <f>+N35</f>
        <v>3922416</v>
      </c>
      <c r="O15" s="2486"/>
      <c r="P15" s="1607">
        <f>D15-D25</f>
        <v>0</v>
      </c>
      <c r="Q15" s="1608"/>
    </row>
    <row r="16" spans="1:66" s="1602" customFormat="1" ht="14.25" customHeight="1" outlineLevel="1">
      <c r="A16" s="1598"/>
      <c r="B16" s="1609" t="s">
        <v>18</v>
      </c>
      <c r="C16" s="1610"/>
      <c r="D16" s="1611">
        <f>+D18+D19+D20+D17</f>
        <v>27237428</v>
      </c>
      <c r="E16" s="1611">
        <f t="shared" ref="E16:L16" si="10">+E18+E19+E20+E17</f>
        <v>10598711</v>
      </c>
      <c r="F16" s="1611">
        <f t="shared" si="10"/>
        <v>2682873</v>
      </c>
      <c r="G16" s="1611">
        <f t="shared" si="10"/>
        <v>5499123</v>
      </c>
      <c r="H16" s="1611">
        <f t="shared" si="10"/>
        <v>3663580</v>
      </c>
      <c r="I16" s="1611">
        <f t="shared" si="10"/>
        <v>1882637</v>
      </c>
      <c r="J16" s="1611">
        <f t="shared" si="10"/>
        <v>1022503</v>
      </c>
      <c r="K16" s="1611">
        <f t="shared" si="10"/>
        <v>1022502</v>
      </c>
      <c r="L16" s="1611">
        <f t="shared" si="10"/>
        <v>865499</v>
      </c>
      <c r="M16" s="1612">
        <f>+M18+M19+M20+M17</f>
        <v>16638717</v>
      </c>
      <c r="N16" s="1612">
        <f>+N18+N19+N20+N17</f>
        <v>13955844</v>
      </c>
      <c r="O16" s="2486"/>
      <c r="P16" s="1608">
        <f>D18-D29</f>
        <v>0</v>
      </c>
      <c r="Q16" s="1608"/>
    </row>
    <row r="17" spans="1:17" s="1602" customFormat="1" ht="14.25" hidden="1" customHeight="1" outlineLevel="1">
      <c r="A17" s="1598"/>
      <c r="B17" s="761" t="s">
        <v>12</v>
      </c>
      <c r="C17" s="1599"/>
      <c r="D17" s="1605"/>
      <c r="E17" s="1605"/>
      <c r="F17" s="1605"/>
      <c r="G17" s="1605"/>
      <c r="H17" s="1605"/>
      <c r="I17" s="1605"/>
      <c r="J17" s="1605"/>
      <c r="K17" s="1605"/>
      <c r="L17" s="1605"/>
      <c r="M17" s="1606"/>
      <c r="N17" s="1606"/>
      <c r="O17" s="2486"/>
      <c r="P17" s="1608"/>
      <c r="Q17" s="1608"/>
    </row>
    <row r="18" spans="1:17" s="1602" customFormat="1" ht="14.25" customHeight="1" outlineLevel="1">
      <c r="A18" s="1598"/>
      <c r="B18" s="762" t="s">
        <v>21</v>
      </c>
      <c r="C18" s="1604"/>
      <c r="D18" s="1605">
        <f>+D49+D62+D71</f>
        <v>16856776</v>
      </c>
      <c r="E18" s="1605">
        <f t="shared" ref="E18:N18" si="11">+E49+E62+E71</f>
        <v>3812161</v>
      </c>
      <c r="F18" s="1605">
        <f t="shared" si="11"/>
        <v>2484873</v>
      </c>
      <c r="G18" s="1605">
        <f t="shared" si="11"/>
        <v>3879975</v>
      </c>
      <c r="H18" s="1605">
        <f t="shared" si="11"/>
        <v>1886626</v>
      </c>
      <c r="I18" s="1605">
        <f t="shared" si="11"/>
        <v>1882637</v>
      </c>
      <c r="J18" s="1605">
        <f t="shared" si="11"/>
        <v>1022503</v>
      </c>
      <c r="K18" s="1605">
        <f t="shared" si="11"/>
        <v>1022502</v>
      </c>
      <c r="L18" s="1605">
        <f t="shared" si="11"/>
        <v>865499</v>
      </c>
      <c r="M18" s="1606">
        <f t="shared" si="11"/>
        <v>13044615</v>
      </c>
      <c r="N18" s="1606">
        <f t="shared" si="11"/>
        <v>10559742</v>
      </c>
      <c r="O18" s="2486"/>
      <c r="P18" s="1607"/>
      <c r="Q18" s="1608"/>
    </row>
    <row r="19" spans="1:17" s="1602" customFormat="1" ht="14.25" hidden="1" customHeight="1" outlineLevel="1">
      <c r="A19" s="1598"/>
      <c r="B19" s="761" t="s">
        <v>14</v>
      </c>
      <c r="C19" s="1613"/>
      <c r="D19" s="1605"/>
      <c r="E19" s="1605"/>
      <c r="F19" s="1605"/>
      <c r="G19" s="1605"/>
      <c r="H19" s="1605"/>
      <c r="I19" s="1605"/>
      <c r="J19" s="1605"/>
      <c r="K19" s="1605"/>
      <c r="L19" s="1605"/>
      <c r="M19" s="1606"/>
      <c r="N19" s="1606"/>
      <c r="O19" s="2486"/>
      <c r="P19" s="1607"/>
      <c r="Q19" s="1608"/>
    </row>
    <row r="20" spans="1:17" s="1602" customFormat="1" ht="14.25" customHeight="1" outlineLevel="1">
      <c r="A20" s="1598"/>
      <c r="B20" s="762" t="s">
        <v>20</v>
      </c>
      <c r="C20" s="1613"/>
      <c r="D20" s="1605">
        <f>+D37</f>
        <v>10380652</v>
      </c>
      <c r="E20" s="1605">
        <f t="shared" ref="E20:L20" si="12">+E37</f>
        <v>6786550</v>
      </c>
      <c r="F20" s="1605">
        <f t="shared" si="12"/>
        <v>198000</v>
      </c>
      <c r="G20" s="1605">
        <f t="shared" si="12"/>
        <v>1619148</v>
      </c>
      <c r="H20" s="1605">
        <f t="shared" si="12"/>
        <v>1776954</v>
      </c>
      <c r="I20" s="1605">
        <f t="shared" si="12"/>
        <v>0</v>
      </c>
      <c r="J20" s="1605">
        <f t="shared" si="12"/>
        <v>0</v>
      </c>
      <c r="K20" s="1605">
        <f t="shared" si="12"/>
        <v>0</v>
      </c>
      <c r="L20" s="1605">
        <f t="shared" si="12"/>
        <v>0</v>
      </c>
      <c r="M20" s="1606">
        <f>+M37</f>
        <v>3594102</v>
      </c>
      <c r="N20" s="1606">
        <f>+N37</f>
        <v>3396102</v>
      </c>
      <c r="O20" s="2167"/>
      <c r="P20" s="1607"/>
      <c r="Q20" s="1608"/>
    </row>
    <row r="21" spans="1:17" s="1602" customFormat="1" ht="14.25" customHeight="1" outlineLevel="1">
      <c r="A21" s="1590"/>
      <c r="B21" s="82" t="s">
        <v>22</v>
      </c>
      <c r="C21" s="91"/>
      <c r="D21" s="1614">
        <f>+D22+D28</f>
        <v>45729278</v>
      </c>
      <c r="E21" s="1614">
        <f t="shared" ref="E21:L21" si="13">+E22+E28</f>
        <v>17257433</v>
      </c>
      <c r="F21" s="1614">
        <f t="shared" si="13"/>
        <v>7218959</v>
      </c>
      <c r="G21" s="1614">
        <f t="shared" si="13"/>
        <v>6026065</v>
      </c>
      <c r="H21" s="1614">
        <f t="shared" si="13"/>
        <v>7779407</v>
      </c>
      <c r="I21" s="1614">
        <f t="shared" si="13"/>
        <v>2872051</v>
      </c>
      <c r="J21" s="1614">
        <f t="shared" si="13"/>
        <v>1607579</v>
      </c>
      <c r="K21" s="1614">
        <f t="shared" si="13"/>
        <v>1607578</v>
      </c>
      <c r="L21" s="1614">
        <f t="shared" si="13"/>
        <v>1360206</v>
      </c>
      <c r="M21" s="3596" t="s">
        <v>61</v>
      </c>
      <c r="N21" s="3596" t="s">
        <v>61</v>
      </c>
      <c r="O21" s="2168"/>
      <c r="P21" s="1608">
        <f>D31-D20-D17</f>
        <v>0</v>
      </c>
    </row>
    <row r="22" spans="1:17" s="1602" customFormat="1" ht="14.25" customHeight="1" outlineLevel="1">
      <c r="A22" s="1598"/>
      <c r="B22" s="760" t="s">
        <v>11</v>
      </c>
      <c r="C22" s="1599"/>
      <c r="D22" s="1600">
        <f t="shared" ref="D22:L22" si="14">SUM(D23:D27)</f>
        <v>18491850</v>
      </c>
      <c r="E22" s="1600">
        <f t="shared" si="14"/>
        <v>4363786</v>
      </c>
      <c r="F22" s="1600">
        <f t="shared" si="14"/>
        <v>4642125</v>
      </c>
      <c r="G22" s="1600">
        <f t="shared" si="14"/>
        <v>2218416</v>
      </c>
      <c r="H22" s="1600">
        <f t="shared" si="14"/>
        <v>4613250</v>
      </c>
      <c r="I22" s="1600">
        <f t="shared" si="14"/>
        <v>989414</v>
      </c>
      <c r="J22" s="1600">
        <f t="shared" si="14"/>
        <v>585076</v>
      </c>
      <c r="K22" s="1600">
        <f t="shared" si="14"/>
        <v>585076</v>
      </c>
      <c r="L22" s="1600">
        <f t="shared" si="14"/>
        <v>494707</v>
      </c>
      <c r="M22" s="3550"/>
      <c r="N22" s="3550"/>
      <c r="O22" s="2486"/>
      <c r="P22" s="1608"/>
    </row>
    <row r="23" spans="1:17" s="1602" customFormat="1" ht="14.25" customHeight="1" outlineLevel="1">
      <c r="A23" s="1603"/>
      <c r="B23" s="762" t="s">
        <v>13</v>
      </c>
      <c r="C23" s="763"/>
      <c r="D23" s="1605">
        <f>+D52</f>
        <v>9149279</v>
      </c>
      <c r="E23" s="1605">
        <f t="shared" ref="E23:L23" si="15">+E52</f>
        <v>2167756</v>
      </c>
      <c r="F23" s="1605">
        <f t="shared" si="15"/>
        <v>1418000</v>
      </c>
      <c r="G23" s="1605">
        <f t="shared" si="15"/>
        <v>2000000</v>
      </c>
      <c r="H23" s="1605">
        <f t="shared" si="15"/>
        <v>909250</v>
      </c>
      <c r="I23" s="1605">
        <f t="shared" si="15"/>
        <v>989414</v>
      </c>
      <c r="J23" s="1605">
        <f t="shared" si="15"/>
        <v>585076</v>
      </c>
      <c r="K23" s="1605">
        <f t="shared" si="15"/>
        <v>585076</v>
      </c>
      <c r="L23" s="1605">
        <f t="shared" si="15"/>
        <v>494707</v>
      </c>
      <c r="M23" s="3550"/>
      <c r="N23" s="3550"/>
      <c r="O23" s="2486"/>
      <c r="P23" s="1608">
        <f>D23-D14</f>
        <v>0</v>
      </c>
    </row>
    <row r="24" spans="1:17" s="1602" customFormat="1" ht="14.25" hidden="1" customHeight="1" outlineLevel="1">
      <c r="A24" s="1603"/>
      <c r="B24" s="761" t="s">
        <v>14</v>
      </c>
      <c r="C24" s="1604"/>
      <c r="D24" s="1605"/>
      <c r="E24" s="1605"/>
      <c r="F24" s="1605"/>
      <c r="G24" s="1605"/>
      <c r="H24" s="1605"/>
      <c r="I24" s="1605"/>
      <c r="J24" s="1605"/>
      <c r="K24" s="1605"/>
      <c r="L24" s="1605"/>
      <c r="M24" s="3550"/>
      <c r="N24" s="3550"/>
      <c r="O24" s="2486"/>
      <c r="P24" s="1608" t="e">
        <f>D24-#REF!</f>
        <v>#REF!</v>
      </c>
    </row>
    <row r="25" spans="1:17" s="1602" customFormat="1" ht="14.25" customHeight="1" outlineLevel="1">
      <c r="A25" s="1603"/>
      <c r="B25" s="761" t="s">
        <v>62</v>
      </c>
      <c r="C25" s="1604"/>
      <c r="D25" s="1605">
        <f>+D40</f>
        <v>9342571</v>
      </c>
      <c r="E25" s="1605">
        <f t="shared" ref="E25:L25" si="16">+E40</f>
        <v>2196030</v>
      </c>
      <c r="F25" s="1605">
        <f t="shared" si="16"/>
        <v>3224125</v>
      </c>
      <c r="G25" s="1605">
        <f t="shared" si="16"/>
        <v>218416</v>
      </c>
      <c r="H25" s="1605">
        <f t="shared" si="16"/>
        <v>3704000</v>
      </c>
      <c r="I25" s="1605">
        <f t="shared" si="16"/>
        <v>0</v>
      </c>
      <c r="J25" s="1605">
        <f t="shared" si="16"/>
        <v>0</v>
      </c>
      <c r="K25" s="1605">
        <f t="shared" si="16"/>
        <v>0</v>
      </c>
      <c r="L25" s="1605">
        <f t="shared" si="16"/>
        <v>0</v>
      </c>
      <c r="M25" s="3550"/>
      <c r="N25" s="3550"/>
      <c r="O25" s="2486"/>
      <c r="P25" s="1608">
        <f>D25-D15</f>
        <v>0</v>
      </c>
    </row>
    <row r="26" spans="1:17" s="1602" customFormat="1" ht="14.25" hidden="1" customHeight="1" outlineLevel="1">
      <c r="A26" s="1603"/>
      <c r="B26" s="761" t="s">
        <v>25</v>
      </c>
      <c r="C26" s="1604"/>
      <c r="D26" s="1605"/>
      <c r="E26" s="1605"/>
      <c r="F26" s="1605"/>
      <c r="G26" s="1605"/>
      <c r="H26" s="1605"/>
      <c r="I26" s="1605"/>
      <c r="J26" s="1605"/>
      <c r="K26" s="1605"/>
      <c r="L26" s="1605"/>
      <c r="M26" s="3550"/>
      <c r="N26" s="3550"/>
      <c r="O26" s="2486"/>
    </row>
    <row r="27" spans="1:17" s="1602" customFormat="1" ht="12.75" hidden="1" customHeight="1" outlineLevel="1">
      <c r="A27" s="1603"/>
      <c r="B27" s="764" t="s">
        <v>12</v>
      </c>
      <c r="C27" s="1615"/>
      <c r="D27" s="1616"/>
      <c r="E27" s="1616"/>
      <c r="F27" s="1616"/>
      <c r="G27" s="1616"/>
      <c r="H27" s="1616"/>
      <c r="I27" s="1616"/>
      <c r="J27" s="1616"/>
      <c r="K27" s="1616"/>
      <c r="L27" s="1616"/>
      <c r="M27" s="3550"/>
      <c r="N27" s="3550"/>
      <c r="O27" s="2486"/>
    </row>
    <row r="28" spans="1:17" s="1602" customFormat="1" ht="14.25" customHeight="1" outlineLevel="1">
      <c r="A28" s="1598"/>
      <c r="B28" s="1609" t="s">
        <v>18</v>
      </c>
      <c r="C28" s="1617"/>
      <c r="D28" s="1611">
        <f>+D29+D31+D30</f>
        <v>27237428</v>
      </c>
      <c r="E28" s="1611">
        <f t="shared" ref="E28:L28" si="17">+E29+E31+E30</f>
        <v>12893647</v>
      </c>
      <c r="F28" s="1611">
        <f t="shared" si="17"/>
        <v>2576834</v>
      </c>
      <c r="G28" s="1611">
        <f t="shared" si="17"/>
        <v>3807649</v>
      </c>
      <c r="H28" s="1611">
        <f t="shared" si="17"/>
        <v>3166157</v>
      </c>
      <c r="I28" s="1611">
        <f t="shared" si="17"/>
        <v>1882637</v>
      </c>
      <c r="J28" s="1611">
        <f t="shared" si="17"/>
        <v>1022503</v>
      </c>
      <c r="K28" s="1611">
        <f t="shared" si="17"/>
        <v>1022502</v>
      </c>
      <c r="L28" s="1611">
        <f t="shared" si="17"/>
        <v>865499</v>
      </c>
      <c r="M28" s="3550"/>
      <c r="N28" s="3550"/>
      <c r="O28" s="2486"/>
    </row>
    <row r="29" spans="1:17" s="1602" customFormat="1" ht="14.25" customHeight="1" outlineLevel="1">
      <c r="A29" s="1603"/>
      <c r="B29" s="762" t="s">
        <v>21</v>
      </c>
      <c r="C29" s="1618"/>
      <c r="D29" s="1605">
        <f>+D55+D62+D74</f>
        <v>16856776</v>
      </c>
      <c r="E29" s="1605">
        <f>+E55+E65+E74</f>
        <v>3792526</v>
      </c>
      <c r="F29" s="1605">
        <f t="shared" ref="F29:L29" si="18">+F55+F65+F74</f>
        <v>2576834</v>
      </c>
      <c r="G29" s="1605">
        <f t="shared" si="18"/>
        <v>3807649</v>
      </c>
      <c r="H29" s="1605">
        <f t="shared" si="18"/>
        <v>1886626</v>
      </c>
      <c r="I29" s="1605">
        <f t="shared" si="18"/>
        <v>1882637</v>
      </c>
      <c r="J29" s="1605">
        <f t="shared" si="18"/>
        <v>1022503</v>
      </c>
      <c r="K29" s="1605">
        <f t="shared" si="18"/>
        <v>1022502</v>
      </c>
      <c r="L29" s="1605">
        <f t="shared" si="18"/>
        <v>865499</v>
      </c>
      <c r="M29" s="3550"/>
      <c r="N29" s="3550"/>
      <c r="O29" s="2486"/>
      <c r="P29" s="1608">
        <f>D29-D18</f>
        <v>0</v>
      </c>
    </row>
    <row r="30" spans="1:17" s="1602" customFormat="1" ht="14.25" hidden="1" customHeight="1" outlineLevel="1">
      <c r="A30" s="1603"/>
      <c r="B30" s="761" t="s">
        <v>14</v>
      </c>
      <c r="C30" s="1618"/>
      <c r="D30" s="1605"/>
      <c r="E30" s="1605"/>
      <c r="F30" s="1605"/>
      <c r="G30" s="1605"/>
      <c r="H30" s="1605"/>
      <c r="I30" s="1605"/>
      <c r="J30" s="1605"/>
      <c r="K30" s="1605"/>
      <c r="L30" s="1605"/>
      <c r="M30" s="3550"/>
      <c r="N30" s="3550"/>
      <c r="O30" s="2486"/>
      <c r="P30" s="1608">
        <f>D30-D19</f>
        <v>0</v>
      </c>
      <c r="Q30" s="1608"/>
    </row>
    <row r="31" spans="1:17" s="1602" customFormat="1" ht="14.25" customHeight="1" collapsed="1" thickBot="1">
      <c r="A31" s="1619"/>
      <c r="B31" s="1620" t="s">
        <v>20</v>
      </c>
      <c r="C31" s="1621"/>
      <c r="D31" s="1622">
        <f>+D42</f>
        <v>10380652</v>
      </c>
      <c r="E31" s="1622">
        <f t="shared" ref="E31:L31" si="19">+E42</f>
        <v>9101121</v>
      </c>
      <c r="F31" s="1622">
        <f t="shared" si="19"/>
        <v>0</v>
      </c>
      <c r="G31" s="1622">
        <f t="shared" si="19"/>
        <v>0</v>
      </c>
      <c r="H31" s="1622">
        <f t="shared" si="19"/>
        <v>1279531</v>
      </c>
      <c r="I31" s="1622">
        <f t="shared" si="19"/>
        <v>0</v>
      </c>
      <c r="J31" s="1622">
        <f t="shared" si="19"/>
        <v>0</v>
      </c>
      <c r="K31" s="1622">
        <f t="shared" si="19"/>
        <v>0</v>
      </c>
      <c r="L31" s="1622">
        <f t="shared" si="19"/>
        <v>0</v>
      </c>
      <c r="M31" s="3551"/>
      <c r="N31" s="3551"/>
      <c r="O31" s="2487"/>
      <c r="P31" s="1608">
        <f>D31-D20-D17</f>
        <v>0</v>
      </c>
    </row>
    <row r="32" spans="1:17" s="790" customFormat="1" ht="28.5" customHeight="1">
      <c r="A32" s="3558" t="s">
        <v>63</v>
      </c>
      <c r="B32" s="2699" t="s">
        <v>361</v>
      </c>
      <c r="C32" s="1432" t="s">
        <v>81</v>
      </c>
      <c r="D32" s="1432"/>
      <c r="E32" s="61"/>
      <c r="F32" s="1433"/>
      <c r="G32" s="1433"/>
      <c r="H32" s="1433"/>
      <c r="I32" s="1433"/>
      <c r="J32" s="1433"/>
      <c r="K32" s="1433"/>
      <c r="L32" s="1433"/>
      <c r="M32" s="1434"/>
      <c r="N32" s="1434"/>
      <c r="O32" s="3577" t="s">
        <v>488</v>
      </c>
    </row>
    <row r="33" spans="1:15" s="790" customFormat="1" ht="14.25" customHeight="1">
      <c r="A33" s="3556"/>
      <c r="B33" s="525" t="s">
        <v>10</v>
      </c>
      <c r="C33" s="1909"/>
      <c r="D33" s="1910">
        <f t="shared" ref="D33" si="20">+D34+D36</f>
        <v>19723223</v>
      </c>
      <c r="E33" s="1911">
        <f t="shared" ref="E33" si="21">+E34+E36</f>
        <v>8982580</v>
      </c>
      <c r="F33" s="1508">
        <f>+F34+F36</f>
        <v>3422125</v>
      </c>
      <c r="G33" s="1508">
        <f>+G34+G36</f>
        <v>4297849</v>
      </c>
      <c r="H33" s="1508">
        <f>+H34+H36</f>
        <v>3020669</v>
      </c>
      <c r="I33" s="1560"/>
      <c r="J33" s="1560"/>
      <c r="K33" s="1560"/>
      <c r="L33" s="1560"/>
      <c r="M33" s="1512">
        <f>+M34+M36</f>
        <v>10740643</v>
      </c>
      <c r="N33" s="1512">
        <f>+N34+N36</f>
        <v>7318518</v>
      </c>
      <c r="O33" s="3578"/>
    </row>
    <row r="34" spans="1:15" s="790" customFormat="1" ht="14.25" customHeight="1">
      <c r="A34" s="3556"/>
      <c r="B34" s="768" t="s">
        <v>11</v>
      </c>
      <c r="C34" s="3580" t="s">
        <v>167</v>
      </c>
      <c r="D34" s="1514">
        <f>D35</f>
        <v>9342571</v>
      </c>
      <c r="E34" s="1912">
        <f t="shared" ref="E34" si="22">E35</f>
        <v>2196030</v>
      </c>
      <c r="F34" s="1513">
        <f>F35</f>
        <v>3224125</v>
      </c>
      <c r="G34" s="1513">
        <f>G35</f>
        <v>2678701</v>
      </c>
      <c r="H34" s="1513">
        <f>H35</f>
        <v>1243715</v>
      </c>
      <c r="I34" s="1514"/>
      <c r="J34" s="1514"/>
      <c r="K34" s="1514"/>
      <c r="L34" s="1514"/>
      <c r="M34" s="1515">
        <f>M35</f>
        <v>7146541</v>
      </c>
      <c r="N34" s="1515">
        <f>N35</f>
        <v>3922416</v>
      </c>
      <c r="O34" s="3578"/>
    </row>
    <row r="35" spans="1:15" s="797" customFormat="1">
      <c r="A35" s="3556"/>
      <c r="B35" s="2700" t="s">
        <v>62</v>
      </c>
      <c r="C35" s="3581"/>
      <c r="D35" s="1913">
        <f>E35+F35+G35+H35+I35+J35+K35+L35</f>
        <v>9342571</v>
      </c>
      <c r="E35" s="2701">
        <v>2196030</v>
      </c>
      <c r="F35" s="2144">
        <f>260379+120178+1+1420927+3225430-1802790</f>
        <v>3224125</v>
      </c>
      <c r="G35" s="1772">
        <f>1438588+1240113</f>
        <v>2678701</v>
      </c>
      <c r="H35" s="1772">
        <f>681038+562677</f>
        <v>1243715</v>
      </c>
      <c r="I35" s="1914"/>
      <c r="J35" s="1914"/>
      <c r="K35" s="1914"/>
      <c r="L35" s="1914"/>
      <c r="M35" s="1900">
        <f>SUM(F35:K35)</f>
        <v>7146541</v>
      </c>
      <c r="N35" s="1900">
        <f>SUM(G35:L35)</f>
        <v>3922416</v>
      </c>
      <c r="O35" s="3578"/>
    </row>
    <row r="36" spans="1:15" s="790" customFormat="1" ht="14.25" customHeight="1">
      <c r="A36" s="3556"/>
      <c r="B36" s="776" t="s">
        <v>18</v>
      </c>
      <c r="C36" s="3582"/>
      <c r="D36" s="1915">
        <f>D37</f>
        <v>10380652</v>
      </c>
      <c r="E36" s="2440">
        <f t="shared" ref="E36:H36" si="23">E37</f>
        <v>6786550</v>
      </c>
      <c r="F36" s="2441">
        <f t="shared" si="23"/>
        <v>198000</v>
      </c>
      <c r="G36" s="1916">
        <f t="shared" si="23"/>
        <v>1619148</v>
      </c>
      <c r="H36" s="1916">
        <f t="shared" si="23"/>
        <v>1776954</v>
      </c>
      <c r="I36" s="1915"/>
      <c r="J36" s="1915"/>
      <c r="K36" s="1915"/>
      <c r="L36" s="1915"/>
      <c r="M36" s="1917">
        <f>M37</f>
        <v>3594102</v>
      </c>
      <c r="N36" s="1917">
        <f>N37</f>
        <v>3396102</v>
      </c>
      <c r="O36" s="3578"/>
    </row>
    <row r="37" spans="1:15" s="790" customFormat="1">
      <c r="A37" s="3556"/>
      <c r="B37" s="771" t="s">
        <v>20</v>
      </c>
      <c r="C37" s="3582"/>
      <c r="D37" s="1913">
        <f>E37+F37+G37+H37+I37+J37+K37+L37</f>
        <v>10380652</v>
      </c>
      <c r="E37" s="2701">
        <v>6786550</v>
      </c>
      <c r="F37" s="2522">
        <f>139157+4982+2237372-1274751-908760</f>
        <v>198000</v>
      </c>
      <c r="G37" s="2702">
        <f>1780473+158867-320192</f>
        <v>1619148</v>
      </c>
      <c r="H37" s="2702">
        <f>548002+1228952</f>
        <v>1776954</v>
      </c>
      <c r="I37" s="1918"/>
      <c r="J37" s="1918"/>
      <c r="K37" s="1918"/>
      <c r="L37" s="1918"/>
      <c r="M37" s="1900">
        <f>SUM(F37:K37)</f>
        <v>3594102</v>
      </c>
      <c r="N37" s="1900">
        <f>SUM(G37:L37)</f>
        <v>3396102</v>
      </c>
      <c r="O37" s="3578"/>
    </row>
    <row r="38" spans="1:15" s="799" customFormat="1" ht="14.25" customHeight="1">
      <c r="A38" s="3556"/>
      <c r="B38" s="525" t="s">
        <v>22</v>
      </c>
      <c r="C38" s="1919"/>
      <c r="D38" s="1920">
        <f t="shared" ref="D38" si="24">+D39+D42</f>
        <v>19723223</v>
      </c>
      <c r="E38" s="1921">
        <f t="shared" ref="E38" si="25">+E39+E42</f>
        <v>11297151</v>
      </c>
      <c r="F38" s="1922">
        <f>+F39+F42</f>
        <v>3224125</v>
      </c>
      <c r="G38" s="1922">
        <f>+G39+G42</f>
        <v>218416</v>
      </c>
      <c r="H38" s="1922">
        <f>+H39+H42</f>
        <v>4983531</v>
      </c>
      <c r="I38" s="1922"/>
      <c r="J38" s="1922"/>
      <c r="K38" s="1922"/>
      <c r="L38" s="1922"/>
      <c r="M38" s="3547" t="s">
        <v>61</v>
      </c>
      <c r="N38" s="3547" t="s">
        <v>61</v>
      </c>
      <c r="O38" s="3578"/>
    </row>
    <row r="39" spans="1:15" s="790" customFormat="1" ht="14.25" customHeight="1">
      <c r="A39" s="3556"/>
      <c r="B39" s="768" t="s">
        <v>11</v>
      </c>
      <c r="C39" s="3583" t="s">
        <v>167</v>
      </c>
      <c r="D39" s="1923">
        <f>D40</f>
        <v>9342571</v>
      </c>
      <c r="E39" s="1924">
        <f t="shared" ref="E39:H39" si="26">E40</f>
        <v>2196030</v>
      </c>
      <c r="F39" s="1923">
        <f t="shared" si="26"/>
        <v>3224125</v>
      </c>
      <c r="G39" s="1923">
        <f t="shared" si="26"/>
        <v>218416</v>
      </c>
      <c r="H39" s="1923">
        <f t="shared" si="26"/>
        <v>3704000</v>
      </c>
      <c r="I39" s="1923"/>
      <c r="J39" s="1923"/>
      <c r="K39" s="1923"/>
      <c r="L39" s="1923"/>
      <c r="M39" s="3547"/>
      <c r="N39" s="3547"/>
      <c r="O39" s="3578"/>
    </row>
    <row r="40" spans="1:15" s="790" customFormat="1" ht="12.75" customHeight="1">
      <c r="A40" s="3556"/>
      <c r="B40" s="771" t="s">
        <v>16</v>
      </c>
      <c r="C40" s="3582"/>
      <c r="D40" s="1913">
        <f>E40+F40+G40+H40+I40+J40+K40+L40</f>
        <v>9342571</v>
      </c>
      <c r="E40" s="1772">
        <v>2196030</v>
      </c>
      <c r="F40" s="1925">
        <f>3442541-218416</f>
        <v>3224125</v>
      </c>
      <c r="G40" s="1925">
        <f>3704000-3704000+218416</f>
        <v>218416</v>
      </c>
      <c r="H40" s="1925">
        <v>3704000</v>
      </c>
      <c r="I40" s="1925"/>
      <c r="J40" s="1925"/>
      <c r="K40" s="1925"/>
      <c r="L40" s="1925"/>
      <c r="M40" s="3547"/>
      <c r="N40" s="3547"/>
      <c r="O40" s="3578"/>
    </row>
    <row r="41" spans="1:15" s="790" customFormat="1" ht="14.25" customHeight="1">
      <c r="A41" s="3556"/>
      <c r="B41" s="776" t="s">
        <v>18</v>
      </c>
      <c r="C41" s="3582"/>
      <c r="D41" s="1923">
        <f>D42</f>
        <v>10380652</v>
      </c>
      <c r="E41" s="1924">
        <f t="shared" ref="E41:H41" si="27">E42</f>
        <v>9101121</v>
      </c>
      <c r="F41" s="1923">
        <f t="shared" si="27"/>
        <v>0</v>
      </c>
      <c r="G41" s="1923">
        <f t="shared" si="27"/>
        <v>0</v>
      </c>
      <c r="H41" s="1923">
        <f t="shared" si="27"/>
        <v>1279531</v>
      </c>
      <c r="I41" s="1923"/>
      <c r="J41" s="1923"/>
      <c r="K41" s="1923"/>
      <c r="L41" s="1923"/>
      <c r="M41" s="3547"/>
      <c r="N41" s="3547"/>
      <c r="O41" s="3578"/>
    </row>
    <row r="42" spans="1:15" s="790" customFormat="1" ht="12.75" thickBot="1">
      <c r="A42" s="3557"/>
      <c r="B42" s="81" t="s">
        <v>20</v>
      </c>
      <c r="C42" s="3584"/>
      <c r="D42" s="1008">
        <f>E42+F42+G42+H42+I42+J42+K42+L42</f>
        <v>10380652</v>
      </c>
      <c r="E42" s="1012">
        <v>9101121</v>
      </c>
      <c r="F42" s="781">
        <v>0</v>
      </c>
      <c r="G42" s="1444">
        <f>1569940-1569940</f>
        <v>0</v>
      </c>
      <c r="H42" s="1444">
        <v>1279531</v>
      </c>
      <c r="I42" s="1444"/>
      <c r="J42" s="1444"/>
      <c r="K42" s="1444"/>
      <c r="L42" s="1444"/>
      <c r="M42" s="3548"/>
      <c r="N42" s="3548"/>
      <c r="O42" s="3579"/>
    </row>
    <row r="43" spans="1:15" ht="18.75" customHeight="1">
      <c r="A43" s="3556" t="s">
        <v>64</v>
      </c>
      <c r="B43" s="2827" t="s">
        <v>365</v>
      </c>
      <c r="C43" s="2137" t="s">
        <v>109</v>
      </c>
      <c r="D43" s="2137"/>
      <c r="E43" s="2137"/>
      <c r="F43" s="2138"/>
      <c r="G43" s="2138"/>
      <c r="H43" s="2138"/>
      <c r="I43" s="2138"/>
      <c r="J43" s="2138"/>
      <c r="K43" s="2138"/>
      <c r="L43" s="2138"/>
      <c r="M43" s="2139"/>
      <c r="N43" s="2139"/>
      <c r="O43" s="3571" t="s">
        <v>328</v>
      </c>
    </row>
    <row r="44" spans="1:15" ht="13.5" customHeight="1">
      <c r="A44" s="3556"/>
      <c r="B44" s="525" t="s">
        <v>10</v>
      </c>
      <c r="C44" s="2140"/>
      <c r="D44" s="2004">
        <f t="shared" ref="D44:L44" si="28">+D45+D48</f>
        <v>25156056</v>
      </c>
      <c r="E44" s="2004">
        <f t="shared" ref="E44" si="29">+E45+E48</f>
        <v>5960282</v>
      </c>
      <c r="F44" s="2109">
        <f t="shared" si="28"/>
        <v>3900000</v>
      </c>
      <c r="G44" s="2109">
        <f t="shared" si="28"/>
        <v>5500000</v>
      </c>
      <c r="H44" s="2109">
        <f t="shared" si="28"/>
        <v>2500000</v>
      </c>
      <c r="I44" s="2109">
        <f t="shared" si="28"/>
        <v>2720411</v>
      </c>
      <c r="J44" s="2109">
        <f t="shared" si="28"/>
        <v>1607579</v>
      </c>
      <c r="K44" s="2109">
        <f t="shared" si="28"/>
        <v>1607578</v>
      </c>
      <c r="L44" s="2109">
        <f t="shared" si="28"/>
        <v>1360206</v>
      </c>
      <c r="M44" s="2141">
        <f>+M45+M48</f>
        <v>19195774</v>
      </c>
      <c r="N44" s="2141">
        <f>+N45+N48</f>
        <v>15295774</v>
      </c>
      <c r="O44" s="3571"/>
    </row>
    <row r="45" spans="1:15" ht="13.5" customHeight="1">
      <c r="A45" s="3556"/>
      <c r="B45" s="768" t="s">
        <v>11</v>
      </c>
      <c r="C45" s="3573" t="s">
        <v>168</v>
      </c>
      <c r="D45" s="2066">
        <f>+D46+D47</f>
        <v>9149279</v>
      </c>
      <c r="E45" s="2066">
        <f t="shared" ref="E45" si="30">+E46+E47</f>
        <v>2167756</v>
      </c>
      <c r="F45" s="2142">
        <f t="shared" ref="F45:L45" si="31">+F46+F47</f>
        <v>1418000</v>
      </c>
      <c r="G45" s="2142">
        <f t="shared" si="31"/>
        <v>2000000</v>
      </c>
      <c r="H45" s="2142">
        <f t="shared" si="31"/>
        <v>909250</v>
      </c>
      <c r="I45" s="2142">
        <f t="shared" si="31"/>
        <v>989414</v>
      </c>
      <c r="J45" s="2142">
        <f t="shared" si="31"/>
        <v>585076</v>
      </c>
      <c r="K45" s="2142">
        <f t="shared" si="31"/>
        <v>585076</v>
      </c>
      <c r="L45" s="2142">
        <f t="shared" si="31"/>
        <v>494707</v>
      </c>
      <c r="M45" s="2143">
        <f>SUM(M46:M47)</f>
        <v>6981523</v>
      </c>
      <c r="N45" s="2143">
        <f>SUM(N46:N47)</f>
        <v>5563523</v>
      </c>
      <c r="O45" s="3571"/>
    </row>
    <row r="46" spans="1:15" ht="12.6" hidden="1" customHeight="1">
      <c r="A46" s="3556"/>
      <c r="B46" s="771" t="s">
        <v>12</v>
      </c>
      <c r="C46" s="3573"/>
      <c r="D46" s="1016">
        <f>E46+F46+G46+H46+I46+J46+K46+L46</f>
        <v>0</v>
      </c>
      <c r="E46" s="2144">
        <v>0</v>
      </c>
      <c r="F46" s="2145">
        <f>450000-450000</f>
        <v>0</v>
      </c>
      <c r="G46" s="2145">
        <f>500000-500000</f>
        <v>0</v>
      </c>
      <c r="H46" s="2145">
        <v>0</v>
      </c>
      <c r="I46" s="2145"/>
      <c r="J46" s="2145"/>
      <c r="K46" s="2145"/>
      <c r="L46" s="2145"/>
      <c r="M46" s="2146">
        <f>SUM(F46:K46)</f>
        <v>0</v>
      </c>
      <c r="N46" s="2146">
        <f>SUM(G46:L46)</f>
        <v>0</v>
      </c>
      <c r="O46" s="3571"/>
    </row>
    <row r="47" spans="1:15" ht="13.5" customHeight="1">
      <c r="A47" s="3556"/>
      <c r="B47" s="1427" t="s">
        <v>236</v>
      </c>
      <c r="C47" s="3573"/>
      <c r="D47" s="1016">
        <f>E47+F47+G47+H47+I47+J47+K47+L47</f>
        <v>9149279</v>
      </c>
      <c r="E47" s="2144">
        <v>2167756</v>
      </c>
      <c r="F47" s="2145">
        <f>2546000-1636750+205354+303396</f>
        <v>1418000</v>
      </c>
      <c r="G47" s="2145">
        <f>2910000-2000750-303396+585470+808676</f>
        <v>2000000</v>
      </c>
      <c r="H47" s="2145">
        <v>909250</v>
      </c>
      <c r="I47" s="2145">
        <v>989414</v>
      </c>
      <c r="J47" s="2145">
        <f>989414-404338</f>
        <v>585076</v>
      </c>
      <c r="K47" s="2145">
        <f>989414-404338</f>
        <v>585076</v>
      </c>
      <c r="L47" s="2145">
        <v>494707</v>
      </c>
      <c r="M47" s="2146">
        <f>SUM(F47:L47)</f>
        <v>6981523</v>
      </c>
      <c r="N47" s="2146">
        <f>SUM(G47:L47)</f>
        <v>5563523</v>
      </c>
      <c r="O47" s="3571"/>
    </row>
    <row r="48" spans="1:15" ht="13.5" customHeight="1">
      <c r="A48" s="3556"/>
      <c r="B48" s="776" t="s">
        <v>18</v>
      </c>
      <c r="C48" s="3573"/>
      <c r="D48" s="2066">
        <f>+D49</f>
        <v>16006777</v>
      </c>
      <c r="E48" s="2066">
        <f t="shared" ref="E48:L48" si="32">+E49</f>
        <v>3792526</v>
      </c>
      <c r="F48" s="2066">
        <f t="shared" si="32"/>
        <v>2482000</v>
      </c>
      <c r="G48" s="2066">
        <f t="shared" si="32"/>
        <v>3500000</v>
      </c>
      <c r="H48" s="2066">
        <f t="shared" si="32"/>
        <v>1590750</v>
      </c>
      <c r="I48" s="2066">
        <f t="shared" si="32"/>
        <v>1730997</v>
      </c>
      <c r="J48" s="2066">
        <f t="shared" si="32"/>
        <v>1022503</v>
      </c>
      <c r="K48" s="2066">
        <f t="shared" si="32"/>
        <v>1022502</v>
      </c>
      <c r="L48" s="2066">
        <f t="shared" si="32"/>
        <v>865499</v>
      </c>
      <c r="M48" s="2067">
        <f>+M49</f>
        <v>12214251</v>
      </c>
      <c r="N48" s="2067">
        <f>+N49</f>
        <v>9732251</v>
      </c>
      <c r="O48" s="3571"/>
    </row>
    <row r="49" spans="1:16" ht="13.5" customHeight="1">
      <c r="A49" s="3556"/>
      <c r="B49" s="1427" t="s">
        <v>341</v>
      </c>
      <c r="C49" s="3573"/>
      <c r="D49" s="1016">
        <f>E49+F49+G49+H49+I49+J49+K49+L49</f>
        <v>16006777</v>
      </c>
      <c r="E49" s="2144">
        <v>3792526</v>
      </c>
      <c r="F49" s="2145">
        <f>4454000-2863250+358256+532994</f>
        <v>2482000</v>
      </c>
      <c r="G49" s="2145">
        <f>5090000-3499250-532994+1025255+1416989</f>
        <v>3500000</v>
      </c>
      <c r="H49" s="2145">
        <v>1590750</v>
      </c>
      <c r="I49" s="2145">
        <v>1730997</v>
      </c>
      <c r="J49" s="2145">
        <f>1730997-708494</f>
        <v>1022503</v>
      </c>
      <c r="K49" s="2145">
        <f>1730997-708495</f>
        <v>1022502</v>
      </c>
      <c r="L49" s="2145">
        <v>865499</v>
      </c>
      <c r="M49" s="2146">
        <f>SUM(F49:L49)</f>
        <v>12214251</v>
      </c>
      <c r="N49" s="2146">
        <f>SUM(G49:L49)</f>
        <v>9732251</v>
      </c>
      <c r="O49" s="3571"/>
    </row>
    <row r="50" spans="1:16" ht="14.25" customHeight="1">
      <c r="A50" s="3556"/>
      <c r="B50" s="525" t="s">
        <v>22</v>
      </c>
      <c r="C50" s="2140"/>
      <c r="D50" s="2109">
        <f>+D51+D54</f>
        <v>25156056</v>
      </c>
      <c r="E50" s="2109">
        <f t="shared" ref="E50" si="33">+E51+E54</f>
        <v>5960282</v>
      </c>
      <c r="F50" s="2109">
        <f t="shared" ref="F50:L50" si="34">+F51+F54</f>
        <v>3900000</v>
      </c>
      <c r="G50" s="2109">
        <f t="shared" si="34"/>
        <v>5500000</v>
      </c>
      <c r="H50" s="2109">
        <f t="shared" si="34"/>
        <v>2500000</v>
      </c>
      <c r="I50" s="2109">
        <f t="shared" si="34"/>
        <v>2720411</v>
      </c>
      <c r="J50" s="2109">
        <f t="shared" si="34"/>
        <v>1607579</v>
      </c>
      <c r="K50" s="2109">
        <f t="shared" si="34"/>
        <v>1607578</v>
      </c>
      <c r="L50" s="2109">
        <f t="shared" si="34"/>
        <v>1360206</v>
      </c>
      <c r="M50" s="3576" t="s">
        <v>61</v>
      </c>
      <c r="N50" s="3576" t="s">
        <v>61</v>
      </c>
      <c r="O50" s="3571"/>
    </row>
    <row r="51" spans="1:16" ht="13.5" customHeight="1">
      <c r="A51" s="3556"/>
      <c r="B51" s="768" t="s">
        <v>11</v>
      </c>
      <c r="C51" s="3574" t="s">
        <v>168</v>
      </c>
      <c r="D51" s="2066">
        <f>+D52</f>
        <v>9149279</v>
      </c>
      <c r="E51" s="2066">
        <f t="shared" ref="E51:L51" si="35">+E52</f>
        <v>2167756</v>
      </c>
      <c r="F51" s="2142">
        <f t="shared" si="35"/>
        <v>1418000</v>
      </c>
      <c r="G51" s="2142">
        <f t="shared" si="35"/>
        <v>2000000</v>
      </c>
      <c r="H51" s="2142">
        <f t="shared" si="35"/>
        <v>909250</v>
      </c>
      <c r="I51" s="2142">
        <f t="shared" si="35"/>
        <v>989414</v>
      </c>
      <c r="J51" s="2142">
        <f t="shared" si="35"/>
        <v>585076</v>
      </c>
      <c r="K51" s="2142">
        <f t="shared" si="35"/>
        <v>585076</v>
      </c>
      <c r="L51" s="2142">
        <f t="shared" si="35"/>
        <v>494707</v>
      </c>
      <c r="M51" s="3576"/>
      <c r="N51" s="3576"/>
      <c r="O51" s="3571"/>
    </row>
    <row r="52" spans="1:16" ht="12.75" customHeight="1">
      <c r="A52" s="3556"/>
      <c r="B52" s="1427" t="s">
        <v>236</v>
      </c>
      <c r="C52" s="3574"/>
      <c r="D52" s="1016">
        <f>E52+F52+G52+H52+I52+J52+K52+L52</f>
        <v>9149279</v>
      </c>
      <c r="E52" s="2144">
        <v>2167756</v>
      </c>
      <c r="F52" s="2145">
        <f>2546000-1636750+205354+303396</f>
        <v>1418000</v>
      </c>
      <c r="G52" s="2145">
        <f>2910000-2000750-303396+585470+808676</f>
        <v>2000000</v>
      </c>
      <c r="H52" s="2145">
        <v>909250</v>
      </c>
      <c r="I52" s="2145">
        <v>989414</v>
      </c>
      <c r="J52" s="2145">
        <f>989414-404338</f>
        <v>585076</v>
      </c>
      <c r="K52" s="2145">
        <f>989414-404338</f>
        <v>585076</v>
      </c>
      <c r="L52" s="2145">
        <v>494707</v>
      </c>
      <c r="M52" s="3576"/>
      <c r="N52" s="3576"/>
      <c r="O52" s="3571"/>
    </row>
    <row r="53" spans="1:16" ht="13.5" hidden="1" customHeight="1">
      <c r="A53" s="3556"/>
      <c r="B53" s="771" t="s">
        <v>25</v>
      </c>
      <c r="C53" s="3574"/>
      <c r="D53" s="1016">
        <f>E53+F53+G53+H53+I53+J53+K53+L53</f>
        <v>0</v>
      </c>
      <c r="E53" s="2144">
        <v>0</v>
      </c>
      <c r="F53" s="2145"/>
      <c r="G53" s="2145"/>
      <c r="H53" s="2145"/>
      <c r="I53" s="2145"/>
      <c r="J53" s="2145"/>
      <c r="K53" s="2145"/>
      <c r="L53" s="2145"/>
      <c r="M53" s="3576"/>
      <c r="N53" s="3576"/>
      <c r="O53" s="3571"/>
    </row>
    <row r="54" spans="1:16" ht="12.75" customHeight="1">
      <c r="A54" s="3556"/>
      <c r="B54" s="776" t="s">
        <v>18</v>
      </c>
      <c r="C54" s="3574"/>
      <c r="D54" s="2066">
        <f>+D55</f>
        <v>16006777</v>
      </c>
      <c r="E54" s="2066">
        <f t="shared" ref="E54:L54" si="36">+E55</f>
        <v>3792526</v>
      </c>
      <c r="F54" s="2142">
        <f t="shared" si="36"/>
        <v>2482000</v>
      </c>
      <c r="G54" s="2142">
        <f t="shared" si="36"/>
        <v>3500000</v>
      </c>
      <c r="H54" s="2142">
        <f t="shared" si="36"/>
        <v>1590750</v>
      </c>
      <c r="I54" s="2142">
        <f t="shared" si="36"/>
        <v>1730997</v>
      </c>
      <c r="J54" s="2142">
        <f t="shared" si="36"/>
        <v>1022503</v>
      </c>
      <c r="K54" s="2142">
        <f t="shared" si="36"/>
        <v>1022502</v>
      </c>
      <c r="L54" s="2142">
        <f t="shared" si="36"/>
        <v>865499</v>
      </c>
      <c r="M54" s="3576"/>
      <c r="N54" s="3576"/>
      <c r="O54" s="3571"/>
    </row>
    <row r="55" spans="1:16" ht="12.75" customHeight="1" thickBot="1">
      <c r="A55" s="3557"/>
      <c r="B55" s="2147" t="s">
        <v>341</v>
      </c>
      <c r="C55" s="3575"/>
      <c r="D55" s="1008">
        <f>E55+F55+G55+H55+I55+J55+K55+L55</f>
        <v>16006777</v>
      </c>
      <c r="E55" s="1012">
        <v>3792526</v>
      </c>
      <c r="F55" s="781">
        <f>4454000-2863250+358256+532994</f>
        <v>2482000</v>
      </c>
      <c r="G55" s="2145">
        <f>5090000-3499250-532994+1025255+1416989</f>
        <v>3500000</v>
      </c>
      <c r="H55" s="781">
        <v>1590750</v>
      </c>
      <c r="I55" s="781">
        <v>1730997</v>
      </c>
      <c r="J55" s="781">
        <f>1730997-708494</f>
        <v>1022503</v>
      </c>
      <c r="K55" s="781">
        <f>1730997-708495</f>
        <v>1022502</v>
      </c>
      <c r="L55" s="781">
        <v>865499</v>
      </c>
      <c r="M55" s="3248"/>
      <c r="N55" s="3248"/>
      <c r="O55" s="3572"/>
    </row>
    <row r="56" spans="1:16" ht="11.25" hidden="1" customHeight="1" thickBot="1">
      <c r="A56" s="804"/>
      <c r="B56" s="805" t="s">
        <v>20</v>
      </c>
      <c r="C56" s="806"/>
      <c r="D56" s="1085">
        <f>E56+F56+G56+H56+I56+J56+K56+L56</f>
        <v>0</v>
      </c>
      <c r="E56" s="807"/>
      <c r="F56" s="807"/>
      <c r="G56" s="807"/>
      <c r="H56" s="807"/>
      <c r="I56" s="807"/>
      <c r="J56" s="807"/>
      <c r="K56" s="807"/>
      <c r="L56" s="807"/>
      <c r="M56" s="808"/>
      <c r="N56" s="808"/>
      <c r="O56" s="809"/>
    </row>
    <row r="57" spans="1:16" ht="51" customHeight="1">
      <c r="A57" s="3080" t="s">
        <v>65</v>
      </c>
      <c r="B57" s="2425" t="s">
        <v>522</v>
      </c>
      <c r="C57" s="2050" t="s">
        <v>81</v>
      </c>
      <c r="D57" s="826"/>
      <c r="E57" s="1903"/>
      <c r="F57" s="828"/>
      <c r="G57" s="828"/>
      <c r="H57" s="828"/>
      <c r="I57" s="827"/>
      <c r="J57" s="827"/>
      <c r="K57" s="827"/>
      <c r="L57" s="827"/>
      <c r="M57" s="829"/>
      <c r="N57" s="829"/>
      <c r="O57" s="3188" t="s">
        <v>362</v>
      </c>
    </row>
    <row r="58" spans="1:16" ht="15.75" customHeight="1">
      <c r="A58" s="3080"/>
      <c r="B58" s="2002" t="s">
        <v>10</v>
      </c>
      <c r="C58" s="2003"/>
      <c r="D58" s="2004">
        <f>+D59+D61</f>
        <v>1016020</v>
      </c>
      <c r="E58" s="2004">
        <f>+E59+E61</f>
        <v>49100</v>
      </c>
      <c r="F58" s="2004">
        <f>+F59+F61</f>
        <v>0</v>
      </c>
      <c r="G58" s="2004">
        <f t="shared" ref="G58:I58" si="37">+G59+G61</f>
        <v>443730</v>
      </c>
      <c r="H58" s="2004">
        <f t="shared" si="37"/>
        <v>344790</v>
      </c>
      <c r="I58" s="2004">
        <f t="shared" si="37"/>
        <v>178400</v>
      </c>
      <c r="J58" s="2004">
        <v>0</v>
      </c>
      <c r="K58" s="2004">
        <v>0</v>
      </c>
      <c r="L58" s="2004">
        <v>0</v>
      </c>
      <c r="M58" s="2005">
        <f>+M59+M61</f>
        <v>966920</v>
      </c>
      <c r="N58" s="2005">
        <f>+N59+N61</f>
        <v>966920</v>
      </c>
      <c r="O58" s="3189"/>
      <c r="P58" s="329" t="s">
        <v>439</v>
      </c>
    </row>
    <row r="59" spans="1:16" ht="12.75" customHeight="1">
      <c r="A59" s="3080"/>
      <c r="B59" s="2006" t="s">
        <v>24</v>
      </c>
      <c r="C59" s="3040" t="s">
        <v>218</v>
      </c>
      <c r="D59" s="2007">
        <f>+D60</f>
        <v>174504</v>
      </c>
      <c r="E59" s="1447">
        <f>+E60</f>
        <v>29465</v>
      </c>
      <c r="F59" s="1447">
        <f>+F60</f>
        <v>0</v>
      </c>
      <c r="G59" s="1447">
        <f>+G60</f>
        <v>66560</v>
      </c>
      <c r="H59" s="1447">
        <f t="shared" ref="H59:I59" si="38">+H60</f>
        <v>51719</v>
      </c>
      <c r="I59" s="1447">
        <f t="shared" si="38"/>
        <v>26760</v>
      </c>
      <c r="J59" s="2013">
        <v>0</v>
      </c>
      <c r="K59" s="2013">
        <v>0</v>
      </c>
      <c r="L59" s="2013">
        <v>0</v>
      </c>
      <c r="M59" s="2008">
        <f>+M60</f>
        <v>145039</v>
      </c>
      <c r="N59" s="2008">
        <f>+N60</f>
        <v>145039</v>
      </c>
      <c r="O59" s="3189"/>
    </row>
    <row r="60" spans="1:16" ht="12.75" customHeight="1">
      <c r="A60" s="3080"/>
      <c r="B60" s="2009" t="s">
        <v>12</v>
      </c>
      <c r="C60" s="3100"/>
      <c r="D60" s="1016">
        <f>E60+F60+G60+H60+I60+J60+K60+L60</f>
        <v>174504</v>
      </c>
      <c r="E60" s="1016">
        <v>29465</v>
      </c>
      <c r="F60" s="1062">
        <f>16229-16229</f>
        <v>0</v>
      </c>
      <c r="G60" s="1062">
        <f>53796+12764</f>
        <v>66560</v>
      </c>
      <c r="H60" s="1062">
        <v>51719</v>
      </c>
      <c r="I60" s="1062">
        <v>26760</v>
      </c>
      <c r="J60" s="2013">
        <v>0</v>
      </c>
      <c r="K60" s="2013">
        <v>0</v>
      </c>
      <c r="L60" s="2013">
        <v>0</v>
      </c>
      <c r="M60" s="2473">
        <f>SUM(F60:K60)</f>
        <v>145039</v>
      </c>
      <c r="N60" s="2473">
        <f>SUM(G60:L60)</f>
        <v>145039</v>
      </c>
      <c r="O60" s="3189"/>
    </row>
    <row r="61" spans="1:16" ht="14.25" customHeight="1">
      <c r="A61" s="3080"/>
      <c r="B61" s="2011" t="s">
        <v>18</v>
      </c>
      <c r="C61" s="3100"/>
      <c r="D61" s="2007">
        <f>+D62</f>
        <v>841516</v>
      </c>
      <c r="E61" s="1447">
        <f>+E62</f>
        <v>19635</v>
      </c>
      <c r="F61" s="1447">
        <f>+F62</f>
        <v>0</v>
      </c>
      <c r="G61" s="1447">
        <f t="shared" ref="G61:I61" si="39">+G62</f>
        <v>377170</v>
      </c>
      <c r="H61" s="1447">
        <f t="shared" si="39"/>
        <v>293071</v>
      </c>
      <c r="I61" s="1447">
        <f t="shared" si="39"/>
        <v>151640</v>
      </c>
      <c r="J61" s="2013">
        <v>0</v>
      </c>
      <c r="K61" s="2013">
        <v>0</v>
      </c>
      <c r="L61" s="2013">
        <v>0</v>
      </c>
      <c r="M61" s="2008">
        <f>+M62</f>
        <v>821881</v>
      </c>
      <c r="N61" s="2008">
        <f>+N62</f>
        <v>821881</v>
      </c>
      <c r="O61" s="3189"/>
    </row>
    <row r="62" spans="1:16" ht="12.75" customHeight="1">
      <c r="A62" s="3080"/>
      <c r="B62" s="283" t="s">
        <v>21</v>
      </c>
      <c r="C62" s="3075"/>
      <c r="D62" s="1016">
        <f>E62+F62+G62+H62+I62+J62+K62+L62</f>
        <v>841516</v>
      </c>
      <c r="E62" s="1984">
        <v>19635</v>
      </c>
      <c r="F62" s="2027">
        <f>91961-91961</f>
        <v>0</v>
      </c>
      <c r="G62" s="2027">
        <f>304844+72326</f>
        <v>377170</v>
      </c>
      <c r="H62" s="2027">
        <v>293071</v>
      </c>
      <c r="I62" s="2027">
        <v>151640</v>
      </c>
      <c r="J62" s="2013">
        <v>0</v>
      </c>
      <c r="K62" s="2013">
        <v>0</v>
      </c>
      <c r="L62" s="2013">
        <v>0</v>
      </c>
      <c r="M62" s="2473">
        <f>SUM(F62:K62)</f>
        <v>821881</v>
      </c>
      <c r="N62" s="2473">
        <f>SUM(G62:L62)</f>
        <v>821881</v>
      </c>
      <c r="O62" s="3598"/>
    </row>
    <row r="63" spans="1:16" ht="12" customHeight="1">
      <c r="A63" s="3080"/>
      <c r="B63" s="2002" t="s">
        <v>22</v>
      </c>
      <c r="C63" s="2003"/>
      <c r="D63" s="2004">
        <f t="shared" ref="D63:I64" si="40">+D64</f>
        <v>841516</v>
      </c>
      <c r="E63" s="103">
        <f t="shared" si="40"/>
        <v>0</v>
      </c>
      <c r="F63" s="103">
        <f t="shared" si="40"/>
        <v>91961</v>
      </c>
      <c r="G63" s="103">
        <f t="shared" si="40"/>
        <v>304844</v>
      </c>
      <c r="H63" s="103">
        <f t="shared" si="40"/>
        <v>293071</v>
      </c>
      <c r="I63" s="103">
        <f t="shared" si="40"/>
        <v>151640</v>
      </c>
      <c r="J63" s="2004">
        <v>0</v>
      </c>
      <c r="K63" s="2004">
        <v>0</v>
      </c>
      <c r="L63" s="2004">
        <v>0</v>
      </c>
      <c r="M63" s="3054"/>
      <c r="N63" s="3054"/>
      <c r="O63" s="3189" t="s">
        <v>224</v>
      </c>
    </row>
    <row r="64" spans="1:16" ht="13.5" customHeight="1">
      <c r="A64" s="3080"/>
      <c r="B64" s="2011" t="s">
        <v>18</v>
      </c>
      <c r="C64" s="3127" t="s">
        <v>221</v>
      </c>
      <c r="D64" s="2007">
        <f t="shared" si="40"/>
        <v>841516</v>
      </c>
      <c r="E64" s="2013">
        <f t="shared" si="40"/>
        <v>0</v>
      </c>
      <c r="F64" s="2013">
        <f t="shared" si="40"/>
        <v>91961</v>
      </c>
      <c r="G64" s="2013">
        <f t="shared" si="40"/>
        <v>304844</v>
      </c>
      <c r="H64" s="2013">
        <f t="shared" si="40"/>
        <v>293071</v>
      </c>
      <c r="I64" s="2013">
        <f t="shared" si="40"/>
        <v>151640</v>
      </c>
      <c r="J64" s="2013">
        <v>0</v>
      </c>
      <c r="K64" s="2013">
        <v>0</v>
      </c>
      <c r="L64" s="2013">
        <v>0</v>
      </c>
      <c r="M64" s="3028"/>
      <c r="N64" s="3028"/>
      <c r="O64" s="3189"/>
    </row>
    <row r="65" spans="1:16" ht="13.5" customHeight="1" thickBot="1">
      <c r="A65" s="3081"/>
      <c r="B65" s="232" t="s">
        <v>21</v>
      </c>
      <c r="C65" s="3074"/>
      <c r="D65" s="1016">
        <f>E65+F65+G65+H65+I65+J65+K65+L65</f>
        <v>841516</v>
      </c>
      <c r="E65" s="1016">
        <v>0</v>
      </c>
      <c r="F65" s="2457">
        <v>91961</v>
      </c>
      <c r="G65" s="2457">
        <v>304844</v>
      </c>
      <c r="H65" s="2457">
        <v>293071</v>
      </c>
      <c r="I65" s="2457">
        <v>151640</v>
      </c>
      <c r="J65" s="2457">
        <v>0</v>
      </c>
      <c r="K65" s="2457">
        <v>0</v>
      </c>
      <c r="L65" s="2457">
        <v>0</v>
      </c>
      <c r="M65" s="3029"/>
      <c r="N65" s="3029"/>
      <c r="O65" s="3190"/>
    </row>
    <row r="66" spans="1:16" ht="50.25" customHeight="1">
      <c r="A66" s="3079" t="s">
        <v>66</v>
      </c>
      <c r="B66" s="2425" t="s">
        <v>387</v>
      </c>
      <c r="C66" s="2050" t="s">
        <v>172</v>
      </c>
      <c r="D66" s="826"/>
      <c r="E66" s="827"/>
      <c r="F66" s="828"/>
      <c r="G66" s="828"/>
      <c r="H66" s="828"/>
      <c r="I66" s="827"/>
      <c r="J66" s="827"/>
      <c r="K66" s="827"/>
      <c r="L66" s="827"/>
      <c r="M66" s="829"/>
      <c r="N66" s="829"/>
      <c r="O66" s="3188" t="s">
        <v>362</v>
      </c>
    </row>
    <row r="67" spans="1:16" ht="13.5" customHeight="1">
      <c r="A67" s="3080"/>
      <c r="B67" s="2002" t="s">
        <v>10</v>
      </c>
      <c r="C67" s="2003"/>
      <c r="D67" s="2004">
        <f>+D68+D70</f>
        <v>9980</v>
      </c>
      <c r="E67" s="2004">
        <f>+E68+E70</f>
        <v>0</v>
      </c>
      <c r="F67" s="2004">
        <f>+F68+F70</f>
        <v>3380</v>
      </c>
      <c r="G67" s="2004">
        <f t="shared" ref="G67:H67" si="41">+G68+G70</f>
        <v>3300</v>
      </c>
      <c r="H67" s="2004">
        <f t="shared" si="41"/>
        <v>3300</v>
      </c>
      <c r="I67" s="2004">
        <v>0</v>
      </c>
      <c r="J67" s="2004">
        <v>0</v>
      </c>
      <c r="K67" s="2004">
        <v>0</v>
      </c>
      <c r="L67" s="2004">
        <v>0</v>
      </c>
      <c r="M67" s="2005">
        <f>+M68+M70</f>
        <v>9980</v>
      </c>
      <c r="N67" s="2005">
        <f>+N68+N70</f>
        <v>6600</v>
      </c>
      <c r="O67" s="3189"/>
    </row>
    <row r="68" spans="1:16" ht="13.5" customHeight="1">
      <c r="A68" s="3080"/>
      <c r="B68" s="2006" t="s">
        <v>24</v>
      </c>
      <c r="C68" s="3040" t="s">
        <v>218</v>
      </c>
      <c r="D68" s="2007">
        <f>+D69</f>
        <v>1497</v>
      </c>
      <c r="E68" s="1447">
        <f>+E69</f>
        <v>0</v>
      </c>
      <c r="F68" s="1447">
        <f>+F69</f>
        <v>507</v>
      </c>
      <c r="G68" s="1447">
        <f t="shared" ref="G68:H68" si="42">+G69</f>
        <v>495</v>
      </c>
      <c r="H68" s="1447">
        <f t="shared" si="42"/>
        <v>495</v>
      </c>
      <c r="I68" s="2013">
        <v>0</v>
      </c>
      <c r="J68" s="2013">
        <v>0</v>
      </c>
      <c r="K68" s="2013">
        <v>0</v>
      </c>
      <c r="L68" s="2013">
        <v>0</v>
      </c>
      <c r="M68" s="2008">
        <f>+M69</f>
        <v>1497</v>
      </c>
      <c r="N68" s="2008">
        <f>+N69</f>
        <v>990</v>
      </c>
      <c r="O68" s="3189"/>
      <c r="P68" s="329" t="s">
        <v>439</v>
      </c>
    </row>
    <row r="69" spans="1:16" ht="13.5" customHeight="1">
      <c r="A69" s="3080"/>
      <c r="B69" s="2009" t="s">
        <v>12</v>
      </c>
      <c r="C69" s="3100"/>
      <c r="D69" s="1016">
        <f>E69+F69+G69+H69+I69+J69+K69+L69</f>
        <v>1497</v>
      </c>
      <c r="E69" s="1016">
        <v>0</v>
      </c>
      <c r="F69" s="1062">
        <v>507</v>
      </c>
      <c r="G69" s="1062">
        <v>495</v>
      </c>
      <c r="H69" s="1062">
        <v>495</v>
      </c>
      <c r="I69" s="2013">
        <v>0</v>
      </c>
      <c r="J69" s="2013">
        <v>0</v>
      </c>
      <c r="K69" s="2013">
        <v>0</v>
      </c>
      <c r="L69" s="2013">
        <v>0</v>
      </c>
      <c r="M69" s="2473">
        <f>SUM(F69:K69)</f>
        <v>1497</v>
      </c>
      <c r="N69" s="2473">
        <f>SUM(G69:L69)</f>
        <v>990</v>
      </c>
      <c r="O69" s="3189"/>
    </row>
    <row r="70" spans="1:16" ht="13.5" customHeight="1">
      <c r="A70" s="3080"/>
      <c r="B70" s="2011" t="s">
        <v>18</v>
      </c>
      <c r="C70" s="3100"/>
      <c r="D70" s="2007">
        <f>+D71</f>
        <v>8483</v>
      </c>
      <c r="E70" s="1447">
        <f>+E71</f>
        <v>0</v>
      </c>
      <c r="F70" s="1447">
        <f>+F71</f>
        <v>2873</v>
      </c>
      <c r="G70" s="1447">
        <f t="shared" ref="G70:H70" si="43">+G71</f>
        <v>2805</v>
      </c>
      <c r="H70" s="1447">
        <f t="shared" si="43"/>
        <v>2805</v>
      </c>
      <c r="I70" s="2013">
        <v>0</v>
      </c>
      <c r="J70" s="2013">
        <v>0</v>
      </c>
      <c r="K70" s="2013">
        <v>0</v>
      </c>
      <c r="L70" s="2013">
        <v>0</v>
      </c>
      <c r="M70" s="2008">
        <f>+M71</f>
        <v>8483</v>
      </c>
      <c r="N70" s="2008">
        <f>+N71</f>
        <v>5610</v>
      </c>
      <c r="O70" s="3189"/>
    </row>
    <row r="71" spans="1:16" ht="13.5" customHeight="1">
      <c r="A71" s="3080"/>
      <c r="B71" s="283" t="s">
        <v>21</v>
      </c>
      <c r="C71" s="3075"/>
      <c r="D71" s="1016">
        <f>E71+F71+G71+H71+I71+J71+K71+L71</f>
        <v>8483</v>
      </c>
      <c r="E71" s="1016">
        <v>0</v>
      </c>
      <c r="F71" s="1062">
        <v>2873</v>
      </c>
      <c r="G71" s="1062">
        <v>2805</v>
      </c>
      <c r="H71" s="1062">
        <v>2805</v>
      </c>
      <c r="I71" s="2013">
        <v>0</v>
      </c>
      <c r="J71" s="2013">
        <v>0</v>
      </c>
      <c r="K71" s="2013">
        <v>0</v>
      </c>
      <c r="L71" s="2013">
        <v>0</v>
      </c>
      <c r="M71" s="2473">
        <f>SUM(F71:K71)</f>
        <v>8483</v>
      </c>
      <c r="N71" s="2473">
        <f>SUM(G71:L71)</f>
        <v>5610</v>
      </c>
      <c r="O71" s="3598"/>
    </row>
    <row r="72" spans="1:16" ht="13.5" customHeight="1">
      <c r="A72" s="3080"/>
      <c r="B72" s="2002" t="s">
        <v>22</v>
      </c>
      <c r="C72" s="2003"/>
      <c r="D72" s="2004">
        <f t="shared" ref="D72:H73" si="44">+D73</f>
        <v>8483</v>
      </c>
      <c r="E72" s="2004">
        <f t="shared" si="44"/>
        <v>0</v>
      </c>
      <c r="F72" s="2004">
        <f t="shared" si="44"/>
        <v>2873</v>
      </c>
      <c r="G72" s="2004">
        <f t="shared" si="44"/>
        <v>2805</v>
      </c>
      <c r="H72" s="2004">
        <f t="shared" si="44"/>
        <v>2805</v>
      </c>
      <c r="I72" s="2004">
        <v>0</v>
      </c>
      <c r="J72" s="2004">
        <v>0</v>
      </c>
      <c r="K72" s="2004">
        <v>0</v>
      </c>
      <c r="L72" s="2004">
        <v>0</v>
      </c>
      <c r="M72" s="3054"/>
      <c r="N72" s="3054"/>
      <c r="O72" s="3189" t="s">
        <v>224</v>
      </c>
    </row>
    <row r="73" spans="1:16" ht="13.5" customHeight="1">
      <c r="A73" s="3080"/>
      <c r="B73" s="2011" t="s">
        <v>18</v>
      </c>
      <c r="C73" s="3127" t="s">
        <v>221</v>
      </c>
      <c r="D73" s="2007">
        <f t="shared" si="44"/>
        <v>8483</v>
      </c>
      <c r="E73" s="2013">
        <f t="shared" si="44"/>
        <v>0</v>
      </c>
      <c r="F73" s="2013">
        <f t="shared" si="44"/>
        <v>2873</v>
      </c>
      <c r="G73" s="2013">
        <f t="shared" si="44"/>
        <v>2805</v>
      </c>
      <c r="H73" s="2013">
        <f t="shared" si="44"/>
        <v>2805</v>
      </c>
      <c r="I73" s="2013">
        <v>0</v>
      </c>
      <c r="J73" s="2013">
        <v>0</v>
      </c>
      <c r="K73" s="2013">
        <v>0</v>
      </c>
      <c r="L73" s="2013">
        <v>0</v>
      </c>
      <c r="M73" s="3028"/>
      <c r="N73" s="3028"/>
      <c r="O73" s="3189"/>
    </row>
    <row r="74" spans="1:16" ht="13.5" customHeight="1" thickBot="1">
      <c r="A74" s="3081"/>
      <c r="B74" s="232" t="s">
        <v>21</v>
      </c>
      <c r="C74" s="3074"/>
      <c r="D74" s="2195">
        <f>E74+F74+G74+H74+I74+J74+K74+L74</f>
        <v>8483</v>
      </c>
      <c r="E74" s="2195">
        <v>0</v>
      </c>
      <c r="F74" s="2457">
        <v>2873</v>
      </c>
      <c r="G74" s="2457">
        <v>2805</v>
      </c>
      <c r="H74" s="2457">
        <v>2805</v>
      </c>
      <c r="I74" s="2457">
        <v>0</v>
      </c>
      <c r="J74" s="2457">
        <v>0</v>
      </c>
      <c r="K74" s="2457">
        <v>0</v>
      </c>
      <c r="L74" s="2457">
        <v>0</v>
      </c>
      <c r="M74" s="3029"/>
      <c r="N74" s="3029"/>
      <c r="O74" s="3190"/>
    </row>
    <row r="75" spans="1:16" s="810" customFormat="1" ht="36" customHeight="1">
      <c r="A75" s="1500" t="s">
        <v>169</v>
      </c>
      <c r="B75" s="1501"/>
      <c r="C75" s="1501"/>
      <c r="D75" s="1501"/>
      <c r="E75" s="1501"/>
      <c r="F75" s="1501"/>
      <c r="G75" s="1501"/>
      <c r="H75" s="1501"/>
      <c r="I75" s="1501"/>
      <c r="J75" s="1501"/>
      <c r="K75" s="1501"/>
      <c r="L75" s="1501"/>
      <c r="M75" s="1502"/>
      <c r="N75" s="1502"/>
      <c r="O75" s="1503"/>
    </row>
    <row r="76" spans="1:16" s="2051" customFormat="1" ht="19.5" customHeight="1">
      <c r="A76" s="1504"/>
      <c r="B76" s="759" t="s">
        <v>76</v>
      </c>
      <c r="C76" s="223"/>
      <c r="D76" s="224">
        <f>+D77+D78</f>
        <v>144060800</v>
      </c>
      <c r="E76" s="1428">
        <f>+E77+E78</f>
        <v>0</v>
      </c>
      <c r="F76" s="224">
        <f t="shared" ref="F76:N76" si="45">+F77+F78</f>
        <v>4004443</v>
      </c>
      <c r="G76" s="224">
        <f t="shared" si="45"/>
        <v>18864240</v>
      </c>
      <c r="H76" s="224">
        <f t="shared" si="45"/>
        <v>60161157</v>
      </c>
      <c r="I76" s="224">
        <f t="shared" si="45"/>
        <v>20384000</v>
      </c>
      <c r="J76" s="224">
        <f t="shared" si="45"/>
        <v>40060800</v>
      </c>
      <c r="K76" s="224">
        <f t="shared" si="45"/>
        <v>586160</v>
      </c>
      <c r="L76" s="224">
        <f t="shared" si="45"/>
        <v>0</v>
      </c>
      <c r="M76" s="152">
        <f t="shared" ref="M76" si="46">+M77+M78</f>
        <v>22868683</v>
      </c>
      <c r="N76" s="152">
        <f t="shared" si="45"/>
        <v>140056357</v>
      </c>
      <c r="O76" s="17"/>
    </row>
    <row r="77" spans="1:16" s="2051" customFormat="1" ht="12.75" customHeight="1">
      <c r="A77" s="764"/>
      <c r="B77" s="1429" t="s">
        <v>77</v>
      </c>
      <c r="C77" s="2492"/>
      <c r="D77" s="2493">
        <f>D102</f>
        <v>0</v>
      </c>
      <c r="E77" s="2494">
        <f t="shared" ref="E77:L77" si="47">E102</f>
        <v>0</v>
      </c>
      <c r="F77" s="2493">
        <f t="shared" si="47"/>
        <v>0</v>
      </c>
      <c r="G77" s="2493">
        <f t="shared" si="47"/>
        <v>0</v>
      </c>
      <c r="H77" s="2493">
        <f t="shared" si="47"/>
        <v>0</v>
      </c>
      <c r="I77" s="2493">
        <f t="shared" si="47"/>
        <v>0</v>
      </c>
      <c r="J77" s="2493">
        <f t="shared" si="47"/>
        <v>0</v>
      </c>
      <c r="K77" s="2493">
        <f t="shared" si="47"/>
        <v>0</v>
      </c>
      <c r="L77" s="2493">
        <f t="shared" si="47"/>
        <v>0</v>
      </c>
      <c r="M77" s="2495">
        <f>SUM(E77:G77)</f>
        <v>0</v>
      </c>
      <c r="N77" s="2495">
        <f>SUM(G77:H77)</f>
        <v>0</v>
      </c>
      <c r="O77" s="17"/>
    </row>
    <row r="78" spans="1:16" s="2051" customFormat="1" ht="15" customHeight="1">
      <c r="A78" s="764"/>
      <c r="B78" s="1430" t="s">
        <v>9</v>
      </c>
      <c r="C78" s="2496"/>
      <c r="D78" s="2497">
        <f>+D106+D93</f>
        <v>144060800</v>
      </c>
      <c r="E78" s="2498">
        <f t="shared" ref="E78:L78" si="48">+E106+E93</f>
        <v>0</v>
      </c>
      <c r="F78" s="2497">
        <f t="shared" si="48"/>
        <v>4004443</v>
      </c>
      <c r="G78" s="2497">
        <f t="shared" si="48"/>
        <v>18864240</v>
      </c>
      <c r="H78" s="2497">
        <f t="shared" si="48"/>
        <v>60161157</v>
      </c>
      <c r="I78" s="2497">
        <f t="shared" si="48"/>
        <v>20384000</v>
      </c>
      <c r="J78" s="2497">
        <f t="shared" si="48"/>
        <v>40060800</v>
      </c>
      <c r="K78" s="2497">
        <f t="shared" si="48"/>
        <v>586160</v>
      </c>
      <c r="L78" s="2497">
        <f t="shared" si="48"/>
        <v>0</v>
      </c>
      <c r="M78" s="2495">
        <f>SUM(E78:G78)</f>
        <v>22868683</v>
      </c>
      <c r="N78" s="2495">
        <f>SUM(G78:K78)</f>
        <v>140056357</v>
      </c>
      <c r="O78" s="17"/>
      <c r="P78" s="331"/>
    </row>
    <row r="79" spans="1:16" ht="14.25" customHeight="1">
      <c r="A79" s="764"/>
      <c r="B79" s="715" t="s">
        <v>10</v>
      </c>
      <c r="C79" s="2499"/>
      <c r="D79" s="2500">
        <f>+D80</f>
        <v>144060800</v>
      </c>
      <c r="E79" s="2501">
        <f t="shared" ref="E79:L79" si="49">+E80</f>
        <v>0</v>
      </c>
      <c r="F79" s="2502">
        <f t="shared" si="49"/>
        <v>4004443</v>
      </c>
      <c r="G79" s="2502">
        <f t="shared" si="49"/>
        <v>18864240</v>
      </c>
      <c r="H79" s="2502">
        <f t="shared" si="49"/>
        <v>60161157</v>
      </c>
      <c r="I79" s="2502">
        <f t="shared" si="49"/>
        <v>20384000</v>
      </c>
      <c r="J79" s="2502">
        <f t="shared" si="49"/>
        <v>40060800</v>
      </c>
      <c r="K79" s="2502">
        <f t="shared" si="49"/>
        <v>586160</v>
      </c>
      <c r="L79" s="2502">
        <f t="shared" si="49"/>
        <v>0</v>
      </c>
      <c r="M79" s="1969">
        <f>+M80</f>
        <v>144060800</v>
      </c>
      <c r="N79" s="1969">
        <f>+N80</f>
        <v>140056357</v>
      </c>
      <c r="O79" s="17"/>
      <c r="P79" s="553"/>
    </row>
    <row r="80" spans="1:16" ht="12.95" customHeight="1">
      <c r="A80" s="1505"/>
      <c r="B80" s="760" t="s">
        <v>11</v>
      </c>
      <c r="C80" s="2503"/>
      <c r="D80" s="2504">
        <f>+D84+D85+D81</f>
        <v>144060800</v>
      </c>
      <c r="E80" s="2505">
        <f t="shared" ref="E80:L80" si="50">+E84+E85+E81</f>
        <v>0</v>
      </c>
      <c r="F80" s="2504">
        <f t="shared" si="50"/>
        <v>4004443</v>
      </c>
      <c r="G80" s="2504">
        <f t="shared" si="50"/>
        <v>18864240</v>
      </c>
      <c r="H80" s="2504">
        <f t="shared" si="50"/>
        <v>60161157</v>
      </c>
      <c r="I80" s="2504">
        <f t="shared" si="50"/>
        <v>20384000</v>
      </c>
      <c r="J80" s="2504">
        <f t="shared" si="50"/>
        <v>40060800</v>
      </c>
      <c r="K80" s="2504">
        <f t="shared" si="50"/>
        <v>586160</v>
      </c>
      <c r="L80" s="2504">
        <f t="shared" si="50"/>
        <v>0</v>
      </c>
      <c r="M80" s="2506">
        <f>+M84+M85</f>
        <v>144060800</v>
      </c>
      <c r="N80" s="2506">
        <f>+N84+N85</f>
        <v>140056357</v>
      </c>
      <c r="O80" s="17"/>
    </row>
    <row r="81" spans="1:15" ht="12.95" hidden="1" customHeight="1">
      <c r="A81" s="1506"/>
      <c r="B81" s="761" t="s">
        <v>12</v>
      </c>
      <c r="C81" s="2507"/>
      <c r="D81" s="2508">
        <f>D103</f>
        <v>0</v>
      </c>
      <c r="E81" s="2509">
        <f t="shared" ref="E81:L81" si="51">E103</f>
        <v>0</v>
      </c>
      <c r="F81" s="2508">
        <f t="shared" si="51"/>
        <v>0</v>
      </c>
      <c r="G81" s="2508">
        <f t="shared" si="51"/>
        <v>0</v>
      </c>
      <c r="H81" s="2508">
        <f t="shared" si="51"/>
        <v>0</v>
      </c>
      <c r="I81" s="2508">
        <f t="shared" si="51"/>
        <v>0</v>
      </c>
      <c r="J81" s="2508">
        <f t="shared" si="51"/>
        <v>0</v>
      </c>
      <c r="K81" s="2508">
        <f t="shared" si="51"/>
        <v>0</v>
      </c>
      <c r="L81" s="2508">
        <f t="shared" si="51"/>
        <v>0</v>
      </c>
      <c r="M81" s="2510"/>
      <c r="N81" s="2510"/>
      <c r="O81" s="17"/>
    </row>
    <row r="82" spans="1:15" ht="13.5" hidden="1" customHeight="1">
      <c r="A82" s="1506"/>
      <c r="B82" s="1101" t="s">
        <v>13</v>
      </c>
      <c r="C82" s="2511"/>
      <c r="D82" s="2512">
        <v>0</v>
      </c>
      <c r="E82" s="2513">
        <v>0</v>
      </c>
      <c r="F82" s="2512"/>
      <c r="G82" s="2512"/>
      <c r="H82" s="2512"/>
      <c r="I82" s="2512"/>
      <c r="J82" s="2512"/>
      <c r="K82" s="2512"/>
      <c r="L82" s="2512"/>
      <c r="M82" s="2510"/>
      <c r="N82" s="2510"/>
      <c r="O82" s="17"/>
    </row>
    <row r="83" spans="1:15" ht="12.75" hidden="1" customHeight="1">
      <c r="A83" s="1506"/>
      <c r="B83" s="762" t="s">
        <v>13</v>
      </c>
      <c r="C83" s="2511"/>
      <c r="D83" s="2512">
        <v>0</v>
      </c>
      <c r="E83" s="2513">
        <v>0</v>
      </c>
      <c r="F83" s="2512"/>
      <c r="G83" s="2512"/>
      <c r="H83" s="2512"/>
      <c r="I83" s="2512"/>
      <c r="J83" s="2512"/>
      <c r="K83" s="2512"/>
      <c r="L83" s="2512"/>
      <c r="M83" s="2510"/>
      <c r="N83" s="2510"/>
      <c r="O83" s="17"/>
    </row>
    <row r="84" spans="1:15" s="810" customFormat="1" ht="12.75" customHeight="1">
      <c r="A84" s="1507"/>
      <c r="B84" s="1431" t="s">
        <v>14</v>
      </c>
      <c r="C84" s="2511"/>
      <c r="D84" s="2512">
        <f>+D95</f>
        <v>144060800</v>
      </c>
      <c r="E84" s="2514">
        <f t="shared" ref="E84:L84" si="52">+E95</f>
        <v>0</v>
      </c>
      <c r="F84" s="2512">
        <f t="shared" si="52"/>
        <v>4004443</v>
      </c>
      <c r="G84" s="2512">
        <f t="shared" si="52"/>
        <v>18864240</v>
      </c>
      <c r="H84" s="2512">
        <f t="shared" si="52"/>
        <v>60161157</v>
      </c>
      <c r="I84" s="2512">
        <f t="shared" si="52"/>
        <v>20384000</v>
      </c>
      <c r="J84" s="2512">
        <f t="shared" si="52"/>
        <v>40060800</v>
      </c>
      <c r="K84" s="2512">
        <f t="shared" si="52"/>
        <v>586160</v>
      </c>
      <c r="L84" s="2512">
        <f t="shared" si="52"/>
        <v>0</v>
      </c>
      <c r="M84" s="2510">
        <f>SUM(E84:L85)</f>
        <v>144060800</v>
      </c>
      <c r="N84" s="2510">
        <f>SUM(G84:L84)</f>
        <v>140056357</v>
      </c>
      <c r="O84" s="818"/>
    </row>
    <row r="85" spans="1:15" ht="12.75" hidden="1" customHeight="1">
      <c r="A85" s="1506"/>
      <c r="B85" s="761" t="s">
        <v>62</v>
      </c>
      <c r="C85" s="2515"/>
      <c r="D85" s="2508">
        <f>+D108+D96</f>
        <v>0</v>
      </c>
      <c r="E85" s="2509">
        <f>+E108+E96</f>
        <v>0</v>
      </c>
      <c r="F85" s="2508"/>
      <c r="G85" s="2508"/>
      <c r="H85" s="2508"/>
      <c r="I85" s="2508"/>
      <c r="J85" s="2508"/>
      <c r="K85" s="2508"/>
      <c r="L85" s="2508"/>
      <c r="M85" s="2510">
        <f>SUM(E85:H85)</f>
        <v>0</v>
      </c>
      <c r="N85" s="2510">
        <f>SUM(F85:I85)</f>
        <v>0</v>
      </c>
      <c r="O85" s="17"/>
    </row>
    <row r="86" spans="1:15" ht="15" customHeight="1">
      <c r="A86" s="764"/>
      <c r="B86" s="715" t="s">
        <v>22</v>
      </c>
      <c r="C86" s="2003"/>
      <c r="D86" s="2105">
        <f>+D87</f>
        <v>144060800</v>
      </c>
      <c r="E86" s="2106">
        <f t="shared" ref="E86:L86" si="53">+E87</f>
        <v>0</v>
      </c>
      <c r="F86" s="2105">
        <f t="shared" si="53"/>
        <v>4004443</v>
      </c>
      <c r="G86" s="2105">
        <f t="shared" si="53"/>
        <v>18864240</v>
      </c>
      <c r="H86" s="2105">
        <f t="shared" si="53"/>
        <v>60161157</v>
      </c>
      <c r="I86" s="2105">
        <f t="shared" si="53"/>
        <v>20384000</v>
      </c>
      <c r="J86" s="2105">
        <f t="shared" si="53"/>
        <v>40060800</v>
      </c>
      <c r="K86" s="2105">
        <f t="shared" si="53"/>
        <v>586160</v>
      </c>
      <c r="L86" s="2105">
        <f t="shared" si="53"/>
        <v>0</v>
      </c>
      <c r="M86" s="3549" t="s">
        <v>23</v>
      </c>
      <c r="N86" s="3549" t="s">
        <v>23</v>
      </c>
      <c r="O86" s="17"/>
    </row>
    <row r="87" spans="1:15" ht="12" customHeight="1">
      <c r="A87" s="1509"/>
      <c r="B87" s="760" t="s">
        <v>11</v>
      </c>
      <c r="C87" s="2503"/>
      <c r="D87" s="2504">
        <f>SUM(D89:D91)</f>
        <v>144060800</v>
      </c>
      <c r="E87" s="2505">
        <f>SUM(E89:E91)</f>
        <v>0</v>
      </c>
      <c r="F87" s="2504">
        <f t="shared" ref="F87:L87" si="54">SUM(F89:F91)</f>
        <v>4004443</v>
      </c>
      <c r="G87" s="2504">
        <f t="shared" si="54"/>
        <v>18864240</v>
      </c>
      <c r="H87" s="2504">
        <f t="shared" si="54"/>
        <v>60161157</v>
      </c>
      <c r="I87" s="2504">
        <f t="shared" si="54"/>
        <v>20384000</v>
      </c>
      <c r="J87" s="2504">
        <f t="shared" si="54"/>
        <v>40060800</v>
      </c>
      <c r="K87" s="2504">
        <f t="shared" si="54"/>
        <v>586160</v>
      </c>
      <c r="L87" s="2504">
        <f t="shared" si="54"/>
        <v>0</v>
      </c>
      <c r="M87" s="3550"/>
      <c r="N87" s="3550"/>
      <c r="O87" s="17"/>
    </row>
    <row r="88" spans="1:15" ht="13.5" hidden="1" customHeight="1">
      <c r="A88" s="1506"/>
      <c r="B88" s="762" t="s">
        <v>13</v>
      </c>
      <c r="C88" s="2515"/>
      <c r="D88" s="2516">
        <v>0</v>
      </c>
      <c r="E88" s="2517">
        <v>0</v>
      </c>
      <c r="F88" s="2508"/>
      <c r="G88" s="2508"/>
      <c r="H88" s="2508"/>
      <c r="I88" s="2508"/>
      <c r="J88" s="2508"/>
      <c r="K88" s="2508"/>
      <c r="L88" s="2508"/>
      <c r="M88" s="3550"/>
      <c r="N88" s="3550"/>
      <c r="O88" s="17"/>
    </row>
    <row r="89" spans="1:15" ht="12.95" hidden="1" customHeight="1">
      <c r="A89" s="1506"/>
      <c r="B89" s="762" t="s">
        <v>13</v>
      </c>
      <c r="C89" s="2507"/>
      <c r="D89" s="2516">
        <v>0</v>
      </c>
      <c r="E89" s="2517">
        <v>0</v>
      </c>
      <c r="F89" s="2516"/>
      <c r="G89" s="2516"/>
      <c r="H89" s="2516"/>
      <c r="I89" s="2516"/>
      <c r="J89" s="2516"/>
      <c r="K89" s="2516"/>
      <c r="L89" s="2516"/>
      <c r="M89" s="3550"/>
      <c r="N89" s="3550"/>
      <c r="O89" s="17"/>
    </row>
    <row r="90" spans="1:15" ht="13.5" customHeight="1" thickBot="1">
      <c r="A90" s="1506"/>
      <c r="B90" s="761" t="s">
        <v>14</v>
      </c>
      <c r="C90" s="2507"/>
      <c r="D90" s="2516">
        <f>+D99</f>
        <v>144060800</v>
      </c>
      <c r="E90" s="2517">
        <f t="shared" ref="E90:L90" si="55">+E99</f>
        <v>0</v>
      </c>
      <c r="F90" s="2516">
        <f t="shared" si="55"/>
        <v>4004443</v>
      </c>
      <c r="G90" s="2516">
        <f t="shared" si="55"/>
        <v>18864240</v>
      </c>
      <c r="H90" s="2516">
        <f t="shared" si="55"/>
        <v>60161157</v>
      </c>
      <c r="I90" s="2516">
        <f t="shared" si="55"/>
        <v>20384000</v>
      </c>
      <c r="J90" s="2516">
        <f t="shared" si="55"/>
        <v>40060800</v>
      </c>
      <c r="K90" s="2516">
        <f t="shared" si="55"/>
        <v>586160</v>
      </c>
      <c r="L90" s="2516">
        <f t="shared" si="55"/>
        <v>0</v>
      </c>
      <c r="M90" s="3550"/>
      <c r="N90" s="3550"/>
      <c r="O90" s="17"/>
    </row>
    <row r="91" spans="1:15" ht="14.25" hidden="1" customHeight="1" thickBot="1">
      <c r="A91" s="1510"/>
      <c r="B91" s="1069" t="s">
        <v>62</v>
      </c>
      <c r="C91" s="2518"/>
      <c r="D91" s="2519">
        <f>+D111+D100</f>
        <v>0</v>
      </c>
      <c r="E91" s="2519">
        <f>+E111+E100</f>
        <v>0</v>
      </c>
      <c r="F91" s="2519"/>
      <c r="G91" s="2519"/>
      <c r="H91" s="2519"/>
      <c r="I91" s="2519"/>
      <c r="J91" s="2519"/>
      <c r="K91" s="2519"/>
      <c r="L91" s="2519"/>
      <c r="M91" s="3551"/>
      <c r="N91" s="3551"/>
      <c r="O91" s="1511"/>
    </row>
    <row r="92" spans="1:15" ht="41.25" customHeight="1">
      <c r="A92" s="3079" t="s">
        <v>63</v>
      </c>
      <c r="B92" s="2699" t="s">
        <v>359</v>
      </c>
      <c r="C92" s="1432" t="s">
        <v>81</v>
      </c>
      <c r="D92" s="1432"/>
      <c r="E92" s="61"/>
      <c r="F92" s="1433"/>
      <c r="G92" s="1433"/>
      <c r="H92" s="1433"/>
      <c r="I92" s="1433"/>
      <c r="J92" s="1433"/>
      <c r="K92" s="1433"/>
      <c r="L92" s="1433"/>
      <c r="M92" s="1434"/>
      <c r="N92" s="1434"/>
      <c r="O92" s="3559" t="s">
        <v>488</v>
      </c>
    </row>
    <row r="93" spans="1:15" ht="15.75" customHeight="1">
      <c r="A93" s="3080"/>
      <c r="B93" s="525" t="s">
        <v>10</v>
      </c>
      <c r="C93" s="2520"/>
      <c r="D93" s="2105">
        <f>+D94</f>
        <v>144060800</v>
      </c>
      <c r="E93" s="2105">
        <f t="shared" ref="E93:L93" si="56">+E94</f>
        <v>0</v>
      </c>
      <c r="F93" s="2105">
        <f t="shared" si="56"/>
        <v>4004443</v>
      </c>
      <c r="G93" s="2105">
        <f t="shared" si="56"/>
        <v>18864240</v>
      </c>
      <c r="H93" s="2105">
        <f t="shared" si="56"/>
        <v>60161157</v>
      </c>
      <c r="I93" s="2105">
        <f t="shared" si="56"/>
        <v>20384000</v>
      </c>
      <c r="J93" s="2105">
        <f t="shared" si="56"/>
        <v>40060800</v>
      </c>
      <c r="K93" s="2105">
        <f t="shared" si="56"/>
        <v>586160</v>
      </c>
      <c r="L93" s="2105">
        <f t="shared" si="56"/>
        <v>0</v>
      </c>
      <c r="M93" s="2521">
        <f>+M94</f>
        <v>144060800</v>
      </c>
      <c r="N93" s="2521">
        <f>+N94</f>
        <v>140056357</v>
      </c>
      <c r="O93" s="3560"/>
    </row>
    <row r="94" spans="1:15" s="810" customFormat="1" ht="15.75" customHeight="1">
      <c r="A94" s="3080"/>
      <c r="B94" s="2703" t="s">
        <v>11</v>
      </c>
      <c r="C94" s="3562" t="s">
        <v>355</v>
      </c>
      <c r="D94" s="2441">
        <f>+D96+D95</f>
        <v>144060800</v>
      </c>
      <c r="E94" s="2142">
        <f t="shared" ref="E94" si="57">+E96+E95</f>
        <v>0</v>
      </c>
      <c r="F94" s="2441">
        <f t="shared" ref="F94:L94" si="58">+F96+F95</f>
        <v>4004443</v>
      </c>
      <c r="G94" s="2142">
        <f t="shared" si="58"/>
        <v>18864240</v>
      </c>
      <c r="H94" s="2441">
        <f t="shared" si="58"/>
        <v>60161157</v>
      </c>
      <c r="I94" s="2142">
        <f t="shared" si="58"/>
        <v>20384000</v>
      </c>
      <c r="J94" s="2142">
        <f t="shared" si="58"/>
        <v>40060800</v>
      </c>
      <c r="K94" s="2142">
        <f t="shared" si="58"/>
        <v>586160</v>
      </c>
      <c r="L94" s="2142">
        <f t="shared" si="58"/>
        <v>0</v>
      </c>
      <c r="M94" s="2453">
        <f>M96+M95</f>
        <v>144060800</v>
      </c>
      <c r="N94" s="2453">
        <f>N96+N95</f>
        <v>140056357</v>
      </c>
      <c r="O94" s="3560"/>
    </row>
    <row r="95" spans="1:15" s="810" customFormat="1" ht="15.75" customHeight="1">
      <c r="A95" s="3080"/>
      <c r="B95" s="795" t="s">
        <v>14</v>
      </c>
      <c r="C95" s="3563"/>
      <c r="D95" s="1016">
        <f>E95+F95+G95+H95+I95+J95+K95+L95</f>
        <v>144060800</v>
      </c>
      <c r="E95" s="1984"/>
      <c r="F95" s="2522">
        <f>27618240-23613797</f>
        <v>4004443</v>
      </c>
      <c r="G95" s="2522">
        <v>18864240</v>
      </c>
      <c r="H95" s="2522">
        <f>36547360+23613797</f>
        <v>60161157</v>
      </c>
      <c r="I95" s="2522">
        <v>20384000</v>
      </c>
      <c r="J95" s="2522">
        <v>40060800</v>
      </c>
      <c r="K95" s="2522">
        <v>586160</v>
      </c>
      <c r="L95" s="2522">
        <v>0</v>
      </c>
      <c r="M95" s="2704">
        <f>SUM(F95:K95)</f>
        <v>144060800</v>
      </c>
      <c r="N95" s="2146">
        <f>SUM(G95:L95)</f>
        <v>140056357</v>
      </c>
      <c r="O95" s="3560"/>
    </row>
    <row r="96" spans="1:15" ht="13.5" hidden="1" customHeight="1">
      <c r="A96" s="3080"/>
      <c r="B96" s="771" t="s">
        <v>16</v>
      </c>
      <c r="C96" s="3564"/>
      <c r="D96" s="2523"/>
      <c r="E96" s="2524"/>
      <c r="F96" s="2705"/>
      <c r="G96" s="2145"/>
      <c r="H96" s="2705"/>
      <c r="I96" s="2145"/>
      <c r="J96" s="2145"/>
      <c r="K96" s="2145"/>
      <c r="L96" s="2145"/>
      <c r="M96" s="2510">
        <f>SUM(E96:H96)</f>
        <v>0</v>
      </c>
      <c r="N96" s="2510">
        <f>SUM(F96:I96)</f>
        <v>0</v>
      </c>
      <c r="O96" s="3560"/>
    </row>
    <row r="97" spans="1:15" ht="15" customHeight="1">
      <c r="A97" s="3080"/>
      <c r="B97" s="525" t="s">
        <v>22</v>
      </c>
      <c r="C97" s="2520"/>
      <c r="D97" s="2105">
        <f>+D98</f>
        <v>144060800</v>
      </c>
      <c r="E97" s="2105">
        <f t="shared" ref="E97:L97" si="59">+E98</f>
        <v>0</v>
      </c>
      <c r="F97" s="2105">
        <f t="shared" si="59"/>
        <v>4004443</v>
      </c>
      <c r="G97" s="2105">
        <f t="shared" si="59"/>
        <v>18864240</v>
      </c>
      <c r="H97" s="2105">
        <f t="shared" si="59"/>
        <v>60161157</v>
      </c>
      <c r="I97" s="2105">
        <f t="shared" si="59"/>
        <v>20384000</v>
      </c>
      <c r="J97" s="2105">
        <f t="shared" si="59"/>
        <v>40060800</v>
      </c>
      <c r="K97" s="2105">
        <f t="shared" si="59"/>
        <v>586160</v>
      </c>
      <c r="L97" s="2105">
        <f t="shared" si="59"/>
        <v>0</v>
      </c>
      <c r="M97" s="3553" t="s">
        <v>61</v>
      </c>
      <c r="N97" s="3553" t="s">
        <v>61</v>
      </c>
      <c r="O97" s="3560"/>
    </row>
    <row r="98" spans="1:15" s="810" customFormat="1" ht="15" customHeight="1">
      <c r="A98" s="3080"/>
      <c r="B98" s="2703" t="s">
        <v>11</v>
      </c>
      <c r="C98" s="3127" t="s">
        <v>355</v>
      </c>
      <c r="D98" s="2441">
        <f>+D100+D99</f>
        <v>144060800</v>
      </c>
      <c r="E98" s="2142">
        <f>+E100+E99</f>
        <v>0</v>
      </c>
      <c r="F98" s="2441">
        <f t="shared" ref="F98:L98" si="60">+F100+F99</f>
        <v>4004443</v>
      </c>
      <c r="G98" s="2142">
        <f t="shared" si="60"/>
        <v>18864240</v>
      </c>
      <c r="H98" s="2441">
        <f t="shared" si="60"/>
        <v>60161157</v>
      </c>
      <c r="I98" s="2142">
        <f t="shared" si="60"/>
        <v>20384000</v>
      </c>
      <c r="J98" s="2142">
        <f t="shared" si="60"/>
        <v>40060800</v>
      </c>
      <c r="K98" s="2142">
        <f t="shared" si="60"/>
        <v>586160</v>
      </c>
      <c r="L98" s="2142">
        <f t="shared" si="60"/>
        <v>0</v>
      </c>
      <c r="M98" s="3554"/>
      <c r="N98" s="3554"/>
      <c r="O98" s="3560"/>
    </row>
    <row r="99" spans="1:15" ht="15" customHeight="1" thickBot="1">
      <c r="A99" s="3081"/>
      <c r="B99" s="76" t="s">
        <v>14</v>
      </c>
      <c r="C99" s="3552"/>
      <c r="D99" s="2417">
        <f>E99+F99+G99+H99+I99+J99+K99+L99</f>
        <v>144060800</v>
      </c>
      <c r="E99" s="2525"/>
      <c r="F99" s="2526">
        <f>27618240-23613797</f>
        <v>4004443</v>
      </c>
      <c r="G99" s="2526">
        <v>18864240</v>
      </c>
      <c r="H99" s="2526">
        <f>36547360+23613797</f>
        <v>60161157</v>
      </c>
      <c r="I99" s="2526">
        <v>20384000</v>
      </c>
      <c r="J99" s="2526">
        <v>40060800</v>
      </c>
      <c r="K99" s="2526">
        <v>586160</v>
      </c>
      <c r="L99" s="2527">
        <v>0</v>
      </c>
      <c r="M99" s="3555"/>
      <c r="N99" s="3555"/>
      <c r="O99" s="3561"/>
    </row>
    <row r="100" spans="1:15" ht="13.5" hidden="1" customHeight="1" thickBot="1">
      <c r="A100" s="1435"/>
      <c r="B100" s="1436" t="s">
        <v>16</v>
      </c>
      <c r="C100" s="1437"/>
      <c r="D100" s="1425"/>
      <c r="E100" s="1438"/>
      <c r="F100" s="1439"/>
      <c r="G100" s="1440"/>
      <c r="H100" s="1440"/>
      <c r="I100" s="1440"/>
      <c r="J100" s="1440"/>
      <c r="K100" s="1440"/>
      <c r="L100" s="1440"/>
      <c r="M100" s="1441"/>
      <c r="N100" s="1441"/>
      <c r="O100" s="1442"/>
    </row>
    <row r="101" spans="1:15" s="790" customFormat="1" ht="29.25" hidden="1" customHeight="1">
      <c r="A101" s="3556" t="s">
        <v>64</v>
      </c>
      <c r="B101" s="782" t="s">
        <v>356</v>
      </c>
      <c r="C101" s="800" t="s">
        <v>109</v>
      </c>
      <c r="D101" s="800"/>
      <c r="E101" s="85"/>
      <c r="F101" s="802"/>
      <c r="G101" s="802"/>
      <c r="H101" s="802"/>
      <c r="I101" s="802"/>
      <c r="J101" s="802"/>
      <c r="K101" s="802"/>
      <c r="L101" s="802"/>
      <c r="M101" s="783"/>
      <c r="N101" s="783"/>
      <c r="O101" s="3565" t="s">
        <v>166</v>
      </c>
    </row>
    <row r="102" spans="1:15" s="790" customFormat="1" ht="16.5" hidden="1" customHeight="1">
      <c r="A102" s="3556"/>
      <c r="B102" s="715" t="s">
        <v>10</v>
      </c>
      <c r="C102" s="801"/>
      <c r="D102" s="765"/>
      <c r="E102" s="814"/>
      <c r="F102" s="814"/>
      <c r="G102" s="814"/>
      <c r="H102" s="765"/>
      <c r="I102" s="765"/>
      <c r="J102" s="765"/>
      <c r="K102" s="765"/>
      <c r="L102" s="766"/>
      <c r="M102" s="793">
        <f>M103</f>
        <v>0</v>
      </c>
      <c r="N102" s="793">
        <f>N103</f>
        <v>0</v>
      </c>
      <c r="O102" s="3565"/>
    </row>
    <row r="103" spans="1:15" s="790" customFormat="1" ht="13.5" hidden="1" customHeight="1">
      <c r="A103" s="3556"/>
      <c r="B103" s="768" t="s">
        <v>11</v>
      </c>
      <c r="C103" s="3566" t="s">
        <v>171</v>
      </c>
      <c r="D103" s="770"/>
      <c r="E103" s="786"/>
      <c r="F103" s="786"/>
      <c r="G103" s="786"/>
      <c r="H103" s="770"/>
      <c r="I103" s="770"/>
      <c r="J103" s="770"/>
      <c r="K103" s="770"/>
      <c r="L103" s="770"/>
      <c r="M103" s="794">
        <f>M104</f>
        <v>0</v>
      </c>
      <c r="N103" s="794">
        <f>N104</f>
        <v>0</v>
      </c>
      <c r="O103" s="3565"/>
    </row>
    <row r="104" spans="1:15" s="790" customFormat="1" ht="13.5" hidden="1" customHeight="1" thickBot="1">
      <c r="A104" s="3557"/>
      <c r="B104" s="81" t="s">
        <v>12</v>
      </c>
      <c r="C104" s="3570"/>
      <c r="D104" s="780"/>
      <c r="E104" s="1426"/>
      <c r="F104" s="1443"/>
      <c r="G104" s="1443"/>
      <c r="H104" s="1444"/>
      <c r="I104" s="1444"/>
      <c r="J104" s="1444"/>
      <c r="K104" s="1444"/>
      <c r="L104" s="1444"/>
      <c r="M104" s="1445">
        <f>SUM(E104:K104)</f>
        <v>0</v>
      </c>
      <c r="N104" s="1445">
        <f>SUM(F104:L104)</f>
        <v>0</v>
      </c>
      <c r="O104" s="3569"/>
    </row>
    <row r="105" spans="1:15" ht="19.5" hidden="1" customHeight="1">
      <c r="A105" s="3556"/>
      <c r="B105" s="782"/>
      <c r="C105" s="800" t="s">
        <v>81</v>
      </c>
      <c r="D105" s="1070"/>
      <c r="E105" s="85"/>
      <c r="F105" s="85"/>
      <c r="G105" s="802"/>
      <c r="H105" s="802"/>
      <c r="I105" s="802"/>
      <c r="J105" s="802"/>
      <c r="K105" s="802"/>
      <c r="L105" s="802"/>
      <c r="M105" s="783"/>
      <c r="N105" s="783"/>
      <c r="O105" s="3565"/>
    </row>
    <row r="106" spans="1:15" ht="12.75" hidden="1" customHeight="1">
      <c r="A106" s="3556"/>
      <c r="B106" s="715" t="s">
        <v>10</v>
      </c>
      <c r="C106" s="801"/>
      <c r="D106" s="811"/>
      <c r="E106" s="812"/>
      <c r="F106" s="766"/>
      <c r="G106" s="765"/>
      <c r="H106" s="765"/>
      <c r="I106" s="765"/>
      <c r="J106" s="765"/>
      <c r="K106" s="765"/>
      <c r="L106" s="766"/>
      <c r="M106" s="793"/>
      <c r="N106" s="793"/>
      <c r="O106" s="3565"/>
    </row>
    <row r="107" spans="1:15" ht="13.5" hidden="1" customHeight="1">
      <c r="A107" s="3556"/>
      <c r="B107" s="768" t="s">
        <v>11</v>
      </c>
      <c r="C107" s="3566" t="s">
        <v>167</v>
      </c>
      <c r="D107" s="770"/>
      <c r="E107" s="770"/>
      <c r="F107" s="770"/>
      <c r="G107" s="770"/>
      <c r="H107" s="770"/>
      <c r="I107" s="770"/>
      <c r="J107" s="770"/>
      <c r="K107" s="770"/>
      <c r="L107" s="770"/>
      <c r="M107" s="794"/>
      <c r="N107" s="794"/>
      <c r="O107" s="3565"/>
    </row>
    <row r="108" spans="1:15" ht="13.5" hidden="1" customHeight="1">
      <c r="A108" s="3556"/>
      <c r="B108" s="771" t="s">
        <v>16</v>
      </c>
      <c r="C108" s="3567"/>
      <c r="D108" s="772"/>
      <c r="E108" s="773"/>
      <c r="F108" s="773"/>
      <c r="G108" s="773"/>
      <c r="H108" s="773"/>
      <c r="I108" s="773"/>
      <c r="J108" s="773"/>
      <c r="K108" s="773"/>
      <c r="L108" s="773"/>
      <c r="M108" s="775"/>
      <c r="N108" s="775"/>
      <c r="O108" s="3565"/>
    </row>
    <row r="109" spans="1:15" ht="13.5" hidden="1" customHeight="1">
      <c r="A109" s="3556"/>
      <c r="B109" s="715" t="s">
        <v>22</v>
      </c>
      <c r="C109" s="801"/>
      <c r="D109" s="792"/>
      <c r="E109" s="792"/>
      <c r="F109" s="765"/>
      <c r="G109" s="765"/>
      <c r="H109" s="765"/>
      <c r="I109" s="765"/>
      <c r="J109" s="765"/>
      <c r="K109" s="765"/>
      <c r="L109" s="766"/>
      <c r="M109" s="2171"/>
      <c r="N109" s="2171"/>
      <c r="O109" s="3565"/>
    </row>
    <row r="110" spans="1:15" ht="15.75" hidden="1" customHeight="1">
      <c r="A110" s="3556"/>
      <c r="B110" s="768" t="s">
        <v>11</v>
      </c>
      <c r="C110" s="3566" t="s">
        <v>167</v>
      </c>
      <c r="D110" s="770">
        <f>+D111</f>
        <v>0</v>
      </c>
      <c r="E110" s="770">
        <f t="shared" ref="E110" si="61">+E111</f>
        <v>0</v>
      </c>
      <c r="F110" s="770"/>
      <c r="G110" s="770"/>
      <c r="H110" s="770"/>
      <c r="I110" s="770"/>
      <c r="J110" s="770"/>
      <c r="K110" s="770"/>
      <c r="L110" s="770"/>
      <c r="M110" s="2171"/>
      <c r="N110" s="2171"/>
      <c r="O110" s="3565"/>
    </row>
    <row r="111" spans="1:15" ht="10.5" hidden="1" customHeight="1">
      <c r="A111" s="3556"/>
      <c r="B111" s="771" t="s">
        <v>16</v>
      </c>
      <c r="C111" s="3568"/>
      <c r="D111" s="772"/>
      <c r="E111" s="773"/>
      <c r="F111" s="774"/>
      <c r="G111" s="774"/>
      <c r="H111" s="774"/>
      <c r="I111" s="774"/>
      <c r="J111" s="774"/>
      <c r="K111" s="774"/>
      <c r="L111" s="774"/>
      <c r="M111" s="2171"/>
      <c r="N111" s="2171"/>
      <c r="O111" s="3565"/>
    </row>
    <row r="113" spans="2:12" hidden="1"/>
    <row r="114" spans="2:12" ht="12.75" hidden="1">
      <c r="B114" s="1547" t="s">
        <v>408</v>
      </c>
      <c r="C114" s="1538"/>
      <c r="D114" s="1538"/>
      <c r="E114" s="1538"/>
      <c r="F114" s="1538"/>
      <c r="G114" s="1538"/>
      <c r="H114" s="1538"/>
      <c r="I114" s="1538"/>
      <c r="J114" s="1538"/>
      <c r="K114" s="1538"/>
      <c r="L114" s="1538"/>
    </row>
    <row r="115" spans="2:12" ht="15.75" hidden="1" customHeight="1">
      <c r="B115" s="1499" t="s">
        <v>409</v>
      </c>
      <c r="C115" s="1538"/>
      <c r="D115" s="1544">
        <f>D50+D72</f>
        <v>25164539</v>
      </c>
      <c r="E115" s="1544">
        <f t="shared" ref="E115:L115" si="62">E50+E72</f>
        <v>5960282</v>
      </c>
      <c r="F115" s="1544">
        <f t="shared" si="62"/>
        <v>3902873</v>
      </c>
      <c r="G115" s="1544">
        <f t="shared" si="62"/>
        <v>5502805</v>
      </c>
      <c r="H115" s="1544">
        <f t="shared" si="62"/>
        <v>2502805</v>
      </c>
      <c r="I115" s="1544">
        <f t="shared" si="62"/>
        <v>2720411</v>
      </c>
      <c r="J115" s="1544">
        <f t="shared" si="62"/>
        <v>1607579</v>
      </c>
      <c r="K115" s="1544">
        <f t="shared" si="62"/>
        <v>1607578</v>
      </c>
      <c r="L115" s="1544">
        <f t="shared" si="62"/>
        <v>1360206</v>
      </c>
    </row>
    <row r="116" spans="2:12" ht="15" hidden="1" customHeight="1">
      <c r="B116" s="1499" t="s">
        <v>410</v>
      </c>
      <c r="C116" s="1538"/>
      <c r="D116" s="1544">
        <f>D38+D65</f>
        <v>20564739</v>
      </c>
      <c r="E116" s="1544">
        <f>E38</f>
        <v>11297151</v>
      </c>
      <c r="F116" s="1544">
        <f>F38+F63</f>
        <v>3316086</v>
      </c>
      <c r="G116" s="1544">
        <f t="shared" ref="G116:L116" si="63">G38+G63</f>
        <v>523260</v>
      </c>
      <c r="H116" s="1544">
        <f t="shared" si="63"/>
        <v>5276602</v>
      </c>
      <c r="I116" s="1544">
        <f t="shared" si="63"/>
        <v>151640</v>
      </c>
      <c r="J116" s="1544">
        <f t="shared" si="63"/>
        <v>0</v>
      </c>
      <c r="K116" s="1544">
        <f t="shared" si="63"/>
        <v>0</v>
      </c>
      <c r="L116" s="1544">
        <f t="shared" si="63"/>
        <v>0</v>
      </c>
    </row>
    <row r="117" spans="2:12" ht="12.75" hidden="1">
      <c r="B117" s="1499" t="s">
        <v>411</v>
      </c>
      <c r="C117" s="1538"/>
      <c r="D117" s="1545">
        <f>D115+D116</f>
        <v>45729278</v>
      </c>
      <c r="E117" s="1545">
        <f>E115+E116</f>
        <v>17257433</v>
      </c>
      <c r="F117" s="1545">
        <f t="shared" ref="F117:L117" si="64">F115+F116</f>
        <v>7218959</v>
      </c>
      <c r="G117" s="1545">
        <f t="shared" si="64"/>
        <v>6026065</v>
      </c>
      <c r="H117" s="1545">
        <f t="shared" si="64"/>
        <v>7779407</v>
      </c>
      <c r="I117" s="1545">
        <f t="shared" si="64"/>
        <v>2872051</v>
      </c>
      <c r="J117" s="1545">
        <f t="shared" si="64"/>
        <v>1607579</v>
      </c>
      <c r="K117" s="1545">
        <f t="shared" si="64"/>
        <v>1607578</v>
      </c>
      <c r="L117" s="1545">
        <f t="shared" si="64"/>
        <v>1360206</v>
      </c>
    </row>
    <row r="118" spans="2:12" ht="12.75" hidden="1">
      <c r="B118" s="1541" t="s">
        <v>42</v>
      </c>
      <c r="C118" s="1543"/>
      <c r="D118" s="1546">
        <f t="shared" ref="D118:L118" si="65">D117-D21</f>
        <v>0</v>
      </c>
      <c r="E118" s="1546">
        <f t="shared" si="65"/>
        <v>0</v>
      </c>
      <c r="F118" s="1546">
        <f t="shared" si="65"/>
        <v>0</v>
      </c>
      <c r="G118" s="1546">
        <f t="shared" si="65"/>
        <v>0</v>
      </c>
      <c r="H118" s="1546">
        <f t="shared" si="65"/>
        <v>0</v>
      </c>
      <c r="I118" s="1546">
        <f t="shared" si="65"/>
        <v>0</v>
      </c>
      <c r="J118" s="1546">
        <f t="shared" si="65"/>
        <v>0</v>
      </c>
      <c r="K118" s="1546">
        <f t="shared" si="65"/>
        <v>0</v>
      </c>
      <c r="L118" s="1546">
        <f t="shared" si="65"/>
        <v>0</v>
      </c>
    </row>
    <row r="119" spans="2:12" hidden="1"/>
    <row r="120" spans="2:12" hidden="1"/>
  </sheetData>
  <mergeCells count="53">
    <mergeCell ref="O66:O71"/>
    <mergeCell ref="C68:C71"/>
    <mergeCell ref="M72:M74"/>
    <mergeCell ref="N72:N74"/>
    <mergeCell ref="O72:O74"/>
    <mergeCell ref="C73:C74"/>
    <mergeCell ref="O57:O62"/>
    <mergeCell ref="C59:C62"/>
    <mergeCell ref="M63:M65"/>
    <mergeCell ref="N63:N65"/>
    <mergeCell ref="O63:O65"/>
    <mergeCell ref="C64:C65"/>
    <mergeCell ref="O32:O42"/>
    <mergeCell ref="C34:C37"/>
    <mergeCell ref="C39:C42"/>
    <mergeCell ref="N38:N42"/>
    <mergeCell ref="F1:G1"/>
    <mergeCell ref="A4:O4"/>
    <mergeCell ref="B5:B6"/>
    <mergeCell ref="C5:C6"/>
    <mergeCell ref="D5:D6"/>
    <mergeCell ref="O5:O6"/>
    <mergeCell ref="N5:N6"/>
    <mergeCell ref="N21:N31"/>
    <mergeCell ref="F5:F6"/>
    <mergeCell ref="G5:L5"/>
    <mergeCell ref="M5:M6"/>
    <mergeCell ref="M21:M31"/>
    <mergeCell ref="O43:O55"/>
    <mergeCell ref="C45:C49"/>
    <mergeCell ref="C51:C55"/>
    <mergeCell ref="N50:N55"/>
    <mergeCell ref="M50:M55"/>
    <mergeCell ref="O92:O99"/>
    <mergeCell ref="C94:C96"/>
    <mergeCell ref="M86:M91"/>
    <mergeCell ref="M97:M99"/>
    <mergeCell ref="A105:A111"/>
    <mergeCell ref="O105:O111"/>
    <mergeCell ref="C107:C108"/>
    <mergeCell ref="C110:C111"/>
    <mergeCell ref="A101:A104"/>
    <mergeCell ref="O101:O104"/>
    <mergeCell ref="C103:C104"/>
    <mergeCell ref="M38:M42"/>
    <mergeCell ref="N86:N91"/>
    <mergeCell ref="A92:A99"/>
    <mergeCell ref="C98:C99"/>
    <mergeCell ref="N97:N99"/>
    <mergeCell ref="A43:A55"/>
    <mergeCell ref="A32:A42"/>
    <mergeCell ref="A57:A65"/>
    <mergeCell ref="A66:A74"/>
  </mergeCells>
  <printOptions horizontalCentered="1"/>
  <pageMargins left="0.23622047244094491" right="0.23622047244094491" top="0.51181102362204722" bottom="0.35433070866141736" header="0.15748031496062992" footer="0.15748031496062992"/>
  <pageSetup paperSize="9" scale="69" firstPageNumber="49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</oddHeader>
    <oddFooter>&amp;C&amp;8&amp;P</oddFooter>
  </headerFooter>
  <rowBreaks count="1" manualBreakCount="1">
    <brk id="56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Q632"/>
  <sheetViews>
    <sheetView showGridLines="0" view="pageBreakPreview" zoomScaleSheetLayoutView="100" workbookViewId="0">
      <pane ySplit="6" topLeftCell="A7" activePane="bottomLeft" state="frozen"/>
      <selection activeCell="L250" sqref="L250"/>
      <selection pane="bottomLeft" activeCell="B2" sqref="B2"/>
    </sheetView>
  </sheetViews>
  <sheetFormatPr defaultColWidth="9.140625" defaultRowHeight="11.25"/>
  <cols>
    <col min="1" max="1" width="3.28515625" style="815" customWidth="1"/>
    <col min="2" max="2" width="66.28515625" style="202" customWidth="1"/>
    <col min="3" max="3" width="12" style="202" customWidth="1"/>
    <col min="4" max="5" width="13.7109375" style="202" customWidth="1"/>
    <col min="6" max="6" width="13.140625" style="735" customWidth="1"/>
    <col min="7" max="7" width="11.5703125" style="735" customWidth="1"/>
    <col min="8" max="8" width="11.28515625" style="735" customWidth="1"/>
    <col min="9" max="9" width="9.140625" style="735" customWidth="1"/>
    <col min="10" max="10" width="11.7109375" style="735" customWidth="1"/>
    <col min="11" max="12" width="8.42578125" style="735" customWidth="1"/>
    <col min="13" max="13" width="12.5703125" style="735" hidden="1" customWidth="1"/>
    <col min="14" max="14" width="12.5703125" style="735" customWidth="1"/>
    <col min="15" max="15" width="16.5703125" style="848" customWidth="1"/>
    <col min="16" max="16" width="16.5703125" style="202" hidden="1" customWidth="1"/>
    <col min="17" max="17" width="0" style="202" hidden="1" customWidth="1"/>
    <col min="18" max="16384" width="9.140625" style="202"/>
  </cols>
  <sheetData>
    <row r="1" spans="1:17" ht="22.5" customHeight="1">
      <c r="G1" s="256" t="s">
        <v>493</v>
      </c>
      <c r="H1" s="202"/>
      <c r="I1" s="6"/>
      <c r="J1" s="6"/>
      <c r="K1" s="6"/>
      <c r="L1" s="6"/>
      <c r="M1" s="6"/>
      <c r="N1" s="6"/>
      <c r="O1" s="7"/>
    </row>
    <row r="2" spans="1:17" ht="9.75" customHeight="1">
      <c r="F2" s="202"/>
      <c r="G2" s="202"/>
      <c r="H2" s="202"/>
      <c r="I2" s="6"/>
      <c r="J2" s="6"/>
      <c r="K2" s="6"/>
      <c r="L2" s="6"/>
      <c r="M2" s="6"/>
      <c r="N2" s="6"/>
      <c r="O2" s="7"/>
    </row>
    <row r="3" spans="1:17" ht="48.75" customHeight="1" thickBot="1">
      <c r="A3" s="3459" t="s">
        <v>170</v>
      </c>
      <c r="B3" s="3459"/>
      <c r="C3" s="3459"/>
      <c r="D3" s="3459"/>
      <c r="E3" s="3459"/>
      <c r="F3" s="3459"/>
      <c r="G3" s="3459"/>
      <c r="H3" s="3459"/>
      <c r="I3" s="3459"/>
      <c r="J3" s="3459"/>
      <c r="K3" s="3459"/>
      <c r="L3" s="3459"/>
      <c r="M3" s="3459"/>
      <c r="N3" s="3459"/>
      <c r="O3" s="3459"/>
    </row>
    <row r="4" spans="1:17" ht="60.75" customHeight="1">
      <c r="A4" s="816"/>
      <c r="B4" s="3617" t="s">
        <v>75</v>
      </c>
      <c r="C4" s="3129" t="s">
        <v>71</v>
      </c>
      <c r="D4" s="3330" t="s">
        <v>118</v>
      </c>
      <c r="E4" s="2939" t="s">
        <v>264</v>
      </c>
      <c r="F4" s="3017" t="s">
        <v>533</v>
      </c>
      <c r="G4" s="3146" t="s">
        <v>474</v>
      </c>
      <c r="H4" s="3147"/>
      <c r="I4" s="3147"/>
      <c r="J4" s="3147"/>
      <c r="K4" s="3147"/>
      <c r="L4" s="3148"/>
      <c r="M4" s="3534" t="s">
        <v>495</v>
      </c>
      <c r="N4" s="3534" t="s">
        <v>475</v>
      </c>
      <c r="O4" s="3338" t="s">
        <v>73</v>
      </c>
    </row>
    <row r="5" spans="1:17" ht="16.5" customHeight="1" thickBot="1">
      <c r="A5" s="817"/>
      <c r="B5" s="3618"/>
      <c r="C5" s="3619"/>
      <c r="D5" s="3620"/>
      <c r="E5" s="2942" t="s">
        <v>453</v>
      </c>
      <c r="F5" s="3019"/>
      <c r="G5" s="2940" t="s">
        <v>6</v>
      </c>
      <c r="H5" s="330" t="s">
        <v>207</v>
      </c>
      <c r="I5" s="330" t="s">
        <v>208</v>
      </c>
      <c r="J5" s="330" t="s">
        <v>256</v>
      </c>
      <c r="K5" s="330" t="s">
        <v>257</v>
      </c>
      <c r="L5" s="330" t="s">
        <v>258</v>
      </c>
      <c r="M5" s="3535"/>
      <c r="N5" s="3535"/>
      <c r="O5" s="3340"/>
    </row>
    <row r="6" spans="1:17" ht="15" customHeight="1">
      <c r="A6" s="1120">
        <v>1</v>
      </c>
      <c r="B6" s="1121">
        <v>2</v>
      </c>
      <c r="C6" s="1908" t="s">
        <v>119</v>
      </c>
      <c r="D6" s="1122" t="s">
        <v>120</v>
      </c>
      <c r="E6" s="1122">
        <v>5</v>
      </c>
      <c r="F6" s="1908">
        <v>6</v>
      </c>
      <c r="G6" s="1908">
        <v>7</v>
      </c>
      <c r="H6" s="1908">
        <v>8</v>
      </c>
      <c r="I6" s="1908">
        <v>9</v>
      </c>
      <c r="J6" s="1908">
        <v>10</v>
      </c>
      <c r="K6" s="1908">
        <v>11</v>
      </c>
      <c r="L6" s="1908">
        <v>12</v>
      </c>
      <c r="M6" s="2090">
        <v>13</v>
      </c>
      <c r="N6" s="2090">
        <v>13</v>
      </c>
      <c r="O6" s="2091">
        <v>14</v>
      </c>
    </row>
    <row r="7" spans="1:17" s="235" customFormat="1" ht="16.5" customHeight="1">
      <c r="A7" s="649"/>
      <c r="B7" s="1476" t="s">
        <v>76</v>
      </c>
      <c r="C7" s="1477"/>
      <c r="D7" s="224">
        <f>+D8+D9</f>
        <v>118594429</v>
      </c>
      <c r="E7" s="224">
        <f t="shared" ref="E7:L7" si="0">+E8+E9</f>
        <v>926404</v>
      </c>
      <c r="F7" s="224">
        <f t="shared" si="0"/>
        <v>2057086</v>
      </c>
      <c r="G7" s="224">
        <f t="shared" si="0"/>
        <v>98381087</v>
      </c>
      <c r="H7" s="224">
        <f t="shared" si="0"/>
        <v>11991688</v>
      </c>
      <c r="I7" s="224">
        <f t="shared" si="0"/>
        <v>5238164</v>
      </c>
      <c r="J7" s="224">
        <f t="shared" si="0"/>
        <v>0</v>
      </c>
      <c r="K7" s="224">
        <f t="shared" si="0"/>
        <v>0</v>
      </c>
      <c r="L7" s="224">
        <f t="shared" si="0"/>
        <v>0</v>
      </c>
      <c r="M7" s="152">
        <f>+M8+M9</f>
        <v>117668025</v>
      </c>
      <c r="N7" s="152">
        <f>+N8+N9</f>
        <v>115610939</v>
      </c>
      <c r="O7" s="818"/>
      <c r="P7" s="480"/>
    </row>
    <row r="8" spans="1:17" s="235" customFormat="1" ht="13.5" customHeight="1">
      <c r="A8" s="649"/>
      <c r="B8" s="1478" t="s">
        <v>77</v>
      </c>
      <c r="C8" s="1479"/>
      <c r="D8" s="216">
        <f>+D71+D92+D114+D127+D145+D167+D180+D201</f>
        <v>3455751</v>
      </c>
      <c r="E8" s="216">
        <f t="shared" ref="E8:L8" si="1">+E71+E92+E114+E127+E145+E167+E180+E201</f>
        <v>0</v>
      </c>
      <c r="F8" s="216">
        <f t="shared" si="1"/>
        <v>124706</v>
      </c>
      <c r="G8" s="216">
        <f t="shared" si="1"/>
        <v>1281535</v>
      </c>
      <c r="H8" s="216">
        <f t="shared" si="1"/>
        <v>1567509</v>
      </c>
      <c r="I8" s="216">
        <f t="shared" si="1"/>
        <v>482001</v>
      </c>
      <c r="J8" s="216">
        <f t="shared" si="1"/>
        <v>0</v>
      </c>
      <c r="K8" s="216">
        <f t="shared" si="1"/>
        <v>0</v>
      </c>
      <c r="L8" s="216">
        <f t="shared" si="1"/>
        <v>0</v>
      </c>
      <c r="M8" s="2424">
        <f>SUM(F8:L8)</f>
        <v>3455751</v>
      </c>
      <c r="N8" s="18">
        <f>SUM(G8:L8)</f>
        <v>3331045</v>
      </c>
      <c r="O8" s="818"/>
      <c r="P8" s="480"/>
    </row>
    <row r="9" spans="1:17" s="235" customFormat="1" ht="13.5" customHeight="1" thickBot="1">
      <c r="A9" s="649"/>
      <c r="B9" s="1480" t="s">
        <v>9</v>
      </c>
      <c r="C9" s="1481"/>
      <c r="D9" s="819">
        <f>+D62+D26+D35+D80+D53+D105+D136+D44+D158+D189+D210</f>
        <v>115138678</v>
      </c>
      <c r="E9" s="819">
        <f t="shared" ref="E9:L9" si="2">+E62+E26+E35+E80+E53+E105+E136+E44+E158+E189+E210</f>
        <v>926404</v>
      </c>
      <c r="F9" s="819">
        <f t="shared" si="2"/>
        <v>1932380</v>
      </c>
      <c r="G9" s="819">
        <f t="shared" si="2"/>
        <v>97099552</v>
      </c>
      <c r="H9" s="819">
        <f t="shared" si="2"/>
        <v>10424179</v>
      </c>
      <c r="I9" s="819">
        <f t="shared" si="2"/>
        <v>4756163</v>
      </c>
      <c r="J9" s="819">
        <f t="shared" si="2"/>
        <v>0</v>
      </c>
      <c r="K9" s="819">
        <f t="shared" si="2"/>
        <v>0</v>
      </c>
      <c r="L9" s="819">
        <f t="shared" si="2"/>
        <v>0</v>
      </c>
      <c r="M9" s="154">
        <f>SUM(F9:L9)</f>
        <v>114212274</v>
      </c>
      <c r="N9" s="154">
        <f>SUM(G9:L9)</f>
        <v>112279894</v>
      </c>
      <c r="O9" s="818"/>
      <c r="P9" s="480"/>
    </row>
    <row r="10" spans="1:17" ht="12">
      <c r="A10" s="649"/>
      <c r="B10" s="198" t="s">
        <v>10</v>
      </c>
      <c r="C10" s="91"/>
      <c r="D10" s="199">
        <f>D11+D15</f>
        <v>118594429</v>
      </c>
      <c r="E10" s="199">
        <f t="shared" ref="E10:L10" si="3">E11+E15</f>
        <v>926404</v>
      </c>
      <c r="F10" s="199">
        <f t="shared" si="3"/>
        <v>2057086</v>
      </c>
      <c r="G10" s="199">
        <f t="shared" si="3"/>
        <v>98381087</v>
      </c>
      <c r="H10" s="199">
        <f t="shared" si="3"/>
        <v>11991688</v>
      </c>
      <c r="I10" s="199">
        <f t="shared" si="3"/>
        <v>5238164</v>
      </c>
      <c r="J10" s="199">
        <f t="shared" si="3"/>
        <v>0</v>
      </c>
      <c r="K10" s="199">
        <f t="shared" si="3"/>
        <v>0</v>
      </c>
      <c r="L10" s="199">
        <f t="shared" si="3"/>
        <v>0</v>
      </c>
      <c r="M10" s="1593">
        <f>M11+M15</f>
        <v>117668025</v>
      </c>
      <c r="N10" s="65">
        <f>N11+N15</f>
        <v>115610939</v>
      </c>
      <c r="O10" s="820"/>
      <c r="P10" s="203"/>
      <c r="Q10" s="203"/>
    </row>
    <row r="11" spans="1:17" ht="13.5" customHeight="1">
      <c r="A11" s="649"/>
      <c r="B11" s="821" t="s">
        <v>24</v>
      </c>
      <c r="C11" s="1482"/>
      <c r="D11" s="1483">
        <f>D12+D13+D14</f>
        <v>18482902</v>
      </c>
      <c r="E11" s="1483">
        <f t="shared" ref="E11:L11" si="4">E12+E13+E14</f>
        <v>713938</v>
      </c>
      <c r="F11" s="1483">
        <f t="shared" si="4"/>
        <v>571235</v>
      </c>
      <c r="G11" s="1483">
        <f t="shared" si="4"/>
        <v>14608150</v>
      </c>
      <c r="H11" s="1483">
        <f t="shared" si="4"/>
        <v>1801347</v>
      </c>
      <c r="I11" s="1483">
        <f t="shared" si="4"/>
        <v>788232</v>
      </c>
      <c r="J11" s="1483">
        <f t="shared" si="4"/>
        <v>0</v>
      </c>
      <c r="K11" s="1483">
        <f t="shared" si="4"/>
        <v>0</v>
      </c>
      <c r="L11" s="1483">
        <f t="shared" si="4"/>
        <v>0</v>
      </c>
      <c r="M11" s="1484">
        <f>+M12+M13+M14</f>
        <v>17768964</v>
      </c>
      <c r="N11" s="1484">
        <f t="shared" ref="N11" si="5">+N12+N13</f>
        <v>17197729</v>
      </c>
      <c r="O11" s="822"/>
    </row>
    <row r="12" spans="1:17" ht="13.5" customHeight="1">
      <c r="A12" s="649"/>
      <c r="B12" s="1485" t="s">
        <v>12</v>
      </c>
      <c r="C12" s="1486"/>
      <c r="D12" s="1487">
        <f>+D28+D64+D37+D73+D82+D55+D94+D107+D116+D129+D138+D46+D147+D160+D169++D182+D191+D203+D212</f>
        <v>17332902</v>
      </c>
      <c r="E12" s="1487">
        <f t="shared" ref="E12:L12" si="6">+E28+E64+E37+E73+E82+E55+E94+E107+E116+E129+E138+E46+E147+E160+E169++E182+E191+E203+E212</f>
        <v>593938</v>
      </c>
      <c r="F12" s="1487">
        <f t="shared" si="6"/>
        <v>441235</v>
      </c>
      <c r="G12" s="1487">
        <f t="shared" si="6"/>
        <v>13708150</v>
      </c>
      <c r="H12" s="1487">
        <f t="shared" si="6"/>
        <v>1801347</v>
      </c>
      <c r="I12" s="1487">
        <f t="shared" si="6"/>
        <v>788232</v>
      </c>
      <c r="J12" s="1487">
        <f t="shared" si="6"/>
        <v>0</v>
      </c>
      <c r="K12" s="1487">
        <f t="shared" si="6"/>
        <v>0</v>
      </c>
      <c r="L12" s="1487">
        <f t="shared" si="6"/>
        <v>0</v>
      </c>
      <c r="M12" s="823">
        <f>SUM(F12:L12)</f>
        <v>16738964</v>
      </c>
      <c r="N12" s="823">
        <f>SUM(G12:L12)</f>
        <v>16297729</v>
      </c>
      <c r="O12" s="822"/>
      <c r="P12" s="203"/>
    </row>
    <row r="13" spans="1:17" ht="13.5" customHeight="1">
      <c r="A13" s="649"/>
      <c r="B13" s="1669" t="s">
        <v>62</v>
      </c>
      <c r="C13" s="1670"/>
      <c r="D13" s="1671">
        <f>+D83</f>
        <v>1000000</v>
      </c>
      <c r="E13" s="1671">
        <f t="shared" ref="E13:L13" si="7">+E83</f>
        <v>0</v>
      </c>
      <c r="F13" s="1671">
        <f t="shared" si="7"/>
        <v>100000</v>
      </c>
      <c r="G13" s="1671">
        <f t="shared" si="7"/>
        <v>900000</v>
      </c>
      <c r="H13" s="1671">
        <f t="shared" si="7"/>
        <v>0</v>
      </c>
      <c r="I13" s="1671">
        <f t="shared" si="7"/>
        <v>0</v>
      </c>
      <c r="J13" s="1671">
        <f t="shared" si="7"/>
        <v>0</v>
      </c>
      <c r="K13" s="1671">
        <f t="shared" si="7"/>
        <v>0</v>
      </c>
      <c r="L13" s="1671">
        <f t="shared" si="7"/>
        <v>0</v>
      </c>
      <c r="M13" s="1672">
        <f>SUM(F13:K13)</f>
        <v>1000000</v>
      </c>
      <c r="N13" s="1672">
        <f>SUM(G13:L13)</f>
        <v>900000</v>
      </c>
      <c r="O13" s="822"/>
      <c r="P13" s="203"/>
    </row>
    <row r="14" spans="1:17" ht="13.5" customHeight="1">
      <c r="A14" s="649"/>
      <c r="B14" s="2706" t="s">
        <v>15</v>
      </c>
      <c r="C14" s="2707"/>
      <c r="D14" s="2708">
        <f>D192+D213</f>
        <v>150000</v>
      </c>
      <c r="E14" s="2708">
        <f t="shared" ref="E14:L14" si="8">E192+E213</f>
        <v>120000</v>
      </c>
      <c r="F14" s="2708">
        <f t="shared" si="8"/>
        <v>30000</v>
      </c>
      <c r="G14" s="2708">
        <f t="shared" si="8"/>
        <v>0</v>
      </c>
      <c r="H14" s="2708">
        <f t="shared" si="8"/>
        <v>0</v>
      </c>
      <c r="I14" s="2708">
        <f t="shared" si="8"/>
        <v>0</v>
      </c>
      <c r="J14" s="2708">
        <f t="shared" si="8"/>
        <v>0</v>
      </c>
      <c r="K14" s="2708">
        <f t="shared" si="8"/>
        <v>0</v>
      </c>
      <c r="L14" s="2708">
        <f t="shared" si="8"/>
        <v>0</v>
      </c>
      <c r="M14" s="1672">
        <f>SUM(F14:K14)</f>
        <v>30000</v>
      </c>
      <c r="N14" s="2709"/>
      <c r="O14" s="822"/>
      <c r="P14" s="203"/>
    </row>
    <row r="15" spans="1:17" ht="13.5" customHeight="1">
      <c r="A15" s="649"/>
      <c r="B15" s="821" t="s">
        <v>18</v>
      </c>
      <c r="C15" s="1482"/>
      <c r="D15" s="1483">
        <f>+D16+D17</f>
        <v>100111527</v>
      </c>
      <c r="E15" s="1483">
        <f t="shared" ref="E15:L15" si="9">+E16+E17</f>
        <v>212466</v>
      </c>
      <c r="F15" s="1483">
        <f t="shared" si="9"/>
        <v>1485851</v>
      </c>
      <c r="G15" s="1483">
        <f t="shared" si="9"/>
        <v>83772937</v>
      </c>
      <c r="H15" s="1483">
        <f t="shared" si="9"/>
        <v>10190341</v>
      </c>
      <c r="I15" s="1483">
        <f t="shared" si="9"/>
        <v>4449932</v>
      </c>
      <c r="J15" s="1483">
        <f t="shared" si="9"/>
        <v>0</v>
      </c>
      <c r="K15" s="1483">
        <f t="shared" si="9"/>
        <v>0</v>
      </c>
      <c r="L15" s="1483">
        <f t="shared" si="9"/>
        <v>0</v>
      </c>
      <c r="M15" s="1484">
        <f>+M16</f>
        <v>99899061</v>
      </c>
      <c r="N15" s="1484">
        <f>+N16</f>
        <v>98413210</v>
      </c>
      <c r="O15" s="822"/>
    </row>
    <row r="16" spans="1:17" ht="13.5" customHeight="1">
      <c r="A16" s="649"/>
      <c r="B16" s="1485" t="s">
        <v>21</v>
      </c>
      <c r="C16" s="201"/>
      <c r="D16" s="148">
        <f>+D30+D66+D39+D75+D85+D57+D98+D109+D120+D131+D140+D48+D151+D162+D173+D184+D194+D205+D215</f>
        <v>100111527</v>
      </c>
      <c r="E16" s="148">
        <f t="shared" ref="E16:L16" si="10">+E30+E66+E39+E75+E85+E57+E98+E109+E120+E131+E140+E48+E151+E162+E173+E184+E194+E205+E215</f>
        <v>212466</v>
      </c>
      <c r="F16" s="148">
        <f t="shared" si="10"/>
        <v>1485851</v>
      </c>
      <c r="G16" s="148">
        <f t="shared" si="10"/>
        <v>83772937</v>
      </c>
      <c r="H16" s="148">
        <f t="shared" si="10"/>
        <v>10190341</v>
      </c>
      <c r="I16" s="148">
        <f t="shared" si="10"/>
        <v>4449932</v>
      </c>
      <c r="J16" s="148">
        <f t="shared" si="10"/>
        <v>0</v>
      </c>
      <c r="K16" s="148">
        <f t="shared" si="10"/>
        <v>0</v>
      </c>
      <c r="L16" s="148">
        <f t="shared" si="10"/>
        <v>0</v>
      </c>
      <c r="M16" s="823">
        <f>SUM(F16:L16)</f>
        <v>99899061</v>
      </c>
      <c r="N16" s="823">
        <f>SUM(G16:L16)</f>
        <v>98413210</v>
      </c>
      <c r="O16" s="822"/>
      <c r="P16" s="203"/>
    </row>
    <row r="17" spans="1:16" ht="13.5" hidden="1" customHeight="1">
      <c r="A17" s="649"/>
      <c r="B17" s="283" t="s">
        <v>20</v>
      </c>
      <c r="C17" s="2053"/>
      <c r="D17" s="148"/>
      <c r="E17" s="148"/>
      <c r="F17" s="148"/>
      <c r="G17" s="148"/>
      <c r="H17" s="148"/>
      <c r="I17" s="148"/>
      <c r="J17" s="148"/>
      <c r="K17" s="148"/>
      <c r="L17" s="148"/>
      <c r="M17" s="279"/>
      <c r="N17" s="279"/>
      <c r="O17" s="822"/>
    </row>
    <row r="18" spans="1:16" ht="12">
      <c r="A18" s="649"/>
      <c r="B18" s="198" t="s">
        <v>22</v>
      </c>
      <c r="C18" s="22"/>
      <c r="D18" s="199">
        <f>D22+D19</f>
        <v>101261527</v>
      </c>
      <c r="E18" s="199">
        <f>E22+E19</f>
        <v>120000</v>
      </c>
      <c r="F18" s="199">
        <f t="shared" ref="F18:L18" si="11">F22+F19</f>
        <v>132133</v>
      </c>
      <c r="G18" s="199">
        <f t="shared" si="11"/>
        <v>77949115</v>
      </c>
      <c r="H18" s="199">
        <f t="shared" si="11"/>
        <v>12886249</v>
      </c>
      <c r="I18" s="199">
        <f t="shared" si="11"/>
        <v>6826242</v>
      </c>
      <c r="J18" s="199">
        <f t="shared" si="11"/>
        <v>3347788</v>
      </c>
      <c r="K18" s="199">
        <f t="shared" si="11"/>
        <v>0</v>
      </c>
      <c r="L18" s="199">
        <f t="shared" si="11"/>
        <v>0</v>
      </c>
      <c r="M18" s="3027" t="s">
        <v>61</v>
      </c>
      <c r="N18" s="3027" t="s">
        <v>61</v>
      </c>
      <c r="O18" s="822"/>
      <c r="P18" s="203"/>
    </row>
    <row r="19" spans="1:16" ht="16.5" customHeight="1">
      <c r="A19" s="649"/>
      <c r="B19" s="821" t="s">
        <v>11</v>
      </c>
      <c r="C19" s="201"/>
      <c r="D19" s="234">
        <f>D20+D21</f>
        <v>1150000</v>
      </c>
      <c r="E19" s="234">
        <f t="shared" ref="E19:L19" si="12">E20+E21</f>
        <v>120000</v>
      </c>
      <c r="F19" s="234">
        <f t="shared" si="12"/>
        <v>130000</v>
      </c>
      <c r="G19" s="234">
        <f t="shared" si="12"/>
        <v>900000</v>
      </c>
      <c r="H19" s="234">
        <f t="shared" si="12"/>
        <v>0</v>
      </c>
      <c r="I19" s="234">
        <f t="shared" si="12"/>
        <v>0</v>
      </c>
      <c r="J19" s="234">
        <f t="shared" si="12"/>
        <v>0</v>
      </c>
      <c r="K19" s="234">
        <f t="shared" si="12"/>
        <v>0</v>
      </c>
      <c r="L19" s="234">
        <f t="shared" si="12"/>
        <v>0</v>
      </c>
      <c r="M19" s="3028"/>
      <c r="N19" s="3028"/>
      <c r="O19" s="822"/>
      <c r="P19" s="203"/>
    </row>
    <row r="20" spans="1:16" ht="12">
      <c r="A20" s="649"/>
      <c r="B20" s="1485" t="s">
        <v>62</v>
      </c>
      <c r="C20" s="201"/>
      <c r="D20" s="148">
        <f>D88</f>
        <v>1000000</v>
      </c>
      <c r="E20" s="148">
        <f t="shared" ref="E20:L20" si="13">E88</f>
        <v>0</v>
      </c>
      <c r="F20" s="148">
        <f t="shared" si="13"/>
        <v>100000</v>
      </c>
      <c r="G20" s="148">
        <f t="shared" si="13"/>
        <v>900000</v>
      </c>
      <c r="H20" s="148">
        <f t="shared" si="13"/>
        <v>0</v>
      </c>
      <c r="I20" s="148">
        <f t="shared" si="13"/>
        <v>0</v>
      </c>
      <c r="J20" s="148">
        <f t="shared" si="13"/>
        <v>0</v>
      </c>
      <c r="K20" s="148">
        <f t="shared" si="13"/>
        <v>0</v>
      </c>
      <c r="L20" s="148">
        <f t="shared" si="13"/>
        <v>0</v>
      </c>
      <c r="M20" s="3028"/>
      <c r="N20" s="3028"/>
      <c r="O20" s="822"/>
      <c r="P20" s="203"/>
    </row>
    <row r="21" spans="1:16" ht="12">
      <c r="A21" s="649"/>
      <c r="B21" s="2706" t="s">
        <v>15</v>
      </c>
      <c r="C21" s="2710"/>
      <c r="D21" s="2711">
        <f>D197+D218</f>
        <v>150000</v>
      </c>
      <c r="E21" s="2711">
        <f t="shared" ref="E21:L21" si="14">E197+E218</f>
        <v>120000</v>
      </c>
      <c r="F21" s="2711">
        <f t="shared" si="14"/>
        <v>30000</v>
      </c>
      <c r="G21" s="2711">
        <f t="shared" si="14"/>
        <v>0</v>
      </c>
      <c r="H21" s="2711">
        <f t="shared" si="14"/>
        <v>0</v>
      </c>
      <c r="I21" s="2711">
        <f t="shared" si="14"/>
        <v>0</v>
      </c>
      <c r="J21" s="2711">
        <f t="shared" si="14"/>
        <v>0</v>
      </c>
      <c r="K21" s="2711">
        <f t="shared" si="14"/>
        <v>0</v>
      </c>
      <c r="L21" s="2711">
        <f t="shared" si="14"/>
        <v>0</v>
      </c>
      <c r="M21" s="3028"/>
      <c r="N21" s="3028"/>
      <c r="O21" s="822"/>
      <c r="P21" s="203"/>
    </row>
    <row r="22" spans="1:16" ht="13.5" customHeight="1">
      <c r="A22" s="649"/>
      <c r="B22" s="821" t="s">
        <v>18</v>
      </c>
      <c r="C22" s="201"/>
      <c r="D22" s="234">
        <f>+D23+D24</f>
        <v>100111527</v>
      </c>
      <c r="E22" s="234">
        <f t="shared" ref="E22:L22" si="15">+E23+E24</f>
        <v>0</v>
      </c>
      <c r="F22" s="234">
        <f t="shared" si="15"/>
        <v>2133</v>
      </c>
      <c r="G22" s="234">
        <f t="shared" si="15"/>
        <v>77049115</v>
      </c>
      <c r="H22" s="234">
        <f t="shared" si="15"/>
        <v>12886249</v>
      </c>
      <c r="I22" s="234">
        <f t="shared" si="15"/>
        <v>6826242</v>
      </c>
      <c r="J22" s="234">
        <f t="shared" si="15"/>
        <v>3347788</v>
      </c>
      <c r="K22" s="234">
        <f t="shared" si="15"/>
        <v>0</v>
      </c>
      <c r="L22" s="234">
        <f t="shared" si="15"/>
        <v>0</v>
      </c>
      <c r="M22" s="3028"/>
      <c r="N22" s="3028"/>
      <c r="O22" s="822"/>
    </row>
    <row r="23" spans="1:16" ht="13.5" customHeight="1" thickBot="1">
      <c r="A23" s="824"/>
      <c r="B23" s="1485" t="s">
        <v>21</v>
      </c>
      <c r="C23" s="201"/>
      <c r="D23" s="148">
        <f>+D33+D42+D69+D78+D90+D60+D103+D112+D125+D134+D143+D51+D156+D165+D178+D186+D198+D208+D220</f>
        <v>100111527</v>
      </c>
      <c r="E23" s="148">
        <f t="shared" ref="E23:L23" si="16">+E33+E42+E69+E78+E90+E60+E103+E112+E125+E134+E143+E51+E156+E165+E178+E186+E198+E208+E220</f>
        <v>0</v>
      </c>
      <c r="F23" s="148">
        <f t="shared" si="16"/>
        <v>2133</v>
      </c>
      <c r="G23" s="148">
        <f t="shared" si="16"/>
        <v>77049115</v>
      </c>
      <c r="H23" s="148">
        <f t="shared" si="16"/>
        <v>12886249</v>
      </c>
      <c r="I23" s="148">
        <f t="shared" si="16"/>
        <v>6826242</v>
      </c>
      <c r="J23" s="148">
        <f t="shared" si="16"/>
        <v>3347788</v>
      </c>
      <c r="K23" s="148">
        <f t="shared" si="16"/>
        <v>0</v>
      </c>
      <c r="L23" s="148">
        <f t="shared" si="16"/>
        <v>0</v>
      </c>
      <c r="M23" s="3028"/>
      <c r="N23" s="3028"/>
      <c r="O23" s="822"/>
      <c r="P23" s="203">
        <f>D23-D16</f>
        <v>0</v>
      </c>
    </row>
    <row r="24" spans="1:16" ht="13.5" hidden="1" customHeight="1" thickBot="1">
      <c r="A24" s="824"/>
      <c r="B24" s="825" t="s">
        <v>20</v>
      </c>
      <c r="C24" s="825"/>
      <c r="D24" s="825"/>
      <c r="E24" s="825"/>
      <c r="F24" s="825"/>
      <c r="G24" s="825"/>
      <c r="H24" s="825"/>
      <c r="I24" s="825"/>
      <c r="J24" s="825"/>
      <c r="K24" s="825"/>
      <c r="L24" s="250"/>
      <c r="M24" s="3029"/>
      <c r="N24" s="3029"/>
      <c r="O24" s="822"/>
    </row>
    <row r="25" spans="1:16" s="235" customFormat="1" ht="27" customHeight="1">
      <c r="A25" s="3605" t="s">
        <v>63</v>
      </c>
      <c r="B25" s="186" t="s">
        <v>470</v>
      </c>
      <c r="C25" s="2050" t="s">
        <v>81</v>
      </c>
      <c r="D25" s="826"/>
      <c r="E25" s="827"/>
      <c r="F25" s="828"/>
      <c r="G25" s="828"/>
      <c r="H25" s="828"/>
      <c r="I25" s="827"/>
      <c r="J25" s="827"/>
      <c r="K25" s="827"/>
      <c r="L25" s="827"/>
      <c r="M25" s="829"/>
      <c r="N25" s="829"/>
      <c r="O25" s="3188" t="s">
        <v>86</v>
      </c>
    </row>
    <row r="26" spans="1:16" s="235" customFormat="1" ht="12.75">
      <c r="A26" s="3606"/>
      <c r="B26" s="2070" t="s">
        <v>10</v>
      </c>
      <c r="C26" s="22"/>
      <c r="D26" s="1690">
        <f>D27+D29</f>
        <v>45474581</v>
      </c>
      <c r="E26" s="1690">
        <f>+E29+E27</f>
        <v>146960</v>
      </c>
      <c r="F26" s="1690">
        <f>+F29+F27</f>
        <v>970000</v>
      </c>
      <c r="G26" s="1690">
        <f>+G27+G29</f>
        <v>44357621</v>
      </c>
      <c r="H26" s="1690">
        <f t="shared" ref="H26" si="17">+H29</f>
        <v>0</v>
      </c>
      <c r="I26" s="1690"/>
      <c r="J26" s="1690"/>
      <c r="K26" s="1690"/>
      <c r="L26" s="1690"/>
      <c r="M26" s="1688">
        <f>+M29+M27</f>
        <v>45327621</v>
      </c>
      <c r="N26" s="1688">
        <f>+N29+N27</f>
        <v>44357621</v>
      </c>
      <c r="O26" s="3189"/>
    </row>
    <row r="27" spans="1:16" s="235" customFormat="1" ht="14.25" customHeight="1">
      <c r="A27" s="3606"/>
      <c r="B27" s="2071" t="s">
        <v>24</v>
      </c>
      <c r="C27" s="3622" t="s">
        <v>171</v>
      </c>
      <c r="D27" s="1689">
        <f>D28</f>
        <v>7090603</v>
      </c>
      <c r="E27" s="2072">
        <f t="shared" ref="E27:H27" si="18">E28</f>
        <v>146960</v>
      </c>
      <c r="F27" s="2073">
        <f t="shared" si="18"/>
        <v>158250</v>
      </c>
      <c r="G27" s="2074">
        <f t="shared" si="18"/>
        <v>6785393</v>
      </c>
      <c r="H27" s="2074">
        <f t="shared" si="18"/>
        <v>0</v>
      </c>
      <c r="I27" s="2074"/>
      <c r="J27" s="2074"/>
      <c r="K27" s="2074"/>
      <c r="L27" s="2074"/>
      <c r="M27" s="2075">
        <f>M28</f>
        <v>6943643</v>
      </c>
      <c r="N27" s="2075">
        <f>N28</f>
        <v>6785393</v>
      </c>
      <c r="O27" s="3189"/>
    </row>
    <row r="28" spans="1:16" s="235" customFormat="1" ht="14.25" customHeight="1">
      <c r="A28" s="3606"/>
      <c r="B28" s="2076" t="s">
        <v>12</v>
      </c>
      <c r="C28" s="3100"/>
      <c r="D28" s="249">
        <f>E28+F28+G28+H28+I28+J28+K28+L28</f>
        <v>7090603</v>
      </c>
      <c r="E28" s="249">
        <v>146960</v>
      </c>
      <c r="F28" s="2077">
        <f>2732267+170000-2664017-80000</f>
        <v>158250</v>
      </c>
      <c r="G28" s="2077">
        <f>4041376+2664017+80000</f>
        <v>6785393</v>
      </c>
      <c r="H28" s="2077">
        <v>0</v>
      </c>
      <c r="I28" s="2077"/>
      <c r="J28" s="2077"/>
      <c r="K28" s="2077"/>
      <c r="L28" s="2077"/>
      <c r="M28" s="823">
        <f>SUM(F28:K28)</f>
        <v>6943643</v>
      </c>
      <c r="N28" s="823">
        <f>SUM(G28:L28)</f>
        <v>6785393</v>
      </c>
      <c r="O28" s="3189"/>
    </row>
    <row r="29" spans="1:16" s="235" customFormat="1" ht="14.25" customHeight="1">
      <c r="A29" s="3606"/>
      <c r="B29" s="2078" t="s">
        <v>18</v>
      </c>
      <c r="C29" s="3100"/>
      <c r="D29" s="1689">
        <f>D30</f>
        <v>38383978</v>
      </c>
      <c r="E29" s="2072">
        <f t="shared" ref="E29" si="19">+E30</f>
        <v>0</v>
      </c>
      <c r="F29" s="2074">
        <f>+F30</f>
        <v>811750</v>
      </c>
      <c r="G29" s="2074">
        <f>+G30</f>
        <v>37572228</v>
      </c>
      <c r="H29" s="2074">
        <v>0</v>
      </c>
      <c r="I29" s="2074"/>
      <c r="J29" s="2074"/>
      <c r="K29" s="2074"/>
      <c r="L29" s="2074"/>
      <c r="M29" s="2075">
        <f>+M30</f>
        <v>38383978</v>
      </c>
      <c r="N29" s="2075">
        <f>+N30</f>
        <v>37572228</v>
      </c>
      <c r="O29" s="3189"/>
    </row>
    <row r="30" spans="1:16" s="235" customFormat="1" ht="15" customHeight="1">
      <c r="A30" s="3606"/>
      <c r="B30" s="283" t="s">
        <v>21</v>
      </c>
      <c r="C30" s="3075"/>
      <c r="D30" s="249">
        <f>E30+F30+G30+H30+I30+J30+K30+L30</f>
        <v>38383978</v>
      </c>
      <c r="E30" s="249">
        <v>0</v>
      </c>
      <c r="F30" s="2077">
        <f>15482849-14416099-255000</f>
        <v>811750</v>
      </c>
      <c r="G30" s="2077">
        <f>22901129+14416099+255000</f>
        <v>37572228</v>
      </c>
      <c r="H30" s="2077">
        <v>0</v>
      </c>
      <c r="I30" s="2077"/>
      <c r="J30" s="2077"/>
      <c r="K30" s="2077"/>
      <c r="L30" s="2077"/>
      <c r="M30" s="823">
        <f>SUM(F30:K30)</f>
        <v>38383978</v>
      </c>
      <c r="N30" s="823">
        <f>SUM(G30:L30)</f>
        <v>37572228</v>
      </c>
      <c r="O30" s="3598"/>
    </row>
    <row r="31" spans="1:16" s="235" customFormat="1" ht="12.75">
      <c r="A31" s="3606"/>
      <c r="B31" s="21" t="s">
        <v>22</v>
      </c>
      <c r="C31" s="22"/>
      <c r="D31" s="1690">
        <f>+D32</f>
        <v>38383978</v>
      </c>
      <c r="E31" s="1690">
        <f t="shared" ref="E31:E32" si="20">+E32</f>
        <v>0</v>
      </c>
      <c r="F31" s="1690">
        <f t="shared" ref="F31:H32" si="21">F32</f>
        <v>0</v>
      </c>
      <c r="G31" s="1690">
        <f t="shared" si="21"/>
        <v>35383978</v>
      </c>
      <c r="H31" s="1690">
        <f t="shared" si="21"/>
        <v>3000000</v>
      </c>
      <c r="I31" s="1690"/>
      <c r="J31" s="1690"/>
      <c r="K31" s="1690"/>
      <c r="L31" s="1690"/>
      <c r="M31" s="3609" t="s">
        <v>61</v>
      </c>
      <c r="N31" s="3609" t="s">
        <v>61</v>
      </c>
      <c r="O31" s="3180" t="s">
        <v>102</v>
      </c>
      <c r="P31" s="480"/>
    </row>
    <row r="32" spans="1:16" s="235" customFormat="1" ht="14.25" customHeight="1">
      <c r="A32" s="3606"/>
      <c r="B32" s="173" t="s">
        <v>18</v>
      </c>
      <c r="C32" s="3621" t="s">
        <v>221</v>
      </c>
      <c r="D32" s="1689">
        <f>+D33</f>
        <v>38383978</v>
      </c>
      <c r="E32" s="2079">
        <f t="shared" si="20"/>
        <v>0</v>
      </c>
      <c r="F32" s="2079">
        <f t="shared" si="21"/>
        <v>0</v>
      </c>
      <c r="G32" s="2079">
        <f t="shared" si="21"/>
        <v>35383978</v>
      </c>
      <c r="H32" s="2079">
        <f t="shared" si="21"/>
        <v>3000000</v>
      </c>
      <c r="I32" s="2079"/>
      <c r="J32" s="2079"/>
      <c r="K32" s="2079"/>
      <c r="L32" s="2079"/>
      <c r="M32" s="3028"/>
      <c r="N32" s="3028"/>
      <c r="O32" s="3180"/>
    </row>
    <row r="33" spans="1:17" s="235" customFormat="1" ht="14.25" customHeight="1" thickBot="1">
      <c r="A33" s="3607"/>
      <c r="B33" s="2052" t="s">
        <v>21</v>
      </c>
      <c r="C33" s="3074"/>
      <c r="D33" s="249">
        <f>E33+F33+G33+H33+I33+J33+K33+L33</f>
        <v>38383978</v>
      </c>
      <c r="E33" s="249">
        <v>0</v>
      </c>
      <c r="F33" s="72">
        <f>14000000-13175000-825000</f>
        <v>0</v>
      </c>
      <c r="G33" s="72">
        <f>23383978+11175000+825000</f>
        <v>35383978</v>
      </c>
      <c r="H33" s="72">
        <f>1000000+2000000</f>
        <v>3000000</v>
      </c>
      <c r="I33" s="72"/>
      <c r="J33" s="72"/>
      <c r="K33" s="72"/>
      <c r="L33" s="72"/>
      <c r="M33" s="3029"/>
      <c r="N33" s="3029"/>
      <c r="O33" s="3181"/>
    </row>
    <row r="34" spans="1:17" ht="23.25" customHeight="1">
      <c r="A34" s="3605" t="s">
        <v>64</v>
      </c>
      <c r="B34" s="186" t="s">
        <v>471</v>
      </c>
      <c r="C34" s="2050" t="s">
        <v>81</v>
      </c>
      <c r="D34" s="1773"/>
      <c r="E34" s="1902"/>
      <c r="F34" s="1775"/>
      <c r="G34" s="1775"/>
      <c r="H34" s="1775"/>
      <c r="I34" s="1774"/>
      <c r="J34" s="1774"/>
      <c r="K34" s="1774"/>
      <c r="L34" s="1774"/>
      <c r="M34" s="1776"/>
      <c r="N34" s="1776"/>
      <c r="O34" s="3188" t="s">
        <v>86</v>
      </c>
    </row>
    <row r="35" spans="1:17" ht="12">
      <c r="A35" s="3608"/>
      <c r="B35" s="315" t="s">
        <v>10</v>
      </c>
      <c r="C35" s="2080"/>
      <c r="D35" s="833">
        <f>+D36+D38</f>
        <v>16691432</v>
      </c>
      <c r="E35" s="833">
        <f t="shared" ref="E35" si="22">+E36+E38</f>
        <v>52306</v>
      </c>
      <c r="F35" s="833">
        <f>+F36+F38</f>
        <v>415000</v>
      </c>
      <c r="G35" s="833">
        <f>+G36+G38</f>
        <v>16224126</v>
      </c>
      <c r="H35" s="833"/>
      <c r="I35" s="833"/>
      <c r="J35" s="833"/>
      <c r="K35" s="833"/>
      <c r="L35" s="833"/>
      <c r="M35" s="1688">
        <f>M36+M38</f>
        <v>16639126</v>
      </c>
      <c r="N35" s="1688">
        <f>N36+N38</f>
        <v>16224126</v>
      </c>
      <c r="O35" s="3189"/>
      <c r="P35" s="203"/>
      <c r="Q35" s="203"/>
    </row>
    <row r="36" spans="1:17" s="235" customFormat="1" ht="14.25" customHeight="1">
      <c r="A36" s="3608"/>
      <c r="B36" s="834" t="s">
        <v>24</v>
      </c>
      <c r="C36" s="3600" t="s">
        <v>171</v>
      </c>
      <c r="D36" s="313">
        <f>D37</f>
        <v>2603425</v>
      </c>
      <c r="E36" s="317">
        <f t="shared" ref="E36:G36" si="23">E37</f>
        <v>52306</v>
      </c>
      <c r="F36" s="2081">
        <f t="shared" si="23"/>
        <v>62250</v>
      </c>
      <c r="G36" s="2081">
        <f t="shared" si="23"/>
        <v>2488869</v>
      </c>
      <c r="H36" s="318"/>
      <c r="I36" s="318"/>
      <c r="J36" s="318"/>
      <c r="K36" s="318"/>
      <c r="L36" s="318"/>
      <c r="M36" s="310">
        <f>M37</f>
        <v>2551119</v>
      </c>
      <c r="N36" s="310">
        <f>N37</f>
        <v>2488869</v>
      </c>
      <c r="O36" s="3189"/>
    </row>
    <row r="37" spans="1:17" s="235" customFormat="1" ht="12.75">
      <c r="A37" s="3608"/>
      <c r="B37" s="835" t="s">
        <v>12</v>
      </c>
      <c r="C37" s="3100"/>
      <c r="D37" s="249">
        <f>E37+F37+G37+H37+I37+J37+K37+L37</f>
        <v>2603425</v>
      </c>
      <c r="E37" s="249">
        <v>52306</v>
      </c>
      <c r="F37" s="312">
        <f>1009016+55696-942462-60000</f>
        <v>62250</v>
      </c>
      <c r="G37" s="312">
        <f>1500949-14542+942462+60000</f>
        <v>2488869</v>
      </c>
      <c r="H37" s="312"/>
      <c r="I37" s="312"/>
      <c r="J37" s="312"/>
      <c r="K37" s="312"/>
      <c r="L37" s="312"/>
      <c r="M37" s="823">
        <f>SUM(F37:K37)</f>
        <v>2551119</v>
      </c>
      <c r="N37" s="823">
        <f>SUM(G37:L37)</f>
        <v>2488869</v>
      </c>
      <c r="O37" s="3189"/>
    </row>
    <row r="38" spans="1:17" ht="14.25" customHeight="1">
      <c r="A38" s="3608"/>
      <c r="B38" s="316" t="s">
        <v>18</v>
      </c>
      <c r="C38" s="3100"/>
      <c r="D38" s="313">
        <f>+D39</f>
        <v>14088007</v>
      </c>
      <c r="E38" s="317">
        <f t="shared" ref="E38" si="24">+E39</f>
        <v>0</v>
      </c>
      <c r="F38" s="2081">
        <f>F39</f>
        <v>352750</v>
      </c>
      <c r="G38" s="2081">
        <f>G39</f>
        <v>13735257</v>
      </c>
      <c r="H38" s="318"/>
      <c r="I38" s="318"/>
      <c r="J38" s="318"/>
      <c r="K38" s="318"/>
      <c r="L38" s="318"/>
      <c r="M38" s="2082">
        <f>+M39</f>
        <v>14088007</v>
      </c>
      <c r="N38" s="2082">
        <f>+N39</f>
        <v>13735257</v>
      </c>
      <c r="O38" s="3189"/>
    </row>
    <row r="39" spans="1:17" ht="12.75">
      <c r="A39" s="3608"/>
      <c r="B39" s="283" t="s">
        <v>21</v>
      </c>
      <c r="C39" s="3075"/>
      <c r="D39" s="249">
        <f>E39+F39+G39+H39+I39+J39+K39+L39</f>
        <v>14088007</v>
      </c>
      <c r="E39" s="249">
        <v>0</v>
      </c>
      <c r="F39" s="312">
        <f>5717756-52724-5057282-255000</f>
        <v>352750</v>
      </c>
      <c r="G39" s="312">
        <f>8505377-82402+5057282+255000</f>
        <v>13735257</v>
      </c>
      <c r="H39" s="312"/>
      <c r="I39" s="312"/>
      <c r="J39" s="312"/>
      <c r="K39" s="312"/>
      <c r="L39" s="312"/>
      <c r="M39" s="823">
        <f>SUM(F39:K39)</f>
        <v>14088007</v>
      </c>
      <c r="N39" s="823">
        <f>SUM(G39:L39)</f>
        <v>13735257</v>
      </c>
      <c r="O39" s="3598"/>
    </row>
    <row r="40" spans="1:17" ht="12">
      <c r="A40" s="3608"/>
      <c r="B40" s="21" t="s">
        <v>22</v>
      </c>
      <c r="C40" s="22"/>
      <c r="D40" s="833">
        <f>+D41</f>
        <v>14088007</v>
      </c>
      <c r="E40" s="833">
        <f t="shared" ref="E40:E41" si="25">+E41</f>
        <v>0</v>
      </c>
      <c r="F40" s="833">
        <f t="shared" ref="F40:H41" si="26">F41</f>
        <v>0</v>
      </c>
      <c r="G40" s="833">
        <f t="shared" si="26"/>
        <v>12088007</v>
      </c>
      <c r="H40" s="833">
        <f t="shared" si="26"/>
        <v>2000000</v>
      </c>
      <c r="I40" s="833"/>
      <c r="J40" s="833"/>
      <c r="K40" s="833"/>
      <c r="L40" s="833"/>
      <c r="M40" s="3602"/>
      <c r="N40" s="3602"/>
      <c r="O40" s="3180" t="s">
        <v>102</v>
      </c>
    </row>
    <row r="41" spans="1:17" ht="12.75" customHeight="1">
      <c r="A41" s="3608"/>
      <c r="B41" s="173" t="s">
        <v>18</v>
      </c>
      <c r="C41" s="3601" t="s">
        <v>221</v>
      </c>
      <c r="D41" s="313">
        <f>+D42</f>
        <v>14088007</v>
      </c>
      <c r="E41" s="314">
        <f t="shared" si="25"/>
        <v>0</v>
      </c>
      <c r="F41" s="314">
        <f t="shared" si="26"/>
        <v>0</v>
      </c>
      <c r="G41" s="314">
        <f t="shared" si="26"/>
        <v>12088007</v>
      </c>
      <c r="H41" s="314">
        <f t="shared" si="26"/>
        <v>2000000</v>
      </c>
      <c r="I41" s="314"/>
      <c r="J41" s="314"/>
      <c r="K41" s="314"/>
      <c r="L41" s="314"/>
      <c r="M41" s="3603"/>
      <c r="N41" s="3603"/>
      <c r="O41" s="3180"/>
    </row>
    <row r="42" spans="1:17" ht="13.5" thickBot="1">
      <c r="A42" s="3611"/>
      <c r="B42" s="2052" t="s">
        <v>21</v>
      </c>
      <c r="C42" s="3074"/>
      <c r="D42" s="249">
        <f>E42+F42+G42+H42+I42+J42+K42+L42</f>
        <v>14088007</v>
      </c>
      <c r="E42" s="249">
        <v>0</v>
      </c>
      <c r="F42" s="72">
        <f>5600000-135126-4889874-575000</f>
        <v>0</v>
      </c>
      <c r="G42" s="72">
        <f>8123133+3389874+575000</f>
        <v>12088007</v>
      </c>
      <c r="H42" s="72">
        <f>500000+1500000</f>
        <v>2000000</v>
      </c>
      <c r="I42" s="72"/>
      <c r="J42" s="72"/>
      <c r="K42" s="72"/>
      <c r="L42" s="72"/>
      <c r="M42" s="3604"/>
      <c r="N42" s="3604"/>
      <c r="O42" s="3181"/>
    </row>
    <row r="43" spans="1:17" ht="27" customHeight="1">
      <c r="A43" s="3605" t="s">
        <v>65</v>
      </c>
      <c r="B43" s="186" t="s">
        <v>526</v>
      </c>
      <c r="C43" s="2050" t="s">
        <v>81</v>
      </c>
      <c r="D43" s="1773"/>
      <c r="E43" s="1902"/>
      <c r="F43" s="1775"/>
      <c r="G43" s="1775"/>
      <c r="H43" s="1775"/>
      <c r="I43" s="1774"/>
      <c r="J43" s="1774"/>
      <c r="K43" s="1774"/>
      <c r="L43" s="1774"/>
      <c r="M43" s="1776"/>
      <c r="N43" s="1776"/>
      <c r="O43" s="3188" t="s">
        <v>86</v>
      </c>
    </row>
    <row r="44" spans="1:17" ht="12">
      <c r="A44" s="3608"/>
      <c r="B44" s="2002" t="s">
        <v>10</v>
      </c>
      <c r="C44" s="2712"/>
      <c r="D44" s="2004">
        <f>+D45+D47</f>
        <v>6800000</v>
      </c>
      <c r="E44" s="2004">
        <f t="shared" ref="E44" si="27">+E45+E47</f>
        <v>0</v>
      </c>
      <c r="F44" s="2004">
        <f>+F45+F47</f>
        <v>247794</v>
      </c>
      <c r="G44" s="2004">
        <f>+G45+G47</f>
        <v>6552206</v>
      </c>
      <c r="H44" s="2004"/>
      <c r="I44" s="2004"/>
      <c r="J44" s="2004"/>
      <c r="K44" s="2004"/>
      <c r="L44" s="2004"/>
      <c r="M44" s="2005">
        <f>M45+M47</f>
        <v>6800000</v>
      </c>
      <c r="N44" s="2005">
        <f>N45+N47</f>
        <v>6552206</v>
      </c>
      <c r="O44" s="3189"/>
      <c r="P44" s="203"/>
      <c r="Q44" s="203"/>
    </row>
    <row r="45" spans="1:17" s="235" customFormat="1" ht="14.25" customHeight="1">
      <c r="A45" s="3608"/>
      <c r="B45" s="2006" t="s">
        <v>24</v>
      </c>
      <c r="C45" s="3040" t="s">
        <v>171</v>
      </c>
      <c r="D45" s="2007">
        <f>D46</f>
        <v>1105000</v>
      </c>
      <c r="E45" s="2713">
        <f t="shared" ref="E45:G45" si="28">E46</f>
        <v>0</v>
      </c>
      <c r="F45" s="2714">
        <f t="shared" si="28"/>
        <v>71879</v>
      </c>
      <c r="G45" s="2714">
        <f t="shared" si="28"/>
        <v>1033121</v>
      </c>
      <c r="H45" s="2012"/>
      <c r="I45" s="2012"/>
      <c r="J45" s="2012"/>
      <c r="K45" s="2012"/>
      <c r="L45" s="2012"/>
      <c r="M45" s="2008">
        <f>M46</f>
        <v>1105000</v>
      </c>
      <c r="N45" s="2008">
        <f>N46</f>
        <v>1033121</v>
      </c>
      <c r="O45" s="3189"/>
    </row>
    <row r="46" spans="1:17" s="235" customFormat="1" ht="12.75">
      <c r="A46" s="3608"/>
      <c r="B46" s="2009" t="s">
        <v>12</v>
      </c>
      <c r="C46" s="3100"/>
      <c r="D46" s="1913">
        <f>E46+F46+G46+H46+I46+J46+K46+L46</f>
        <v>1105000</v>
      </c>
      <c r="E46" s="1913">
        <v>0</v>
      </c>
      <c r="F46" s="2010">
        <f>610000-360000-72500-105621</f>
        <v>71879</v>
      </c>
      <c r="G46" s="2010">
        <f>495000+360000+72500+105621</f>
        <v>1033121</v>
      </c>
      <c r="H46" s="2010"/>
      <c r="I46" s="2010"/>
      <c r="J46" s="2010"/>
      <c r="K46" s="2010"/>
      <c r="L46" s="2010"/>
      <c r="M46" s="2473">
        <f>SUM(F46:K46)</f>
        <v>1105000</v>
      </c>
      <c r="N46" s="2473">
        <f>SUM(G46:L46)</f>
        <v>1033121</v>
      </c>
      <c r="O46" s="3189"/>
    </row>
    <row r="47" spans="1:17" ht="12">
      <c r="A47" s="3608"/>
      <c r="B47" s="2011" t="s">
        <v>18</v>
      </c>
      <c r="C47" s="3100"/>
      <c r="D47" s="2007">
        <f>+D48</f>
        <v>5695000</v>
      </c>
      <c r="E47" s="2713">
        <f t="shared" ref="E47" si="29">+E48</f>
        <v>0</v>
      </c>
      <c r="F47" s="2714">
        <f>F48</f>
        <v>175915</v>
      </c>
      <c r="G47" s="2714">
        <f>G48</f>
        <v>5519085</v>
      </c>
      <c r="H47" s="2012"/>
      <c r="I47" s="2012"/>
      <c r="J47" s="2012"/>
      <c r="K47" s="2012"/>
      <c r="L47" s="2012"/>
      <c r="M47" s="2083">
        <f>+M48</f>
        <v>5695000</v>
      </c>
      <c r="N47" s="2083">
        <f>+N48</f>
        <v>5519085</v>
      </c>
      <c r="O47" s="3189"/>
    </row>
    <row r="48" spans="1:17" ht="12.75">
      <c r="A48" s="3608"/>
      <c r="B48" s="283" t="s">
        <v>21</v>
      </c>
      <c r="C48" s="3075"/>
      <c r="D48" s="1913">
        <f>E48+F48+G48+H48+I48+J48+K48+L48</f>
        <v>5695000</v>
      </c>
      <c r="E48" s="1913">
        <v>0</v>
      </c>
      <c r="F48" s="2010">
        <f>2890000-2040000-127500-546585</f>
        <v>175915</v>
      </c>
      <c r="G48" s="2010">
        <f>2805000+2040000+127500+546585</f>
        <v>5519085</v>
      </c>
      <c r="H48" s="2010"/>
      <c r="I48" s="2010"/>
      <c r="J48" s="2010"/>
      <c r="K48" s="2010"/>
      <c r="L48" s="2010"/>
      <c r="M48" s="2473">
        <f>SUM(F48:K48)</f>
        <v>5695000</v>
      </c>
      <c r="N48" s="2473">
        <f>SUM(G48:L48)</f>
        <v>5519085</v>
      </c>
      <c r="O48" s="3598"/>
    </row>
    <row r="49" spans="1:17" ht="12">
      <c r="A49" s="3608"/>
      <c r="B49" s="715" t="s">
        <v>22</v>
      </c>
      <c r="C49" s="2003"/>
      <c r="D49" s="2004">
        <f>+D50</f>
        <v>5695000</v>
      </c>
      <c r="E49" s="2004">
        <f t="shared" ref="E49:E50" si="30">+E50</f>
        <v>0</v>
      </c>
      <c r="F49" s="2004">
        <f t="shared" ref="F49:H50" si="31">F50</f>
        <v>0</v>
      </c>
      <c r="G49" s="2004">
        <f t="shared" si="31"/>
        <v>5695000</v>
      </c>
      <c r="H49" s="2004">
        <f t="shared" si="31"/>
        <v>0</v>
      </c>
      <c r="I49" s="2004"/>
      <c r="J49" s="2004"/>
      <c r="K49" s="2004"/>
      <c r="L49" s="2004"/>
      <c r="M49" s="3612"/>
      <c r="N49" s="3612"/>
      <c r="O49" s="3180" t="s">
        <v>102</v>
      </c>
    </row>
    <row r="50" spans="1:17" ht="12.75" customHeight="1">
      <c r="A50" s="3608"/>
      <c r="B50" s="681" t="s">
        <v>18</v>
      </c>
      <c r="C50" s="3127" t="s">
        <v>221</v>
      </c>
      <c r="D50" s="2007">
        <f>+D51</f>
        <v>5695000</v>
      </c>
      <c r="E50" s="2013">
        <f t="shared" si="30"/>
        <v>0</v>
      </c>
      <c r="F50" s="2013">
        <f t="shared" si="31"/>
        <v>0</v>
      </c>
      <c r="G50" s="2013">
        <f t="shared" si="31"/>
        <v>5695000</v>
      </c>
      <c r="H50" s="2013">
        <f t="shared" si="31"/>
        <v>0</v>
      </c>
      <c r="I50" s="2013"/>
      <c r="J50" s="2013"/>
      <c r="K50" s="2013"/>
      <c r="L50" s="2013"/>
      <c r="M50" s="3603"/>
      <c r="N50" s="3603"/>
      <c r="O50" s="3180"/>
    </row>
    <row r="51" spans="1:17" ht="13.5" thickBot="1">
      <c r="A51" s="3611"/>
      <c r="B51" s="2052" t="s">
        <v>21</v>
      </c>
      <c r="C51" s="3074"/>
      <c r="D51" s="2195">
        <f>E51+F51+G51+H51+I51+J51+K51+L51</f>
        <v>5695000</v>
      </c>
      <c r="E51" s="2195">
        <v>0</v>
      </c>
      <c r="F51" s="2457">
        <f>2890000-2040000-850000</f>
        <v>0</v>
      </c>
      <c r="G51" s="2457">
        <f>2805000+2040000+850000</f>
        <v>5695000</v>
      </c>
      <c r="H51" s="2457">
        <v>0</v>
      </c>
      <c r="I51" s="2457"/>
      <c r="J51" s="2457"/>
      <c r="K51" s="2457"/>
      <c r="L51" s="2457"/>
      <c r="M51" s="3604"/>
      <c r="N51" s="3604"/>
      <c r="O51" s="3181"/>
    </row>
    <row r="52" spans="1:17" ht="24">
      <c r="A52" s="3605" t="s">
        <v>66</v>
      </c>
      <c r="B52" s="186" t="s">
        <v>489</v>
      </c>
      <c r="C52" s="2050" t="s">
        <v>81</v>
      </c>
      <c r="D52" s="1773"/>
      <c r="E52" s="1902"/>
      <c r="F52" s="1775"/>
      <c r="G52" s="1775"/>
      <c r="H52" s="1775"/>
      <c r="I52" s="1774"/>
      <c r="J52" s="1774"/>
      <c r="K52" s="1774"/>
      <c r="L52" s="1774"/>
      <c r="M52" s="1776"/>
      <c r="N52" s="1776"/>
      <c r="O52" s="3188" t="s">
        <v>86</v>
      </c>
    </row>
    <row r="53" spans="1:17" ht="16.5" customHeight="1">
      <c r="A53" s="3608"/>
      <c r="B53" s="1073" t="s">
        <v>10</v>
      </c>
      <c r="C53" s="1777"/>
      <c r="D53" s="765">
        <f>+D54+D56</f>
        <v>7500000</v>
      </c>
      <c r="E53" s="765">
        <f t="shared" ref="E53" si="32">+E54+E56</f>
        <v>0</v>
      </c>
      <c r="F53" s="814">
        <f>+F54+F56</f>
        <v>0</v>
      </c>
      <c r="G53" s="765">
        <f>+G54+G56</f>
        <v>3500000</v>
      </c>
      <c r="H53" s="765">
        <f>+H54+H56</f>
        <v>4000000</v>
      </c>
      <c r="I53" s="765"/>
      <c r="J53" s="765"/>
      <c r="K53" s="765"/>
      <c r="L53" s="765"/>
      <c r="M53" s="1024">
        <f>M54+M56</f>
        <v>7500000</v>
      </c>
      <c r="N53" s="1024">
        <f>N54+N56</f>
        <v>7500000</v>
      </c>
      <c r="O53" s="3189"/>
      <c r="P53" s="203"/>
      <c r="Q53" s="203"/>
    </row>
    <row r="54" spans="1:17" s="235" customFormat="1" ht="14.25" customHeight="1">
      <c r="A54" s="3608"/>
      <c r="B54" s="1065" t="s">
        <v>24</v>
      </c>
      <c r="C54" s="3108" t="s">
        <v>171</v>
      </c>
      <c r="D54" s="698">
        <f>D55</f>
        <v>1125000</v>
      </c>
      <c r="E54" s="1446">
        <f t="shared" ref="E54:H54" si="33">E55</f>
        <v>0</v>
      </c>
      <c r="F54" s="1778">
        <f t="shared" si="33"/>
        <v>0</v>
      </c>
      <c r="G54" s="1448">
        <f t="shared" si="33"/>
        <v>525000</v>
      </c>
      <c r="H54" s="1448">
        <f t="shared" si="33"/>
        <v>600000</v>
      </c>
      <c r="I54" s="1447"/>
      <c r="J54" s="1447"/>
      <c r="K54" s="1447"/>
      <c r="L54" s="1447"/>
      <c r="M54" s="694">
        <f>M55</f>
        <v>1125000</v>
      </c>
      <c r="N54" s="694">
        <f>N55</f>
        <v>1125000</v>
      </c>
      <c r="O54" s="3189"/>
    </row>
    <row r="55" spans="1:17" s="235" customFormat="1" ht="14.25" customHeight="1">
      <c r="A55" s="3608"/>
      <c r="B55" s="1418" t="s">
        <v>12</v>
      </c>
      <c r="C55" s="3100"/>
      <c r="D55" s="249">
        <f>E55+F55+G55+H55+I55+J55+K55+L55</f>
        <v>1125000</v>
      </c>
      <c r="E55" s="249">
        <v>0</v>
      </c>
      <c r="F55" s="1519">
        <f>225000-225000</f>
        <v>0</v>
      </c>
      <c r="G55" s="1062">
        <f>900000-375000</f>
        <v>525000</v>
      </c>
      <c r="H55" s="1062">
        <v>600000</v>
      </c>
      <c r="I55" s="1062"/>
      <c r="J55" s="1062"/>
      <c r="K55" s="1062"/>
      <c r="L55" s="1062"/>
      <c r="M55" s="823">
        <f>SUM(F55:K55)</f>
        <v>1125000</v>
      </c>
      <c r="N55" s="823">
        <f>SUM(G55:L55)</f>
        <v>1125000</v>
      </c>
      <c r="O55" s="3189"/>
    </row>
    <row r="56" spans="1:17" ht="14.25" customHeight="1">
      <c r="A56" s="3608"/>
      <c r="B56" s="1053" t="s">
        <v>18</v>
      </c>
      <c r="C56" s="3100"/>
      <c r="D56" s="698">
        <f>+D57</f>
        <v>6375000</v>
      </c>
      <c r="E56" s="1446">
        <f t="shared" ref="E56" si="34">+E57</f>
        <v>0</v>
      </c>
      <c r="F56" s="1778">
        <f>F57</f>
        <v>0</v>
      </c>
      <c r="G56" s="1448">
        <f>G57</f>
        <v>2975000</v>
      </c>
      <c r="H56" s="1448">
        <f>H57</f>
        <v>3400000</v>
      </c>
      <c r="I56" s="1447"/>
      <c r="J56" s="1447"/>
      <c r="K56" s="1447"/>
      <c r="L56" s="1447"/>
      <c r="M56" s="1098">
        <f>+M57</f>
        <v>6375000</v>
      </c>
      <c r="N56" s="1098">
        <f>+N57</f>
        <v>6375000</v>
      </c>
      <c r="O56" s="3189"/>
    </row>
    <row r="57" spans="1:17" ht="13.5" customHeight="1">
      <c r="A57" s="3608"/>
      <c r="B57" s="283" t="s">
        <v>21</v>
      </c>
      <c r="C57" s="3075"/>
      <c r="D57" s="249">
        <f>E57+F57+G57+H57+I57+J57+K57+L57</f>
        <v>6375000</v>
      </c>
      <c r="E57" s="249">
        <v>0</v>
      </c>
      <c r="F57" s="1519">
        <f>1275000-1275000</f>
        <v>0</v>
      </c>
      <c r="G57" s="1062">
        <f>5100000-2125000</f>
        <v>2975000</v>
      </c>
      <c r="H57" s="1062">
        <v>3400000</v>
      </c>
      <c r="I57" s="1062"/>
      <c r="J57" s="1062"/>
      <c r="K57" s="1062"/>
      <c r="L57" s="1062"/>
      <c r="M57" s="823">
        <f>SUM(F57:K57)</f>
        <v>6375000</v>
      </c>
      <c r="N57" s="823">
        <f>SUM(G57:L57)</f>
        <v>6375000</v>
      </c>
      <c r="O57" s="3598"/>
    </row>
    <row r="58" spans="1:17" ht="15.75" customHeight="1">
      <c r="A58" s="3608"/>
      <c r="B58" s="715" t="s">
        <v>22</v>
      </c>
      <c r="C58" s="813"/>
      <c r="D58" s="765">
        <f>+D59</f>
        <v>6375000</v>
      </c>
      <c r="E58" s="765">
        <f t="shared" ref="E58:E59" si="35">+E59</f>
        <v>0</v>
      </c>
      <c r="F58" s="814">
        <f t="shared" ref="F58:H59" si="36">F59</f>
        <v>0</v>
      </c>
      <c r="G58" s="765">
        <f t="shared" si="36"/>
        <v>1800000</v>
      </c>
      <c r="H58" s="765">
        <f t="shared" si="36"/>
        <v>4575000</v>
      </c>
      <c r="I58" s="765"/>
      <c r="J58" s="765"/>
      <c r="K58" s="765"/>
      <c r="L58" s="765"/>
      <c r="M58" s="3613"/>
      <c r="N58" s="3613"/>
      <c r="O58" s="3180" t="s">
        <v>102</v>
      </c>
    </row>
    <row r="59" spans="1:17" ht="17.25" customHeight="1">
      <c r="A59" s="3608"/>
      <c r="B59" s="681" t="s">
        <v>18</v>
      </c>
      <c r="C59" s="3113" t="s">
        <v>221</v>
      </c>
      <c r="D59" s="698">
        <f>+D60</f>
        <v>6375000</v>
      </c>
      <c r="E59" s="1030">
        <f t="shared" si="35"/>
        <v>0</v>
      </c>
      <c r="F59" s="1057">
        <f t="shared" si="36"/>
        <v>0</v>
      </c>
      <c r="G59" s="1030">
        <f t="shared" si="36"/>
        <v>1800000</v>
      </c>
      <c r="H59" s="1030">
        <f t="shared" si="36"/>
        <v>4575000</v>
      </c>
      <c r="I59" s="1030"/>
      <c r="J59" s="1030"/>
      <c r="K59" s="1030"/>
      <c r="L59" s="1030"/>
      <c r="M59" s="3603"/>
      <c r="N59" s="3603"/>
      <c r="O59" s="3180"/>
    </row>
    <row r="60" spans="1:17" ht="17.25" customHeight="1" thickBot="1">
      <c r="A60" s="3611"/>
      <c r="B60" s="2052" t="s">
        <v>21</v>
      </c>
      <c r="C60" s="3074"/>
      <c r="D60" s="249">
        <f>E60+F60+G60+H60+I60+J60+K60+L60</f>
        <v>6375000</v>
      </c>
      <c r="E60" s="249">
        <v>0</v>
      </c>
      <c r="F60" s="1058">
        <v>0</v>
      </c>
      <c r="G60" s="520">
        <v>1800000</v>
      </c>
      <c r="H60" s="520">
        <v>4575000</v>
      </c>
      <c r="I60" s="520"/>
      <c r="J60" s="520"/>
      <c r="K60" s="520"/>
      <c r="L60" s="520"/>
      <c r="M60" s="3604"/>
      <c r="N60" s="3604"/>
      <c r="O60" s="3181"/>
    </row>
    <row r="61" spans="1:17" s="235" customFormat="1" ht="27.75" customHeight="1">
      <c r="A61" s="3605" t="s">
        <v>67</v>
      </c>
      <c r="B61" s="186" t="s">
        <v>318</v>
      </c>
      <c r="C61" s="2050" t="s">
        <v>81</v>
      </c>
      <c r="D61" s="826"/>
      <c r="E61" s="1903"/>
      <c r="F61" s="828"/>
      <c r="G61" s="828"/>
      <c r="H61" s="828"/>
      <c r="I61" s="827"/>
      <c r="J61" s="827"/>
      <c r="K61" s="827"/>
      <c r="L61" s="827"/>
      <c r="M61" s="829"/>
      <c r="N61" s="829"/>
      <c r="O61" s="522"/>
    </row>
    <row r="62" spans="1:17" s="235" customFormat="1" ht="14.25" customHeight="1">
      <c r="A62" s="3606"/>
      <c r="B62" s="315" t="s">
        <v>10</v>
      </c>
      <c r="C62" s="22"/>
      <c r="D62" s="833">
        <f t="shared" ref="D62" si="37">+D65+D63</f>
        <v>10907395</v>
      </c>
      <c r="E62" s="833">
        <f t="shared" ref="E62" si="38">+E65+E63</f>
        <v>0</v>
      </c>
      <c r="F62" s="833">
        <f>+F65+F63</f>
        <v>0</v>
      </c>
      <c r="G62" s="833">
        <f t="shared" ref="G62:L62" si="39">+G65+G63</f>
        <v>10907395</v>
      </c>
      <c r="H62" s="833">
        <f t="shared" si="39"/>
        <v>0</v>
      </c>
      <c r="I62" s="833">
        <f t="shared" si="39"/>
        <v>0</v>
      </c>
      <c r="J62" s="833">
        <f t="shared" si="39"/>
        <v>0</v>
      </c>
      <c r="K62" s="833">
        <f t="shared" si="39"/>
        <v>0</v>
      </c>
      <c r="L62" s="833">
        <f t="shared" si="39"/>
        <v>0</v>
      </c>
      <c r="M62" s="311">
        <f>+M65+M63</f>
        <v>10907395</v>
      </c>
      <c r="N62" s="311">
        <f>+N65+N63</f>
        <v>10907395</v>
      </c>
      <c r="O62" s="3189" t="s">
        <v>487</v>
      </c>
    </row>
    <row r="63" spans="1:17" s="235" customFormat="1" ht="14.25" customHeight="1">
      <c r="A63" s="3606"/>
      <c r="B63" s="834" t="s">
        <v>24</v>
      </c>
      <c r="C63" s="3600" t="s">
        <v>171</v>
      </c>
      <c r="D63" s="313">
        <f>D64</f>
        <v>1636110</v>
      </c>
      <c r="E63" s="317">
        <f t="shared" ref="E63:I63" si="40">E64</f>
        <v>0</v>
      </c>
      <c r="F63" s="318">
        <f t="shared" si="40"/>
        <v>0</v>
      </c>
      <c r="G63" s="318">
        <f t="shared" si="40"/>
        <v>1636110</v>
      </c>
      <c r="H63" s="318">
        <f t="shared" si="40"/>
        <v>0</v>
      </c>
      <c r="I63" s="318">
        <f t="shared" si="40"/>
        <v>0</v>
      </c>
      <c r="J63" s="318"/>
      <c r="K63" s="318"/>
      <c r="L63" s="318"/>
      <c r="M63" s="310">
        <f>M64</f>
        <v>1636110</v>
      </c>
      <c r="N63" s="310">
        <f>N64</f>
        <v>1636110</v>
      </c>
      <c r="O63" s="3189"/>
    </row>
    <row r="64" spans="1:17" s="235" customFormat="1" ht="14.25" customHeight="1">
      <c r="A64" s="3606"/>
      <c r="B64" s="835" t="s">
        <v>12</v>
      </c>
      <c r="C64" s="3100"/>
      <c r="D64" s="249">
        <f>E64+F64+G64+H64+I64+J64+K64+L64</f>
        <v>1636110</v>
      </c>
      <c r="E64" s="249">
        <v>0</v>
      </c>
      <c r="F64" s="2715">
        <f>1140368-497301-643067</f>
        <v>0</v>
      </c>
      <c r="G64" s="2715">
        <f>1140367-147324+643067</f>
        <v>1636110</v>
      </c>
      <c r="H64" s="312">
        <v>0</v>
      </c>
      <c r="I64" s="312">
        <v>0</v>
      </c>
      <c r="J64" s="312">
        <v>0</v>
      </c>
      <c r="K64" s="312">
        <v>0</v>
      </c>
      <c r="L64" s="312">
        <v>0</v>
      </c>
      <c r="M64" s="823">
        <f>SUM(F64:K64)</f>
        <v>1636110</v>
      </c>
      <c r="N64" s="823">
        <f>SUM(G64:L64)</f>
        <v>1636110</v>
      </c>
      <c r="O64" s="3189"/>
    </row>
    <row r="65" spans="1:15" s="235" customFormat="1" ht="14.25" customHeight="1">
      <c r="A65" s="3606"/>
      <c r="B65" s="316" t="s">
        <v>18</v>
      </c>
      <c r="C65" s="3100"/>
      <c r="D65" s="313">
        <f>D66</f>
        <v>9271285</v>
      </c>
      <c r="E65" s="313">
        <f t="shared" ref="E65:L65" si="41">E66</f>
        <v>0</v>
      </c>
      <c r="F65" s="313">
        <f t="shared" si="41"/>
        <v>0</v>
      </c>
      <c r="G65" s="313">
        <f t="shared" si="41"/>
        <v>9271285</v>
      </c>
      <c r="H65" s="313">
        <f t="shared" si="41"/>
        <v>0</v>
      </c>
      <c r="I65" s="313">
        <f t="shared" si="41"/>
        <v>0</v>
      </c>
      <c r="J65" s="313">
        <f t="shared" si="41"/>
        <v>0</v>
      </c>
      <c r="K65" s="313">
        <f t="shared" si="41"/>
        <v>0</v>
      </c>
      <c r="L65" s="313">
        <f t="shared" si="41"/>
        <v>0</v>
      </c>
      <c r="M65" s="310">
        <f>+M66</f>
        <v>9271285</v>
      </c>
      <c r="N65" s="310">
        <f>+N66</f>
        <v>9271285</v>
      </c>
      <c r="O65" s="3189"/>
    </row>
    <row r="66" spans="1:15" s="235" customFormat="1" ht="15" customHeight="1">
      <c r="A66" s="3606"/>
      <c r="B66" s="283" t="s">
        <v>21</v>
      </c>
      <c r="C66" s="3075"/>
      <c r="D66" s="249">
        <f>E66+F66+G66+H66+I66+J66+K66+L66</f>
        <v>9271285</v>
      </c>
      <c r="E66" s="249">
        <v>0</v>
      </c>
      <c r="F66" s="312">
        <f>6462083-2818040-3644043</f>
        <v>0</v>
      </c>
      <c r="G66" s="312">
        <f>6462084-834842+3644043</f>
        <v>9271285</v>
      </c>
      <c r="H66" s="312">
        <v>0</v>
      </c>
      <c r="I66" s="312">
        <v>0</v>
      </c>
      <c r="J66" s="312">
        <v>0</v>
      </c>
      <c r="K66" s="312">
        <v>0</v>
      </c>
      <c r="L66" s="312">
        <v>0</v>
      </c>
      <c r="M66" s="823">
        <f>SUM(F66:K66)</f>
        <v>9271285</v>
      </c>
      <c r="N66" s="823">
        <f>SUM(G66:L66)</f>
        <v>9271285</v>
      </c>
      <c r="O66" s="3598"/>
    </row>
    <row r="67" spans="1:15" s="235" customFormat="1" ht="15.75" customHeight="1">
      <c r="A67" s="3606"/>
      <c r="B67" s="21" t="s">
        <v>22</v>
      </c>
      <c r="C67" s="22"/>
      <c r="D67" s="833">
        <f t="shared" ref="D67:L68" si="42">D68</f>
        <v>9271285</v>
      </c>
      <c r="E67" s="833">
        <f t="shared" ref="E67:E68" si="43">+E68</f>
        <v>0</v>
      </c>
      <c r="F67" s="833">
        <f t="shared" si="42"/>
        <v>0</v>
      </c>
      <c r="G67" s="833">
        <f t="shared" si="42"/>
        <v>9271285</v>
      </c>
      <c r="H67" s="833">
        <f t="shared" si="42"/>
        <v>0</v>
      </c>
      <c r="I67" s="833">
        <f t="shared" si="42"/>
        <v>0</v>
      </c>
      <c r="J67" s="833">
        <f t="shared" si="42"/>
        <v>0</v>
      </c>
      <c r="K67" s="833">
        <f t="shared" si="42"/>
        <v>0</v>
      </c>
      <c r="L67" s="833">
        <f t="shared" si="42"/>
        <v>0</v>
      </c>
      <c r="M67" s="3610" t="s">
        <v>61</v>
      </c>
      <c r="N67" s="3610" t="s">
        <v>61</v>
      </c>
      <c r="O67" s="3623" t="s">
        <v>317</v>
      </c>
    </row>
    <row r="68" spans="1:15" s="235" customFormat="1" ht="15" customHeight="1">
      <c r="A68" s="3606"/>
      <c r="B68" s="173" t="s">
        <v>18</v>
      </c>
      <c r="C68" s="3601" t="s">
        <v>221</v>
      </c>
      <c r="D68" s="314">
        <f t="shared" si="42"/>
        <v>9271285</v>
      </c>
      <c r="E68" s="314">
        <f t="shared" si="43"/>
        <v>0</v>
      </c>
      <c r="F68" s="314">
        <f t="shared" si="42"/>
        <v>0</v>
      </c>
      <c r="G68" s="314">
        <f t="shared" si="42"/>
        <v>9271285</v>
      </c>
      <c r="H68" s="314">
        <f t="shared" si="42"/>
        <v>0</v>
      </c>
      <c r="I68" s="314">
        <f t="shared" si="42"/>
        <v>0</v>
      </c>
      <c r="J68" s="314">
        <f t="shared" si="42"/>
        <v>0</v>
      </c>
      <c r="K68" s="314">
        <f t="shared" si="42"/>
        <v>0</v>
      </c>
      <c r="L68" s="314">
        <f t="shared" si="42"/>
        <v>0</v>
      </c>
      <c r="M68" s="3028"/>
      <c r="N68" s="3028"/>
      <c r="O68" s="3071"/>
    </row>
    <row r="69" spans="1:15" s="235" customFormat="1" ht="15" customHeight="1" thickBot="1">
      <c r="A69" s="3607"/>
      <c r="B69" s="2052" t="s">
        <v>21</v>
      </c>
      <c r="C69" s="3074"/>
      <c r="D69" s="249">
        <f>E69+F69+G69+H69+I69+J69+K69+L69</f>
        <v>9271285</v>
      </c>
      <c r="E69" s="249">
        <v>0</v>
      </c>
      <c r="F69" s="72">
        <f>6462083-2818040-3644043</f>
        <v>0</v>
      </c>
      <c r="G69" s="72">
        <f>6462084-834842+3644043</f>
        <v>9271285</v>
      </c>
      <c r="H69" s="72">
        <v>0</v>
      </c>
      <c r="I69" s="72">
        <v>0</v>
      </c>
      <c r="J69" s="72">
        <v>0</v>
      </c>
      <c r="K69" s="72">
        <v>0</v>
      </c>
      <c r="L69" s="72">
        <v>0</v>
      </c>
      <c r="M69" s="3029"/>
      <c r="N69" s="3029"/>
      <c r="O69" s="3072"/>
    </row>
    <row r="70" spans="1:15" s="235" customFormat="1" ht="36">
      <c r="A70" s="3608" t="s">
        <v>115</v>
      </c>
      <c r="B70" s="186" t="s">
        <v>542</v>
      </c>
      <c r="C70" s="2050" t="s">
        <v>172</v>
      </c>
      <c r="D70" s="826"/>
      <c r="E70" s="1903"/>
      <c r="F70" s="828"/>
      <c r="G70" s="828"/>
      <c r="H70" s="828"/>
      <c r="I70" s="827"/>
      <c r="J70" s="827"/>
      <c r="K70" s="827"/>
      <c r="L70" s="827"/>
      <c r="M70" s="829"/>
      <c r="N70" s="829"/>
      <c r="O70" s="3188" t="s">
        <v>362</v>
      </c>
    </row>
    <row r="71" spans="1:15" s="235" customFormat="1" ht="15" customHeight="1">
      <c r="A71" s="3606"/>
      <c r="B71" s="30" t="s">
        <v>10</v>
      </c>
      <c r="C71" s="22"/>
      <c r="D71" s="199">
        <f>D72+D74</f>
        <v>119600</v>
      </c>
      <c r="E71" s="199">
        <f t="shared" ref="E71" si="44">E72+E74</f>
        <v>0</v>
      </c>
      <c r="F71" s="938">
        <f t="shared" ref="F71:L71" si="45">+F74</f>
        <v>0</v>
      </c>
      <c r="G71" s="199">
        <f>G72+G76</f>
        <v>119600</v>
      </c>
      <c r="H71" s="199">
        <f t="shared" si="45"/>
        <v>0</v>
      </c>
      <c r="I71" s="199">
        <f t="shared" si="45"/>
        <v>0</v>
      </c>
      <c r="J71" s="199">
        <f t="shared" si="45"/>
        <v>0</v>
      </c>
      <c r="K71" s="199">
        <f t="shared" si="45"/>
        <v>0</v>
      </c>
      <c r="L71" s="199">
        <f t="shared" si="45"/>
        <v>0</v>
      </c>
      <c r="M71" s="65">
        <f>+M74+M72</f>
        <v>119600</v>
      </c>
      <c r="N71" s="65">
        <f>+N74+N72</f>
        <v>119600</v>
      </c>
      <c r="O71" s="3189"/>
    </row>
    <row r="72" spans="1:15" s="235" customFormat="1" ht="15" customHeight="1">
      <c r="A72" s="3606"/>
      <c r="B72" s="834" t="s">
        <v>24</v>
      </c>
      <c r="C72" s="3600" t="s">
        <v>218</v>
      </c>
      <c r="D72" s="313">
        <f>D73</f>
        <v>17940</v>
      </c>
      <c r="E72" s="317">
        <f t="shared" ref="E72:F72" si="46">E73</f>
        <v>0</v>
      </c>
      <c r="F72" s="1520">
        <f t="shared" si="46"/>
        <v>0</v>
      </c>
      <c r="G72" s="318">
        <f>G73</f>
        <v>17940</v>
      </c>
      <c r="H72" s="318">
        <v>0</v>
      </c>
      <c r="I72" s="318">
        <v>0</v>
      </c>
      <c r="J72" s="318">
        <v>0</v>
      </c>
      <c r="K72" s="318">
        <v>0</v>
      </c>
      <c r="L72" s="318">
        <v>0</v>
      </c>
      <c r="M72" s="310">
        <f>M73</f>
        <v>17940</v>
      </c>
      <c r="N72" s="310">
        <f>N73</f>
        <v>17940</v>
      </c>
      <c r="O72" s="3189"/>
    </row>
    <row r="73" spans="1:15" s="235" customFormat="1" ht="15" customHeight="1">
      <c r="A73" s="3606"/>
      <c r="B73" s="835" t="s">
        <v>12</v>
      </c>
      <c r="C73" s="3100"/>
      <c r="D73" s="249">
        <f>E73+F73+G73+H73+I73+J73+K73+L73</f>
        <v>17940</v>
      </c>
      <c r="E73" s="249">
        <v>0</v>
      </c>
      <c r="F73" s="1521">
        <v>0</v>
      </c>
      <c r="G73" s="312">
        <v>17940</v>
      </c>
      <c r="H73" s="312">
        <v>0</v>
      </c>
      <c r="I73" s="312">
        <v>0</v>
      </c>
      <c r="J73" s="312">
        <v>0</v>
      </c>
      <c r="K73" s="312">
        <v>0</v>
      </c>
      <c r="L73" s="312">
        <v>0</v>
      </c>
      <c r="M73" s="823">
        <f>SUM(F73:K73)</f>
        <v>17940</v>
      </c>
      <c r="N73" s="823">
        <f>SUM(G73:L73)</f>
        <v>17940</v>
      </c>
      <c r="O73" s="3189"/>
    </row>
    <row r="74" spans="1:15" s="235" customFormat="1" ht="15" customHeight="1">
      <c r="A74" s="3606"/>
      <c r="B74" s="688" t="s">
        <v>18</v>
      </c>
      <c r="C74" s="3100"/>
      <c r="D74" s="49">
        <f>D75</f>
        <v>101660</v>
      </c>
      <c r="E74" s="101">
        <f t="shared" ref="E74:N74" si="47">+E75</f>
        <v>0</v>
      </c>
      <c r="F74" s="1522">
        <v>0</v>
      </c>
      <c r="G74" s="102">
        <f>G75</f>
        <v>101660</v>
      </c>
      <c r="H74" s="102">
        <v>0</v>
      </c>
      <c r="I74" s="102">
        <v>0</v>
      </c>
      <c r="J74" s="102">
        <v>0</v>
      </c>
      <c r="K74" s="102">
        <v>0</v>
      </c>
      <c r="L74" s="102">
        <v>0</v>
      </c>
      <c r="M74" s="79">
        <f t="shared" si="47"/>
        <v>101660</v>
      </c>
      <c r="N74" s="79">
        <f t="shared" si="47"/>
        <v>101660</v>
      </c>
      <c r="O74" s="3189"/>
    </row>
    <row r="75" spans="1:15" s="235" customFormat="1" ht="15" customHeight="1">
      <c r="A75" s="3606"/>
      <c r="B75" s="283" t="s">
        <v>21</v>
      </c>
      <c r="C75" s="3075"/>
      <c r="D75" s="249">
        <f>E75+F75+G75+H75+I75+J75+K75+L75</f>
        <v>101660</v>
      </c>
      <c r="E75" s="249">
        <v>0</v>
      </c>
      <c r="F75" s="1523">
        <v>0</v>
      </c>
      <c r="G75" s="51">
        <v>101660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823">
        <f>SUM(F75:K75)</f>
        <v>101660</v>
      </c>
      <c r="N75" s="823">
        <f>SUM(G75:L75)</f>
        <v>101660</v>
      </c>
      <c r="O75" s="3598"/>
    </row>
    <row r="76" spans="1:15" s="235" customFormat="1" ht="15" customHeight="1">
      <c r="A76" s="3606"/>
      <c r="B76" s="21" t="s">
        <v>22</v>
      </c>
      <c r="C76" s="22"/>
      <c r="D76" s="199">
        <f t="shared" ref="D76:L77" si="48">D77</f>
        <v>101660</v>
      </c>
      <c r="E76" s="199">
        <f t="shared" ref="E76:E77" si="49">+E77</f>
        <v>0</v>
      </c>
      <c r="F76" s="938">
        <f t="shared" si="48"/>
        <v>0</v>
      </c>
      <c r="G76" s="199">
        <f t="shared" si="48"/>
        <v>101660</v>
      </c>
      <c r="H76" s="199">
        <f t="shared" si="48"/>
        <v>0</v>
      </c>
      <c r="I76" s="199">
        <f t="shared" si="48"/>
        <v>0</v>
      </c>
      <c r="J76" s="199">
        <f t="shared" si="48"/>
        <v>0</v>
      </c>
      <c r="K76" s="199">
        <f t="shared" si="48"/>
        <v>0</v>
      </c>
      <c r="L76" s="199">
        <f t="shared" si="48"/>
        <v>0</v>
      </c>
      <c r="M76" s="3027" t="s">
        <v>61</v>
      </c>
      <c r="N76" s="3027" t="s">
        <v>61</v>
      </c>
      <c r="O76" s="3189" t="s">
        <v>224</v>
      </c>
    </row>
    <row r="77" spans="1:15" s="235" customFormat="1" ht="15" customHeight="1">
      <c r="A77" s="3606"/>
      <c r="B77" s="173" t="s">
        <v>18</v>
      </c>
      <c r="C77" s="3599" t="s">
        <v>221</v>
      </c>
      <c r="D77" s="50">
        <f t="shared" si="48"/>
        <v>101660</v>
      </c>
      <c r="E77" s="50">
        <f t="shared" si="49"/>
        <v>0</v>
      </c>
      <c r="F77" s="287">
        <f t="shared" si="48"/>
        <v>0</v>
      </c>
      <c r="G77" s="50">
        <f t="shared" si="48"/>
        <v>101660</v>
      </c>
      <c r="H77" s="50">
        <f t="shared" si="48"/>
        <v>0</v>
      </c>
      <c r="I77" s="50">
        <f t="shared" si="48"/>
        <v>0</v>
      </c>
      <c r="J77" s="50">
        <f t="shared" si="48"/>
        <v>0</v>
      </c>
      <c r="K77" s="50">
        <f t="shared" si="48"/>
        <v>0</v>
      </c>
      <c r="L77" s="50">
        <f t="shared" si="48"/>
        <v>0</v>
      </c>
      <c r="M77" s="3028"/>
      <c r="N77" s="3028"/>
      <c r="O77" s="3189"/>
    </row>
    <row r="78" spans="1:15" s="235" customFormat="1" ht="15" customHeight="1" thickBot="1">
      <c r="A78" s="3607"/>
      <c r="B78" s="2052" t="s">
        <v>21</v>
      </c>
      <c r="C78" s="3074"/>
      <c r="D78" s="249">
        <f>E78+F78+G78+H78+I78+J78+K78+L78</f>
        <v>101660</v>
      </c>
      <c r="E78" s="249">
        <v>0</v>
      </c>
      <c r="F78" s="288">
        <v>0</v>
      </c>
      <c r="G78" s="72">
        <v>101660</v>
      </c>
      <c r="H78" s="72">
        <v>0</v>
      </c>
      <c r="I78" s="72">
        <v>0</v>
      </c>
      <c r="J78" s="72">
        <v>0</v>
      </c>
      <c r="K78" s="72">
        <v>0</v>
      </c>
      <c r="L78" s="72">
        <v>0</v>
      </c>
      <c r="M78" s="3029"/>
      <c r="N78" s="3029"/>
      <c r="O78" s="3190"/>
    </row>
    <row r="79" spans="1:15" s="235" customFormat="1" ht="39.75" customHeight="1">
      <c r="A79" s="3605" t="s">
        <v>87</v>
      </c>
      <c r="B79" s="186" t="s">
        <v>527</v>
      </c>
      <c r="C79" s="2050" t="s">
        <v>81</v>
      </c>
      <c r="D79" s="826"/>
      <c r="E79" s="1903"/>
      <c r="F79" s="828"/>
      <c r="G79" s="828"/>
      <c r="H79" s="828"/>
      <c r="I79" s="827"/>
      <c r="J79" s="827"/>
      <c r="K79" s="827"/>
      <c r="L79" s="827"/>
      <c r="M79" s="829"/>
      <c r="N79" s="829"/>
      <c r="O79" s="3188" t="s">
        <v>362</v>
      </c>
    </row>
    <row r="80" spans="1:15" s="235" customFormat="1" ht="15" customHeight="1">
      <c r="A80" s="3606"/>
      <c r="B80" s="2002" t="s">
        <v>10</v>
      </c>
      <c r="C80" s="2003"/>
      <c r="D80" s="2004">
        <f t="shared" ref="D80" si="50">D81+D84</f>
        <v>13955532</v>
      </c>
      <c r="E80" s="2004">
        <f t="shared" ref="E80" si="51">E81+E84</f>
        <v>250844</v>
      </c>
      <c r="F80" s="2004">
        <f>F81+F84</f>
        <v>214186</v>
      </c>
      <c r="G80" s="2004">
        <f>G81+G84</f>
        <v>13490502</v>
      </c>
      <c r="H80" s="2004">
        <f>+H84</f>
        <v>0</v>
      </c>
      <c r="I80" s="2004">
        <f>+I84</f>
        <v>0</v>
      </c>
      <c r="J80" s="2004">
        <f>+J84</f>
        <v>0</v>
      </c>
      <c r="K80" s="2004">
        <f>+K84</f>
        <v>0</v>
      </c>
      <c r="L80" s="2004">
        <f>+L84</f>
        <v>0</v>
      </c>
      <c r="M80" s="2005">
        <f>M81+M84</f>
        <v>13704688</v>
      </c>
      <c r="N80" s="2005">
        <f>N81+N84</f>
        <v>13490502</v>
      </c>
      <c r="O80" s="3189"/>
    </row>
    <row r="81" spans="1:16" s="235" customFormat="1" ht="15" customHeight="1">
      <c r="A81" s="3606"/>
      <c r="B81" s="2006" t="s">
        <v>24</v>
      </c>
      <c r="C81" s="3040" t="s">
        <v>218</v>
      </c>
      <c r="D81" s="2007">
        <f>D82+D83</f>
        <v>2093329</v>
      </c>
      <c r="E81" s="2007">
        <f t="shared" ref="E81" si="52">E82+E83</f>
        <v>250844</v>
      </c>
      <c r="F81" s="2007">
        <f t="shared" ref="F81:L81" si="53">F82+F83</f>
        <v>214186</v>
      </c>
      <c r="G81" s="2007">
        <f t="shared" si="53"/>
        <v>1628299</v>
      </c>
      <c r="H81" s="2007">
        <f t="shared" si="53"/>
        <v>0</v>
      </c>
      <c r="I81" s="2007">
        <f t="shared" si="53"/>
        <v>0</v>
      </c>
      <c r="J81" s="2007">
        <f t="shared" si="53"/>
        <v>0</v>
      </c>
      <c r="K81" s="2007">
        <f t="shared" si="53"/>
        <v>0</v>
      </c>
      <c r="L81" s="2007">
        <f t="shared" si="53"/>
        <v>0</v>
      </c>
      <c r="M81" s="2008">
        <f>M82+M83</f>
        <v>1842485</v>
      </c>
      <c r="N81" s="2008">
        <f>N82+N83</f>
        <v>1628299</v>
      </c>
      <c r="O81" s="3189"/>
    </row>
    <row r="82" spans="1:16" s="235" customFormat="1" ht="15" customHeight="1">
      <c r="A82" s="3606"/>
      <c r="B82" s="2009" t="s">
        <v>12</v>
      </c>
      <c r="C82" s="3100"/>
      <c r="D82" s="1913">
        <f>E82+F82+G82+H82+I82+J82+K82+L82</f>
        <v>1093329</v>
      </c>
      <c r="E82" s="1913">
        <v>250844</v>
      </c>
      <c r="F82" s="2010">
        <f>430112+57000-100000-272926</f>
        <v>114186</v>
      </c>
      <c r="G82" s="2010">
        <f>1568662-213289-900000+272926</f>
        <v>728299</v>
      </c>
      <c r="H82" s="2010">
        <v>0</v>
      </c>
      <c r="I82" s="2010">
        <v>0</v>
      </c>
      <c r="J82" s="2010">
        <v>0</v>
      </c>
      <c r="K82" s="2010">
        <v>0</v>
      </c>
      <c r="L82" s="2010">
        <v>0</v>
      </c>
      <c r="M82" s="2473">
        <f>SUM(F82:K82)</f>
        <v>842485</v>
      </c>
      <c r="N82" s="2473">
        <f>SUM(G82:L82)</f>
        <v>728299</v>
      </c>
      <c r="O82" s="3189"/>
      <c r="P82" s="1623"/>
    </row>
    <row r="83" spans="1:16" s="235" customFormat="1" ht="15" customHeight="1">
      <c r="A83" s="3606"/>
      <c r="B83" s="2009" t="s">
        <v>62</v>
      </c>
      <c r="C83" s="3100"/>
      <c r="D83" s="1913">
        <f>E83+F83+G83+H83+I83+J83+K83+L83</f>
        <v>1000000</v>
      </c>
      <c r="E83" s="1913">
        <v>0</v>
      </c>
      <c r="F83" s="2010">
        <v>100000</v>
      </c>
      <c r="G83" s="2010">
        <v>900000</v>
      </c>
      <c r="H83" s="2010">
        <v>0</v>
      </c>
      <c r="I83" s="2010">
        <v>0</v>
      </c>
      <c r="J83" s="2010">
        <v>0</v>
      </c>
      <c r="K83" s="2010">
        <v>0</v>
      </c>
      <c r="L83" s="2010">
        <v>0</v>
      </c>
      <c r="M83" s="2473">
        <f>SUM(F83:K83)</f>
        <v>1000000</v>
      </c>
      <c r="N83" s="2473">
        <f>SUM(G83:L83)</f>
        <v>900000</v>
      </c>
      <c r="O83" s="3189"/>
      <c r="P83" s="1623"/>
    </row>
    <row r="84" spans="1:16" s="235" customFormat="1" ht="15" customHeight="1">
      <c r="A84" s="3606"/>
      <c r="B84" s="2011" t="s">
        <v>18</v>
      </c>
      <c r="C84" s="3100"/>
      <c r="D84" s="2007">
        <f>D85</f>
        <v>11862203</v>
      </c>
      <c r="E84" s="2713">
        <f t="shared" ref="E84:N84" si="54">+E85</f>
        <v>0</v>
      </c>
      <c r="F84" s="2012">
        <f>F85</f>
        <v>0</v>
      </c>
      <c r="G84" s="2012">
        <f>G85</f>
        <v>11862203</v>
      </c>
      <c r="H84" s="2012">
        <v>0</v>
      </c>
      <c r="I84" s="2012">
        <v>0</v>
      </c>
      <c r="J84" s="2012">
        <v>0</v>
      </c>
      <c r="K84" s="2012">
        <v>0</v>
      </c>
      <c r="L84" s="2012">
        <v>0</v>
      </c>
      <c r="M84" s="2008">
        <f t="shared" si="54"/>
        <v>11862203</v>
      </c>
      <c r="N84" s="2008">
        <f t="shared" si="54"/>
        <v>11862203</v>
      </c>
      <c r="O84" s="3189"/>
    </row>
    <row r="85" spans="1:16" s="235" customFormat="1" ht="15" customHeight="1">
      <c r="A85" s="3606"/>
      <c r="B85" s="283" t="s">
        <v>21</v>
      </c>
      <c r="C85" s="3075"/>
      <c r="D85" s="1913">
        <f>E85+F85+G85+H85+I85+J85+K85+L85</f>
        <v>11862203</v>
      </c>
      <c r="E85" s="1913">
        <v>0</v>
      </c>
      <c r="F85" s="2010">
        <f>2437304+323000-2760304</f>
        <v>0</v>
      </c>
      <c r="G85" s="2010">
        <f>8889087+212812+2760304</f>
        <v>11862203</v>
      </c>
      <c r="H85" s="2010">
        <v>0</v>
      </c>
      <c r="I85" s="2010">
        <v>0</v>
      </c>
      <c r="J85" s="2010">
        <v>0</v>
      </c>
      <c r="K85" s="2010">
        <v>0</v>
      </c>
      <c r="L85" s="2010">
        <v>0</v>
      </c>
      <c r="M85" s="2473">
        <f>SUM(F85:K85)</f>
        <v>11862203</v>
      </c>
      <c r="N85" s="2473">
        <f>SUM(G85:L85)</f>
        <v>11862203</v>
      </c>
      <c r="O85" s="3598"/>
    </row>
    <row r="86" spans="1:16" s="235" customFormat="1" ht="15" customHeight="1">
      <c r="A86" s="3606"/>
      <c r="B86" s="715" t="s">
        <v>22</v>
      </c>
      <c r="C86" s="2003"/>
      <c r="D86" s="2004">
        <f>D89+D87</f>
        <v>12862203</v>
      </c>
      <c r="E86" s="2004">
        <f>E89+E87</f>
        <v>0</v>
      </c>
      <c r="F86" s="2004">
        <f>F89+F87</f>
        <v>100000</v>
      </c>
      <c r="G86" s="2004">
        <f>G89+G87</f>
        <v>12762203</v>
      </c>
      <c r="H86" s="2004">
        <f>H89</f>
        <v>0</v>
      </c>
      <c r="I86" s="2004">
        <f>I89</f>
        <v>0</v>
      </c>
      <c r="J86" s="2004">
        <f>J89</f>
        <v>0</v>
      </c>
      <c r="K86" s="2004">
        <f>K89</f>
        <v>0</v>
      </c>
      <c r="L86" s="2004">
        <f>L89</f>
        <v>0</v>
      </c>
      <c r="M86" s="3054" t="s">
        <v>61</v>
      </c>
      <c r="N86" s="3054" t="s">
        <v>61</v>
      </c>
      <c r="O86" s="3189" t="s">
        <v>224</v>
      </c>
    </row>
    <row r="87" spans="1:16" s="235" customFormat="1" ht="15" customHeight="1">
      <c r="A87" s="3606"/>
      <c r="B87" s="2121" t="s">
        <v>11</v>
      </c>
      <c r="C87" s="3614" t="s">
        <v>436</v>
      </c>
      <c r="D87" s="2716">
        <f>SUM(E87:L87)</f>
        <v>1000000</v>
      </c>
      <c r="E87" s="2716">
        <f>E88</f>
        <v>0</v>
      </c>
      <c r="F87" s="2716">
        <f>F88</f>
        <v>100000</v>
      </c>
      <c r="G87" s="2716">
        <f>G88</f>
        <v>900000</v>
      </c>
      <c r="H87" s="2716"/>
      <c r="I87" s="2716"/>
      <c r="J87" s="2716"/>
      <c r="K87" s="2716"/>
      <c r="L87" s="2716"/>
      <c r="M87" s="3028"/>
      <c r="N87" s="3028"/>
      <c r="O87" s="3189"/>
    </row>
    <row r="88" spans="1:16" s="235" customFormat="1" ht="15" customHeight="1">
      <c r="A88" s="3606"/>
      <c r="B88" s="2717" t="s">
        <v>62</v>
      </c>
      <c r="C88" s="3615"/>
      <c r="D88" s="1913">
        <f>E88+F88+G88+H88+I88+J88+K88+L88</f>
        <v>1000000</v>
      </c>
      <c r="E88" s="1913">
        <v>0</v>
      </c>
      <c r="F88" s="2718">
        <v>100000</v>
      </c>
      <c r="G88" s="2718">
        <v>900000</v>
      </c>
      <c r="H88" s="2716"/>
      <c r="I88" s="2716"/>
      <c r="J88" s="2716"/>
      <c r="K88" s="2716"/>
      <c r="L88" s="2716"/>
      <c r="M88" s="3028"/>
      <c r="N88" s="3028"/>
      <c r="O88" s="3189"/>
    </row>
    <row r="89" spans="1:16" s="235" customFormat="1" ht="15" customHeight="1">
      <c r="A89" s="3606"/>
      <c r="B89" s="2121" t="s">
        <v>18</v>
      </c>
      <c r="C89" s="3615"/>
      <c r="D89" s="2013">
        <f t="shared" ref="D89:L89" si="55">D90</f>
        <v>11862203</v>
      </c>
      <c r="E89" s="2013">
        <f t="shared" ref="E89" si="56">+E90</f>
        <v>0</v>
      </c>
      <c r="F89" s="2013">
        <f t="shared" si="55"/>
        <v>0</v>
      </c>
      <c r="G89" s="2013">
        <f t="shared" si="55"/>
        <v>11862203</v>
      </c>
      <c r="H89" s="2013">
        <f t="shared" si="55"/>
        <v>0</v>
      </c>
      <c r="I89" s="2013">
        <f t="shared" si="55"/>
        <v>0</v>
      </c>
      <c r="J89" s="2013">
        <f t="shared" si="55"/>
        <v>0</v>
      </c>
      <c r="K89" s="2013">
        <f t="shared" si="55"/>
        <v>0</v>
      </c>
      <c r="L89" s="2013">
        <f t="shared" si="55"/>
        <v>0</v>
      </c>
      <c r="M89" s="3028"/>
      <c r="N89" s="3028"/>
      <c r="O89" s="3189"/>
    </row>
    <row r="90" spans="1:16" s="235" customFormat="1" ht="15" customHeight="1" thickBot="1">
      <c r="A90" s="3607"/>
      <c r="B90" s="2052" t="s">
        <v>21</v>
      </c>
      <c r="C90" s="3616"/>
      <c r="D90" s="2195">
        <f>E90+F90+G90+H90+I90+J90+K90+L90</f>
        <v>11862203</v>
      </c>
      <c r="E90" s="2195">
        <v>0</v>
      </c>
      <c r="F90" s="2457">
        <f>2437304+323000-2760304</f>
        <v>0</v>
      </c>
      <c r="G90" s="2457">
        <f>8889087+212812+2760304</f>
        <v>11862203</v>
      </c>
      <c r="H90" s="2457">
        <v>0</v>
      </c>
      <c r="I90" s="2457">
        <v>0</v>
      </c>
      <c r="J90" s="2457">
        <v>0</v>
      </c>
      <c r="K90" s="2457">
        <v>0</v>
      </c>
      <c r="L90" s="2457">
        <v>0</v>
      </c>
      <c r="M90" s="3029"/>
      <c r="N90" s="3029"/>
      <c r="O90" s="3190"/>
    </row>
    <row r="91" spans="1:16" s="235" customFormat="1" ht="40.5" customHeight="1">
      <c r="A91" s="3608" t="s">
        <v>88</v>
      </c>
      <c r="B91" s="2826" t="s">
        <v>383</v>
      </c>
      <c r="C91" s="262" t="s">
        <v>172</v>
      </c>
      <c r="D91" s="842"/>
      <c r="E91" s="2001"/>
      <c r="F91" s="844"/>
      <c r="G91" s="844"/>
      <c r="H91" s="844"/>
      <c r="I91" s="843"/>
      <c r="J91" s="843"/>
      <c r="K91" s="843"/>
      <c r="L91" s="843"/>
      <c r="M91" s="845"/>
      <c r="N91" s="845"/>
      <c r="O91" s="3189" t="s">
        <v>371</v>
      </c>
    </row>
    <row r="92" spans="1:16" s="235" customFormat="1" ht="15" customHeight="1">
      <c r="A92" s="3606"/>
      <c r="B92" s="1073" t="s">
        <v>10</v>
      </c>
      <c r="C92" s="813"/>
      <c r="D92" s="765">
        <f>D93+D97</f>
        <v>342701</v>
      </c>
      <c r="E92" s="765">
        <f t="shared" ref="E92" si="57">E93+E97</f>
        <v>0</v>
      </c>
      <c r="F92" s="765">
        <f>F93+F97</f>
        <v>32411</v>
      </c>
      <c r="G92" s="765">
        <f>G93+G97</f>
        <v>65928</v>
      </c>
      <c r="H92" s="765">
        <f>H93+H97</f>
        <v>244362</v>
      </c>
      <c r="I92" s="765">
        <f>+I97</f>
        <v>0</v>
      </c>
      <c r="J92" s="765">
        <f>+J97</f>
        <v>0</v>
      </c>
      <c r="K92" s="765">
        <f>+K97</f>
        <v>0</v>
      </c>
      <c r="L92" s="765">
        <f>+L97</f>
        <v>0</v>
      </c>
      <c r="M92" s="1554">
        <f>M93+M97</f>
        <v>342701</v>
      </c>
      <c r="N92" s="1554">
        <f>N93+N97</f>
        <v>310290</v>
      </c>
      <c r="O92" s="3189"/>
    </row>
    <row r="93" spans="1:16" s="235" customFormat="1" ht="15" customHeight="1">
      <c r="A93" s="3606"/>
      <c r="B93" s="1065" t="s">
        <v>24</v>
      </c>
      <c r="C93" s="3108" t="s">
        <v>366</v>
      </c>
      <c r="D93" s="698">
        <f>D94</f>
        <v>51406</v>
      </c>
      <c r="E93" s="1446">
        <f t="shared" ref="E93:H93" si="58">E94</f>
        <v>0</v>
      </c>
      <c r="F93" s="1447">
        <f t="shared" si="58"/>
        <v>4861</v>
      </c>
      <c r="G93" s="1447">
        <f t="shared" si="58"/>
        <v>9889</v>
      </c>
      <c r="H93" s="1447">
        <f t="shared" si="58"/>
        <v>36656</v>
      </c>
      <c r="I93" s="1447">
        <v>0</v>
      </c>
      <c r="J93" s="1447">
        <v>0</v>
      </c>
      <c r="K93" s="1447">
        <v>0</v>
      </c>
      <c r="L93" s="1447">
        <v>0</v>
      </c>
      <c r="M93" s="694">
        <f>M94</f>
        <v>51406</v>
      </c>
      <c r="N93" s="694">
        <f>N94</f>
        <v>46545</v>
      </c>
      <c r="O93" s="3189"/>
    </row>
    <row r="94" spans="1:16" s="235" customFormat="1" ht="15" customHeight="1">
      <c r="A94" s="3606"/>
      <c r="B94" s="1418" t="s">
        <v>12</v>
      </c>
      <c r="C94" s="3100"/>
      <c r="D94" s="249">
        <f>E94+F94+G94+H94+I94+J94+K94+L94</f>
        <v>51406</v>
      </c>
      <c r="E94" s="249">
        <v>0</v>
      </c>
      <c r="F94" s="1062">
        <v>4861</v>
      </c>
      <c r="G94" s="1062">
        <v>9889</v>
      </c>
      <c r="H94" s="1062">
        <f>36655+1</f>
        <v>36656</v>
      </c>
      <c r="I94" s="1062">
        <v>0</v>
      </c>
      <c r="J94" s="1062">
        <v>0</v>
      </c>
      <c r="K94" s="1062">
        <v>0</v>
      </c>
      <c r="L94" s="1062">
        <v>0</v>
      </c>
      <c r="M94" s="823">
        <f>SUM(F94:K94)</f>
        <v>51406</v>
      </c>
      <c r="N94" s="823">
        <f>SUM(G94:L94)</f>
        <v>46545</v>
      </c>
      <c r="O94" s="3189"/>
    </row>
    <row r="95" spans="1:16" s="235" customFormat="1" ht="15" hidden="1" customHeight="1">
      <c r="A95" s="3606"/>
      <c r="B95" s="1488" t="s">
        <v>377</v>
      </c>
      <c r="C95" s="3100"/>
      <c r="D95" s="1016"/>
      <c r="E95" s="1904"/>
      <c r="F95" s="1490">
        <v>3347</v>
      </c>
      <c r="G95" s="1490">
        <v>8073</v>
      </c>
      <c r="H95" s="1490">
        <v>34839</v>
      </c>
      <c r="I95" s="1062"/>
      <c r="J95" s="1062"/>
      <c r="K95" s="1062"/>
      <c r="L95" s="1062"/>
      <c r="M95" s="1489"/>
      <c r="N95" s="1489"/>
      <c r="O95" s="3189"/>
    </row>
    <row r="96" spans="1:16" s="235" customFormat="1" ht="15" hidden="1" customHeight="1">
      <c r="A96" s="3606"/>
      <c r="B96" s="1488" t="s">
        <v>378</v>
      </c>
      <c r="C96" s="3100"/>
      <c r="D96" s="1016"/>
      <c r="E96" s="1904"/>
      <c r="F96" s="1490">
        <v>1514</v>
      </c>
      <c r="G96" s="1490">
        <v>1816</v>
      </c>
      <c r="H96" s="1490">
        <v>1816</v>
      </c>
      <c r="I96" s="1062"/>
      <c r="J96" s="1062"/>
      <c r="K96" s="1062"/>
      <c r="L96" s="1062"/>
      <c r="M96" s="1489"/>
      <c r="N96" s="1489"/>
      <c r="O96" s="3189"/>
    </row>
    <row r="97" spans="1:15" s="235" customFormat="1" ht="15" customHeight="1">
      <c r="A97" s="3606"/>
      <c r="B97" s="1053" t="s">
        <v>18</v>
      </c>
      <c r="C97" s="3100"/>
      <c r="D97" s="698">
        <f>D98</f>
        <v>291295</v>
      </c>
      <c r="E97" s="1446">
        <f t="shared" ref="E97:N97" si="59">+E98</f>
        <v>0</v>
      </c>
      <c r="F97" s="1447">
        <f t="shared" ref="F97:H97" si="60">F98</f>
        <v>27550</v>
      </c>
      <c r="G97" s="1447">
        <f t="shared" si="60"/>
        <v>56039</v>
      </c>
      <c r="H97" s="1447">
        <f t="shared" si="60"/>
        <v>207706</v>
      </c>
      <c r="I97" s="1447">
        <v>0</v>
      </c>
      <c r="J97" s="1447">
        <v>0</v>
      </c>
      <c r="K97" s="1447">
        <v>0</v>
      </c>
      <c r="L97" s="1447">
        <v>0</v>
      </c>
      <c r="M97" s="694">
        <f t="shared" si="59"/>
        <v>291295</v>
      </c>
      <c r="N97" s="694">
        <f t="shared" si="59"/>
        <v>263745</v>
      </c>
      <c r="O97" s="3189"/>
    </row>
    <row r="98" spans="1:15" s="235" customFormat="1" ht="15" customHeight="1">
      <c r="A98" s="3606"/>
      <c r="B98" s="283" t="s">
        <v>21</v>
      </c>
      <c r="C98" s="3100"/>
      <c r="D98" s="249">
        <f>E98+F98+G98+H98+I98+J98+K98+L98</f>
        <v>291295</v>
      </c>
      <c r="E98" s="249">
        <v>0</v>
      </c>
      <c r="F98" s="1062">
        <f>27549+1</f>
        <v>27550</v>
      </c>
      <c r="G98" s="1062">
        <v>56039</v>
      </c>
      <c r="H98" s="1062">
        <f>207707-1</f>
        <v>207706</v>
      </c>
      <c r="I98" s="1062">
        <v>0</v>
      </c>
      <c r="J98" s="1062">
        <v>0</v>
      </c>
      <c r="K98" s="1062">
        <v>0</v>
      </c>
      <c r="L98" s="1062">
        <v>0</v>
      </c>
      <c r="M98" s="823">
        <f>SUM(F98:K98)</f>
        <v>291295</v>
      </c>
      <c r="N98" s="823">
        <f>SUM(G98:L98)</f>
        <v>263745</v>
      </c>
      <c r="O98" s="3189"/>
    </row>
    <row r="99" spans="1:15" s="235" customFormat="1" ht="15" hidden="1" customHeight="1">
      <c r="A99" s="3606"/>
      <c r="B99" s="1488" t="s">
        <v>380</v>
      </c>
      <c r="C99" s="3100"/>
      <c r="D99" s="1016"/>
      <c r="E99" s="1518"/>
      <c r="F99" s="1490">
        <v>18973</v>
      </c>
      <c r="G99" s="1490">
        <v>45747</v>
      </c>
      <c r="H99" s="1490">
        <v>197415</v>
      </c>
      <c r="I99" s="1062"/>
      <c r="J99" s="1062"/>
      <c r="K99" s="1062"/>
      <c r="L99" s="1062"/>
      <c r="M99" s="1491"/>
      <c r="N99" s="1491"/>
      <c r="O99" s="3189"/>
    </row>
    <row r="100" spans="1:15" s="235" customFormat="1" ht="15" hidden="1" customHeight="1">
      <c r="A100" s="3606"/>
      <c r="B100" s="1488" t="s">
        <v>379</v>
      </c>
      <c r="C100" s="3075"/>
      <c r="D100" s="1016"/>
      <c r="E100" s="1518"/>
      <c r="F100" s="1490">
        <v>8576</v>
      </c>
      <c r="G100" s="1490">
        <v>10292</v>
      </c>
      <c r="H100" s="1490">
        <v>10292</v>
      </c>
      <c r="I100" s="1062"/>
      <c r="J100" s="1062"/>
      <c r="K100" s="1062"/>
      <c r="L100" s="1062"/>
      <c r="M100" s="1491"/>
      <c r="N100" s="1491"/>
      <c r="O100" s="3189"/>
    </row>
    <row r="101" spans="1:15" s="235" customFormat="1" ht="12.75">
      <c r="A101" s="3606"/>
      <c r="B101" s="715" t="s">
        <v>22</v>
      </c>
      <c r="C101" s="813"/>
      <c r="D101" s="765">
        <f t="shared" ref="D101:L102" si="61">D102</f>
        <v>291295</v>
      </c>
      <c r="E101" s="765">
        <f t="shared" ref="E101:E102" si="62">+E102</f>
        <v>0</v>
      </c>
      <c r="F101" s="765">
        <f t="shared" si="61"/>
        <v>2133</v>
      </c>
      <c r="G101" s="765">
        <f t="shared" si="61"/>
        <v>39145</v>
      </c>
      <c r="H101" s="765">
        <f t="shared" si="61"/>
        <v>148930</v>
      </c>
      <c r="I101" s="765">
        <f t="shared" si="61"/>
        <v>101087</v>
      </c>
      <c r="J101" s="765">
        <f t="shared" si="61"/>
        <v>0</v>
      </c>
      <c r="K101" s="765">
        <f t="shared" si="61"/>
        <v>0</v>
      </c>
      <c r="L101" s="765">
        <f t="shared" si="61"/>
        <v>0</v>
      </c>
      <c r="M101" s="3062" t="s">
        <v>61</v>
      </c>
      <c r="N101" s="3062" t="s">
        <v>61</v>
      </c>
      <c r="O101" s="3189"/>
    </row>
    <row r="102" spans="1:15" s="235" customFormat="1" ht="12.75">
      <c r="A102" s="3606"/>
      <c r="B102" s="681" t="s">
        <v>18</v>
      </c>
      <c r="C102" s="3113" t="s">
        <v>171</v>
      </c>
      <c r="D102" s="1556">
        <f t="shared" si="61"/>
        <v>291295</v>
      </c>
      <c r="E102" s="1556">
        <f t="shared" si="62"/>
        <v>0</v>
      </c>
      <c r="F102" s="1556">
        <f t="shared" si="61"/>
        <v>2133</v>
      </c>
      <c r="G102" s="1556">
        <f t="shared" si="61"/>
        <v>39145</v>
      </c>
      <c r="H102" s="1556">
        <f t="shared" si="61"/>
        <v>148930</v>
      </c>
      <c r="I102" s="1556">
        <f t="shared" si="61"/>
        <v>101087</v>
      </c>
      <c r="J102" s="1556">
        <f t="shared" si="61"/>
        <v>0</v>
      </c>
      <c r="K102" s="1556">
        <f t="shared" si="61"/>
        <v>0</v>
      </c>
      <c r="L102" s="1556">
        <f t="shared" si="61"/>
        <v>0</v>
      </c>
      <c r="M102" s="3028"/>
      <c r="N102" s="3028"/>
      <c r="O102" s="3189"/>
    </row>
    <row r="103" spans="1:15" s="235" customFormat="1" ht="13.5" thickBot="1">
      <c r="A103" s="3607"/>
      <c r="B103" s="2052" t="s">
        <v>21</v>
      </c>
      <c r="C103" s="3074"/>
      <c r="D103" s="249">
        <f>E103+F103+G103+H103+I103+J103+K103+L103</f>
        <v>291295</v>
      </c>
      <c r="E103" s="249">
        <v>0</v>
      </c>
      <c r="F103" s="520">
        <v>2133</v>
      </c>
      <c r="G103" s="520">
        <v>39145</v>
      </c>
      <c r="H103" s="520">
        <v>148930</v>
      </c>
      <c r="I103" s="520">
        <v>101087</v>
      </c>
      <c r="J103" s="520">
        <v>0</v>
      </c>
      <c r="K103" s="520">
        <v>0</v>
      </c>
      <c r="L103" s="520">
        <v>0</v>
      </c>
      <c r="M103" s="3029"/>
      <c r="N103" s="3029"/>
      <c r="O103" s="3190"/>
    </row>
    <row r="104" spans="1:15" s="235" customFormat="1" ht="36.75" customHeight="1">
      <c r="A104" s="3608" t="s">
        <v>89</v>
      </c>
      <c r="B104" s="186" t="s">
        <v>382</v>
      </c>
      <c r="C104" s="2050" t="s">
        <v>81</v>
      </c>
      <c r="D104" s="826"/>
      <c r="E104" s="1903"/>
      <c r="F104" s="828"/>
      <c r="G104" s="828"/>
      <c r="H104" s="828"/>
      <c r="I104" s="827"/>
      <c r="J104" s="827"/>
      <c r="K104" s="827"/>
      <c r="L104" s="827"/>
      <c r="M104" s="829"/>
      <c r="N104" s="829"/>
      <c r="O104" s="3188" t="s">
        <v>224</v>
      </c>
    </row>
    <row r="105" spans="1:15" s="235" customFormat="1" ht="12.75">
      <c r="A105" s="3606"/>
      <c r="B105" s="30" t="s">
        <v>10</v>
      </c>
      <c r="C105" s="22"/>
      <c r="D105" s="199">
        <f>D106+D108</f>
        <v>329300</v>
      </c>
      <c r="E105" s="199">
        <f t="shared" ref="E105" si="63">E106+E108</f>
        <v>0</v>
      </c>
      <c r="F105" s="199">
        <f>F106+F108</f>
        <v>55400</v>
      </c>
      <c r="G105" s="199">
        <f>G106+G108</f>
        <v>246900</v>
      </c>
      <c r="H105" s="199">
        <f>H106+H108</f>
        <v>27000</v>
      </c>
      <c r="I105" s="199">
        <f>+I108</f>
        <v>0</v>
      </c>
      <c r="J105" s="199">
        <f>+J108</f>
        <v>0</v>
      </c>
      <c r="K105" s="199">
        <f>+K108</f>
        <v>0</v>
      </c>
      <c r="L105" s="199">
        <f>+L108</f>
        <v>0</v>
      </c>
      <c r="M105" s="65">
        <f>M106+M108</f>
        <v>329300</v>
      </c>
      <c r="N105" s="65">
        <f>N106+N108</f>
        <v>273900</v>
      </c>
      <c r="O105" s="3189"/>
    </row>
    <row r="106" spans="1:15" s="235" customFormat="1" ht="12.75">
      <c r="A106" s="3606"/>
      <c r="B106" s="834" t="s">
        <v>24</v>
      </c>
      <c r="C106" s="3108" t="s">
        <v>171</v>
      </c>
      <c r="D106" s="313">
        <f>D107</f>
        <v>49395</v>
      </c>
      <c r="E106" s="317">
        <f t="shared" ref="E106:L106" si="64">E107</f>
        <v>0</v>
      </c>
      <c r="F106" s="318">
        <f t="shared" si="64"/>
        <v>8310</v>
      </c>
      <c r="G106" s="318">
        <f t="shared" si="64"/>
        <v>37035</v>
      </c>
      <c r="H106" s="318">
        <f t="shared" si="64"/>
        <v>4050</v>
      </c>
      <c r="I106" s="318">
        <f t="shared" si="64"/>
        <v>0</v>
      </c>
      <c r="J106" s="318">
        <f t="shared" si="64"/>
        <v>0</v>
      </c>
      <c r="K106" s="318">
        <f t="shared" si="64"/>
        <v>0</v>
      </c>
      <c r="L106" s="318">
        <f t="shared" si="64"/>
        <v>0</v>
      </c>
      <c r="M106" s="310">
        <f>M107</f>
        <v>49395</v>
      </c>
      <c r="N106" s="310">
        <f>N107</f>
        <v>41085</v>
      </c>
      <c r="O106" s="3189"/>
    </row>
    <row r="107" spans="1:15" s="235" customFormat="1" ht="12.75">
      <c r="A107" s="3606"/>
      <c r="B107" s="835" t="s">
        <v>12</v>
      </c>
      <c r="C107" s="3100"/>
      <c r="D107" s="249">
        <f>E107+F107+G107+H107+I107+J107+K107+L107</f>
        <v>49395</v>
      </c>
      <c r="E107" s="249">
        <v>0</v>
      </c>
      <c r="F107" s="312">
        <v>8310</v>
      </c>
      <c r="G107" s="312">
        <v>37035</v>
      </c>
      <c r="H107" s="312">
        <v>4050</v>
      </c>
      <c r="I107" s="312">
        <v>0</v>
      </c>
      <c r="J107" s="312">
        <v>0</v>
      </c>
      <c r="K107" s="312">
        <v>0</v>
      </c>
      <c r="L107" s="312">
        <v>0</v>
      </c>
      <c r="M107" s="823">
        <f>SUM(F107:K107)</f>
        <v>49395</v>
      </c>
      <c r="N107" s="823">
        <f>SUM(G107:L107)</f>
        <v>41085</v>
      </c>
      <c r="O107" s="3189"/>
    </row>
    <row r="108" spans="1:15" s="235" customFormat="1" ht="12.75">
      <c r="A108" s="3606"/>
      <c r="B108" s="688" t="s">
        <v>18</v>
      </c>
      <c r="C108" s="3100"/>
      <c r="D108" s="49">
        <f>D109</f>
        <v>279905</v>
      </c>
      <c r="E108" s="101">
        <f t="shared" ref="E108:N108" si="65">+E109</f>
        <v>0</v>
      </c>
      <c r="F108" s="102">
        <f t="shared" ref="F108:H108" si="66">F109</f>
        <v>47090</v>
      </c>
      <c r="G108" s="102">
        <f t="shared" si="66"/>
        <v>209865</v>
      </c>
      <c r="H108" s="102">
        <f t="shared" si="66"/>
        <v>22950</v>
      </c>
      <c r="I108" s="102">
        <f t="shared" ref="I108:L108" si="67">I109</f>
        <v>0</v>
      </c>
      <c r="J108" s="102">
        <f t="shared" si="67"/>
        <v>0</v>
      </c>
      <c r="K108" s="102">
        <f t="shared" si="67"/>
        <v>0</v>
      </c>
      <c r="L108" s="102">
        <f t="shared" si="67"/>
        <v>0</v>
      </c>
      <c r="M108" s="79">
        <f t="shared" si="65"/>
        <v>279905</v>
      </c>
      <c r="N108" s="79">
        <f t="shared" si="65"/>
        <v>232815</v>
      </c>
      <c r="O108" s="3189"/>
    </row>
    <row r="109" spans="1:15" s="235" customFormat="1" ht="12.75">
      <c r="A109" s="3606"/>
      <c r="B109" s="283" t="s">
        <v>21</v>
      </c>
      <c r="C109" s="3075"/>
      <c r="D109" s="249">
        <f>E109+F109+G109+H109+I109+J109+K109+L109</f>
        <v>279905</v>
      </c>
      <c r="E109" s="249">
        <v>0</v>
      </c>
      <c r="F109" s="51">
        <v>47090</v>
      </c>
      <c r="G109" s="51">
        <v>209865</v>
      </c>
      <c r="H109" s="51">
        <v>22950</v>
      </c>
      <c r="I109" s="51">
        <v>0</v>
      </c>
      <c r="J109" s="51">
        <v>0</v>
      </c>
      <c r="K109" s="51">
        <v>0</v>
      </c>
      <c r="L109" s="51">
        <v>0</v>
      </c>
      <c r="M109" s="823">
        <f>SUM(F109:K109)</f>
        <v>279905</v>
      </c>
      <c r="N109" s="823">
        <f>SUM(G109:L109)</f>
        <v>232815</v>
      </c>
      <c r="O109" s="3189"/>
    </row>
    <row r="110" spans="1:15" s="235" customFormat="1" ht="12.75">
      <c r="A110" s="3606"/>
      <c r="B110" s="21" t="s">
        <v>22</v>
      </c>
      <c r="C110" s="22"/>
      <c r="D110" s="199">
        <f t="shared" ref="D110:L111" si="68">D111</f>
        <v>279905</v>
      </c>
      <c r="E110" s="199">
        <f t="shared" ref="E110:E111" si="69">+E111</f>
        <v>0</v>
      </c>
      <c r="F110" s="199">
        <f t="shared" si="68"/>
        <v>0</v>
      </c>
      <c r="G110" s="199">
        <f t="shared" si="68"/>
        <v>73100</v>
      </c>
      <c r="H110" s="199">
        <f t="shared" si="68"/>
        <v>183855</v>
      </c>
      <c r="I110" s="199">
        <f t="shared" si="68"/>
        <v>22950</v>
      </c>
      <c r="J110" s="199">
        <f t="shared" si="68"/>
        <v>0</v>
      </c>
      <c r="K110" s="199">
        <f t="shared" si="68"/>
        <v>0</v>
      </c>
      <c r="L110" s="199">
        <f t="shared" si="68"/>
        <v>0</v>
      </c>
      <c r="M110" s="3027" t="s">
        <v>61</v>
      </c>
      <c r="N110" s="3027" t="s">
        <v>61</v>
      </c>
      <c r="O110" s="3189"/>
    </row>
    <row r="111" spans="1:15" s="235" customFormat="1" ht="12.75">
      <c r="A111" s="3606"/>
      <c r="B111" s="173" t="s">
        <v>18</v>
      </c>
      <c r="C111" s="3113" t="s">
        <v>171</v>
      </c>
      <c r="D111" s="50">
        <f t="shared" si="68"/>
        <v>279905</v>
      </c>
      <c r="E111" s="1030">
        <f t="shared" si="69"/>
        <v>0</v>
      </c>
      <c r="F111" s="50">
        <f t="shared" si="68"/>
        <v>0</v>
      </c>
      <c r="G111" s="50">
        <f t="shared" si="68"/>
        <v>73100</v>
      </c>
      <c r="H111" s="50">
        <f t="shared" si="68"/>
        <v>183855</v>
      </c>
      <c r="I111" s="50">
        <f t="shared" si="68"/>
        <v>22950</v>
      </c>
      <c r="J111" s="50">
        <f t="shared" si="68"/>
        <v>0</v>
      </c>
      <c r="K111" s="50">
        <f t="shared" si="68"/>
        <v>0</v>
      </c>
      <c r="L111" s="50">
        <f t="shared" si="68"/>
        <v>0</v>
      </c>
      <c r="M111" s="3028"/>
      <c r="N111" s="3028"/>
      <c r="O111" s="3189"/>
    </row>
    <row r="112" spans="1:15" s="235" customFormat="1" ht="13.5" thickBot="1">
      <c r="A112" s="3607"/>
      <c r="B112" s="2052" t="s">
        <v>21</v>
      </c>
      <c r="C112" s="3074"/>
      <c r="D112" s="249">
        <f>E112+F112+G112+H112+I112+J112+K112+L112</f>
        <v>279905</v>
      </c>
      <c r="E112" s="249">
        <v>0</v>
      </c>
      <c r="F112" s="72"/>
      <c r="G112" s="72">
        <v>73100</v>
      </c>
      <c r="H112" s="72">
        <v>183855</v>
      </c>
      <c r="I112" s="72">
        <v>22950</v>
      </c>
      <c r="J112" s="72">
        <v>0</v>
      </c>
      <c r="K112" s="72">
        <v>0</v>
      </c>
      <c r="L112" s="72">
        <v>0</v>
      </c>
      <c r="M112" s="3029"/>
      <c r="N112" s="3029"/>
      <c r="O112" s="3190"/>
    </row>
    <row r="113" spans="1:15" s="235" customFormat="1" ht="34.5" customHeight="1">
      <c r="A113" s="3608" t="s">
        <v>90</v>
      </c>
      <c r="B113" s="186" t="s">
        <v>381</v>
      </c>
      <c r="C113" s="2050" t="s">
        <v>172</v>
      </c>
      <c r="D113" s="826"/>
      <c r="E113" s="1903"/>
      <c r="F113" s="828"/>
      <c r="G113" s="828"/>
      <c r="H113" s="828"/>
      <c r="I113" s="827"/>
      <c r="J113" s="827"/>
      <c r="K113" s="827"/>
      <c r="L113" s="827"/>
      <c r="M113" s="829"/>
      <c r="N113" s="829"/>
      <c r="O113" s="3188" t="s">
        <v>371</v>
      </c>
    </row>
    <row r="114" spans="1:15" s="235" customFormat="1" ht="12.75">
      <c r="A114" s="3606"/>
      <c r="B114" s="30" t="s">
        <v>10</v>
      </c>
      <c r="C114" s="22"/>
      <c r="D114" s="199">
        <f>D115+D119</f>
        <v>693012</v>
      </c>
      <c r="E114" s="199">
        <f t="shared" ref="E114" si="70">E115+E119</f>
        <v>0</v>
      </c>
      <c r="F114" s="199">
        <f>F115+F119</f>
        <v>52125</v>
      </c>
      <c r="G114" s="199">
        <f>G115+G119</f>
        <v>364887</v>
      </c>
      <c r="H114" s="199">
        <f>H115+H119</f>
        <v>276000</v>
      </c>
      <c r="I114" s="199">
        <f>+I119</f>
        <v>0</v>
      </c>
      <c r="J114" s="199">
        <f>+J119</f>
        <v>0</v>
      </c>
      <c r="K114" s="199">
        <f>+K119</f>
        <v>0</v>
      </c>
      <c r="L114" s="199">
        <f>+L119</f>
        <v>0</v>
      </c>
      <c r="M114" s="65">
        <f>M115+M119</f>
        <v>693012</v>
      </c>
      <c r="N114" s="65">
        <f>N115+N119</f>
        <v>640887</v>
      </c>
      <c r="O114" s="3189"/>
    </row>
    <row r="115" spans="1:15" s="235" customFormat="1" ht="12.75">
      <c r="A115" s="3606"/>
      <c r="B115" s="834" t="s">
        <v>24</v>
      </c>
      <c r="C115" s="3108" t="s">
        <v>366</v>
      </c>
      <c r="D115" s="313">
        <f>D116</f>
        <v>119262</v>
      </c>
      <c r="E115" s="317">
        <f t="shared" ref="E115:H115" si="71">E116</f>
        <v>0</v>
      </c>
      <c r="F115" s="318">
        <f t="shared" si="71"/>
        <v>15474</v>
      </c>
      <c r="G115" s="318">
        <f t="shared" si="71"/>
        <v>62388</v>
      </c>
      <c r="H115" s="318">
        <f t="shared" si="71"/>
        <v>41400</v>
      </c>
      <c r="I115" s="318">
        <v>0</v>
      </c>
      <c r="J115" s="318">
        <v>0</v>
      </c>
      <c r="K115" s="318">
        <v>0</v>
      </c>
      <c r="L115" s="318">
        <v>0</v>
      </c>
      <c r="M115" s="310">
        <f>M116</f>
        <v>119262</v>
      </c>
      <c r="N115" s="310">
        <f>N116</f>
        <v>103788</v>
      </c>
      <c r="O115" s="3189"/>
    </row>
    <row r="116" spans="1:15" s="235" customFormat="1" ht="12.75">
      <c r="A116" s="3606"/>
      <c r="B116" s="835" t="s">
        <v>12</v>
      </c>
      <c r="C116" s="3100"/>
      <c r="D116" s="249">
        <f>E116+F116+G116+H116+I116+J116+K116+L116</f>
        <v>119262</v>
      </c>
      <c r="E116" s="249">
        <v>0</v>
      </c>
      <c r="F116" s="312">
        <v>15474</v>
      </c>
      <c r="G116" s="312">
        <v>62388</v>
      </c>
      <c r="H116" s="312">
        <v>41400</v>
      </c>
      <c r="I116" s="312">
        <v>0</v>
      </c>
      <c r="J116" s="312">
        <v>0</v>
      </c>
      <c r="K116" s="312">
        <v>0</v>
      </c>
      <c r="L116" s="312">
        <v>0</v>
      </c>
      <c r="M116" s="823">
        <f>SUM(F116:K116)</f>
        <v>119262</v>
      </c>
      <c r="N116" s="823">
        <f>SUM(G116:L116)</f>
        <v>103788</v>
      </c>
      <c r="O116" s="3189"/>
    </row>
    <row r="117" spans="1:15" s="235" customFormat="1" ht="15" hidden="1" customHeight="1">
      <c r="A117" s="3606"/>
      <c r="B117" s="1488" t="s">
        <v>378</v>
      </c>
      <c r="C117" s="3100"/>
      <c r="D117" s="249">
        <f t="shared" ref="D117:D118" si="72">E117+F117+G117+H117+I117+J117+K117+L117</f>
        <v>5385</v>
      </c>
      <c r="E117" s="1904"/>
      <c r="F117" s="2719">
        <f>1500+258+37</f>
        <v>1795</v>
      </c>
      <c r="G117" s="2719">
        <f>1500+258+37</f>
        <v>1795</v>
      </c>
      <c r="H117" s="2719">
        <f>1500+258+37</f>
        <v>1795</v>
      </c>
      <c r="I117" s="1062"/>
      <c r="J117" s="1062"/>
      <c r="K117" s="1062"/>
      <c r="L117" s="1062"/>
      <c r="M117" s="1489"/>
      <c r="N117" s="1489"/>
      <c r="O117" s="3189"/>
    </row>
    <row r="118" spans="1:15" s="235" customFormat="1" ht="15" hidden="1" customHeight="1">
      <c r="A118" s="3606"/>
      <c r="B118" s="1488" t="s">
        <v>377</v>
      </c>
      <c r="C118" s="3100"/>
      <c r="D118" s="249">
        <f t="shared" si="72"/>
        <v>113877</v>
      </c>
      <c r="E118" s="1904"/>
      <c r="F118" s="2719">
        <f>29862+1010+900-17345-750</f>
        <v>13677</v>
      </c>
      <c r="G118" s="2719">
        <f>37887+3262+1350+17345+750</f>
        <v>60594</v>
      </c>
      <c r="H118" s="2719">
        <f>36006+900+2700</f>
        <v>39606</v>
      </c>
      <c r="I118" s="1788"/>
      <c r="J118" s="1788"/>
      <c r="K118" s="1788"/>
      <c r="L118" s="1788"/>
      <c r="M118" s="1489"/>
      <c r="N118" s="1489"/>
      <c r="O118" s="3189"/>
    </row>
    <row r="119" spans="1:15" s="235" customFormat="1" ht="12.75">
      <c r="A119" s="3606"/>
      <c r="B119" s="688" t="s">
        <v>18</v>
      </c>
      <c r="C119" s="3100"/>
      <c r="D119" s="49">
        <f>D120</f>
        <v>573750</v>
      </c>
      <c r="E119" s="101">
        <f t="shared" ref="E119:N119" si="73">+E120</f>
        <v>0</v>
      </c>
      <c r="F119" s="102">
        <f t="shared" ref="F119:H119" si="74">F120</f>
        <v>36651</v>
      </c>
      <c r="G119" s="102">
        <f t="shared" si="74"/>
        <v>302499</v>
      </c>
      <c r="H119" s="102">
        <f t="shared" si="74"/>
        <v>234600</v>
      </c>
      <c r="I119" s="102">
        <v>0</v>
      </c>
      <c r="J119" s="102">
        <v>0</v>
      </c>
      <c r="K119" s="102">
        <v>0</v>
      </c>
      <c r="L119" s="102">
        <v>0</v>
      </c>
      <c r="M119" s="79">
        <f t="shared" si="73"/>
        <v>573750</v>
      </c>
      <c r="N119" s="79">
        <f t="shared" si="73"/>
        <v>537099</v>
      </c>
      <c r="O119" s="3189"/>
    </row>
    <row r="120" spans="1:15" s="235" customFormat="1" ht="12.75">
      <c r="A120" s="3606"/>
      <c r="B120" s="283" t="s">
        <v>21</v>
      </c>
      <c r="C120" s="3075"/>
      <c r="D120" s="249">
        <f>E120+F120+G120+H120+I120+J120+K120+L120</f>
        <v>573750</v>
      </c>
      <c r="E120" s="249">
        <v>0</v>
      </c>
      <c r="F120" s="51">
        <v>36651</v>
      </c>
      <c r="G120" s="51">
        <v>302499</v>
      </c>
      <c r="H120" s="51">
        <v>234600</v>
      </c>
      <c r="I120" s="51">
        <v>0</v>
      </c>
      <c r="J120" s="51">
        <v>0</v>
      </c>
      <c r="K120" s="51">
        <v>0</v>
      </c>
      <c r="L120" s="51">
        <v>0</v>
      </c>
      <c r="M120" s="823">
        <f>SUM(F120:K120)</f>
        <v>573750</v>
      </c>
      <c r="N120" s="823">
        <f>SUM(G120:L120)</f>
        <v>537099</v>
      </c>
      <c r="O120" s="3189"/>
    </row>
    <row r="121" spans="1:15" s="235" customFormat="1" ht="15" hidden="1" customHeight="1">
      <c r="A121" s="3606"/>
      <c r="B121" s="1488" t="s">
        <v>379</v>
      </c>
      <c r="C121" s="2941"/>
      <c r="D121" s="249">
        <f t="shared" ref="D121:D122" si="75">E121+F121+G121+H121+I121+J121+K121+L121</f>
        <v>30489</v>
      </c>
      <c r="E121" s="1518"/>
      <c r="F121" s="1490">
        <f>8496+1459+208</f>
        <v>10163</v>
      </c>
      <c r="G121" s="1490">
        <f>8496+1459+208</f>
        <v>10163</v>
      </c>
      <c r="H121" s="1490">
        <f>8496+1459+208</f>
        <v>10163</v>
      </c>
      <c r="I121" s="1062"/>
      <c r="J121" s="1062"/>
      <c r="K121" s="1062"/>
      <c r="L121" s="1062"/>
      <c r="M121" s="1491"/>
      <c r="N121" s="1491"/>
      <c r="O121" s="3189"/>
    </row>
    <row r="122" spans="1:15" s="235" customFormat="1" ht="15" hidden="1" customHeight="1">
      <c r="A122" s="3606"/>
      <c r="B122" s="1488" t="s">
        <v>380</v>
      </c>
      <c r="C122" s="2941"/>
      <c r="D122" s="249">
        <f t="shared" si="75"/>
        <v>543261</v>
      </c>
      <c r="E122" s="1518"/>
      <c r="F122" s="1490">
        <f>129026-98286-4250</f>
        <v>26490</v>
      </c>
      <c r="G122" s="1490">
        <f>163661+18488+7650+98286+4250</f>
        <v>292335</v>
      </c>
      <c r="H122" s="1490">
        <f>204036+5100+15300</f>
        <v>224436</v>
      </c>
      <c r="I122" s="1788"/>
      <c r="J122" s="1788"/>
      <c r="K122" s="1788"/>
      <c r="L122" s="1788"/>
      <c r="M122" s="1491"/>
      <c r="N122" s="1491"/>
      <c r="O122" s="3189"/>
    </row>
    <row r="123" spans="1:15" s="235" customFormat="1" ht="12.75">
      <c r="A123" s="3606"/>
      <c r="B123" s="21" t="s">
        <v>22</v>
      </c>
      <c r="C123" s="22"/>
      <c r="D123" s="199">
        <f t="shared" ref="D123:L124" si="76">D124</f>
        <v>573750</v>
      </c>
      <c r="E123" s="199">
        <f t="shared" ref="E123:E124" si="77">+E124</f>
        <v>0</v>
      </c>
      <c r="F123" s="199">
        <f t="shared" si="76"/>
        <v>0</v>
      </c>
      <c r="G123" s="199">
        <f t="shared" si="76"/>
        <v>178482</v>
      </c>
      <c r="H123" s="199">
        <f t="shared" si="76"/>
        <v>308586</v>
      </c>
      <c r="I123" s="199">
        <f t="shared" si="76"/>
        <v>86682</v>
      </c>
      <c r="J123" s="199">
        <f t="shared" si="76"/>
        <v>0</v>
      </c>
      <c r="K123" s="199">
        <f t="shared" si="76"/>
        <v>0</v>
      </c>
      <c r="L123" s="199">
        <f t="shared" si="76"/>
        <v>0</v>
      </c>
      <c r="M123" s="3027" t="s">
        <v>61</v>
      </c>
      <c r="N123" s="3027" t="s">
        <v>61</v>
      </c>
      <c r="O123" s="3189"/>
    </row>
    <row r="124" spans="1:15" s="235" customFormat="1" ht="12.75">
      <c r="A124" s="3606"/>
      <c r="B124" s="173" t="s">
        <v>18</v>
      </c>
      <c r="C124" s="3599" t="s">
        <v>171</v>
      </c>
      <c r="D124" s="50">
        <f t="shared" si="76"/>
        <v>573750</v>
      </c>
      <c r="E124" s="50">
        <f t="shared" si="77"/>
        <v>0</v>
      </c>
      <c r="F124" s="50">
        <f t="shared" si="76"/>
        <v>0</v>
      </c>
      <c r="G124" s="50">
        <f t="shared" si="76"/>
        <v>178482</v>
      </c>
      <c r="H124" s="50">
        <f t="shared" si="76"/>
        <v>308586</v>
      </c>
      <c r="I124" s="50">
        <f t="shared" si="76"/>
        <v>86682</v>
      </c>
      <c r="J124" s="50">
        <f t="shared" si="76"/>
        <v>0</v>
      </c>
      <c r="K124" s="50">
        <f t="shared" si="76"/>
        <v>0</v>
      </c>
      <c r="L124" s="50">
        <f t="shared" si="76"/>
        <v>0</v>
      </c>
      <c r="M124" s="3028"/>
      <c r="N124" s="3028"/>
      <c r="O124" s="3189"/>
    </row>
    <row r="125" spans="1:15" s="235" customFormat="1" ht="13.5" thickBot="1">
      <c r="A125" s="3607"/>
      <c r="B125" s="2052" t="s">
        <v>21</v>
      </c>
      <c r="C125" s="3074"/>
      <c r="D125" s="249">
        <f>E125+F125+G125+H125+I125+J125+K125+L125</f>
        <v>573750</v>
      </c>
      <c r="E125" s="249">
        <v>0</v>
      </c>
      <c r="F125" s="72">
        <f>48432-48432</f>
        <v>0</v>
      </c>
      <c r="G125" s="72">
        <f>130050+48432</f>
        <v>178482</v>
      </c>
      <c r="H125" s="72">
        <v>308586</v>
      </c>
      <c r="I125" s="72">
        <v>86682</v>
      </c>
      <c r="J125" s="72">
        <v>0</v>
      </c>
      <c r="K125" s="72">
        <v>0</v>
      </c>
      <c r="L125" s="72">
        <v>0</v>
      </c>
      <c r="M125" s="3029"/>
      <c r="N125" s="3029"/>
      <c r="O125" s="3190"/>
    </row>
    <row r="126" spans="1:15" s="235" customFormat="1" ht="50.25" hidden="1" customHeight="1">
      <c r="A126" s="3605" t="s">
        <v>91</v>
      </c>
      <c r="B126" s="186"/>
      <c r="C126" s="2050" t="s">
        <v>172</v>
      </c>
      <c r="D126" s="826"/>
      <c r="E126" s="827"/>
      <c r="F126" s="828"/>
      <c r="G126" s="828"/>
      <c r="H126" s="828"/>
      <c r="I126" s="827"/>
      <c r="J126" s="827"/>
      <c r="K126" s="827"/>
      <c r="L126" s="827"/>
      <c r="M126" s="829"/>
      <c r="N126" s="829"/>
      <c r="O126" s="3188"/>
    </row>
    <row r="127" spans="1:15" s="235" customFormat="1" ht="15" hidden="1" customHeight="1">
      <c r="A127" s="3606"/>
      <c r="B127" s="2002" t="s">
        <v>10</v>
      </c>
      <c r="C127" s="2003"/>
      <c r="D127" s="2004">
        <f>+D128+D130</f>
        <v>0</v>
      </c>
      <c r="E127" s="2004">
        <f>+E128+E130</f>
        <v>0</v>
      </c>
      <c r="F127" s="2004">
        <f>+F128+F130</f>
        <v>0</v>
      </c>
      <c r="G127" s="2004">
        <f t="shared" ref="G127:H127" si="78">+G128+G130</f>
        <v>0</v>
      </c>
      <c r="H127" s="2004">
        <f t="shared" si="78"/>
        <v>0</v>
      </c>
      <c r="I127" s="2004">
        <v>0</v>
      </c>
      <c r="J127" s="2004">
        <v>0</v>
      </c>
      <c r="K127" s="2004">
        <v>0</v>
      </c>
      <c r="L127" s="2004">
        <v>0</v>
      </c>
      <c r="M127" s="2005">
        <f>+M128+M130</f>
        <v>0</v>
      </c>
      <c r="N127" s="2005">
        <f>+N128+N130</f>
        <v>0</v>
      </c>
      <c r="O127" s="3189"/>
    </row>
    <row r="128" spans="1:15" s="235" customFormat="1" ht="15" hidden="1" customHeight="1">
      <c r="A128" s="3606"/>
      <c r="B128" s="2006" t="s">
        <v>24</v>
      </c>
      <c r="C128" s="3040" t="s">
        <v>218</v>
      </c>
      <c r="D128" s="2007">
        <f>+D129</f>
        <v>0</v>
      </c>
      <c r="E128" s="2012">
        <f>+E129</f>
        <v>0</v>
      </c>
      <c r="F128" s="2012">
        <f>+F129</f>
        <v>0</v>
      </c>
      <c r="G128" s="2012">
        <f t="shared" ref="G128:H128" si="79">+G129</f>
        <v>0</v>
      </c>
      <c r="H128" s="2012">
        <f t="shared" si="79"/>
        <v>0</v>
      </c>
      <c r="I128" s="2013">
        <v>0</v>
      </c>
      <c r="J128" s="2013">
        <v>0</v>
      </c>
      <c r="K128" s="2013">
        <v>0</v>
      </c>
      <c r="L128" s="2013">
        <v>0</v>
      </c>
      <c r="M128" s="2008">
        <f>+M129</f>
        <v>0</v>
      </c>
      <c r="N128" s="2008">
        <f>+N129</f>
        <v>0</v>
      </c>
      <c r="O128" s="3189"/>
    </row>
    <row r="129" spans="1:15" s="235" customFormat="1" ht="15" hidden="1" customHeight="1">
      <c r="A129" s="3606"/>
      <c r="B129" s="2009" t="s">
        <v>12</v>
      </c>
      <c r="C129" s="3100"/>
      <c r="D129" s="1913"/>
      <c r="E129" s="1913">
        <v>0</v>
      </c>
      <c r="F129" s="2010"/>
      <c r="G129" s="2010"/>
      <c r="H129" s="2010"/>
      <c r="I129" s="2013">
        <v>0</v>
      </c>
      <c r="J129" s="2013">
        <v>0</v>
      </c>
      <c r="K129" s="2013">
        <v>0</v>
      </c>
      <c r="L129" s="2013">
        <v>0</v>
      </c>
      <c r="M129" s="823">
        <f>SUM(F129:K129)</f>
        <v>0</v>
      </c>
      <c r="N129" s="823">
        <f>SUM(G129:L129)</f>
        <v>0</v>
      </c>
      <c r="O129" s="3189"/>
    </row>
    <row r="130" spans="1:15" s="235" customFormat="1" ht="15" hidden="1" customHeight="1">
      <c r="A130" s="3606"/>
      <c r="B130" s="2011" t="s">
        <v>18</v>
      </c>
      <c r="C130" s="3100"/>
      <c r="D130" s="2007">
        <f>+D131</f>
        <v>0</v>
      </c>
      <c r="E130" s="2012">
        <f>+E131</f>
        <v>0</v>
      </c>
      <c r="F130" s="2012">
        <f>+F131</f>
        <v>0</v>
      </c>
      <c r="G130" s="2012">
        <f t="shared" ref="G130:H130" si="80">+G131</f>
        <v>0</v>
      </c>
      <c r="H130" s="2012">
        <f t="shared" si="80"/>
        <v>0</v>
      </c>
      <c r="I130" s="2013">
        <v>0</v>
      </c>
      <c r="J130" s="2013">
        <v>0</v>
      </c>
      <c r="K130" s="2013">
        <v>0</v>
      </c>
      <c r="L130" s="2013">
        <v>0</v>
      </c>
      <c r="M130" s="2008">
        <f>+M131</f>
        <v>0</v>
      </c>
      <c r="N130" s="2008">
        <f>+N131</f>
        <v>0</v>
      </c>
      <c r="O130" s="3189"/>
    </row>
    <row r="131" spans="1:15" s="235" customFormat="1" ht="15" hidden="1" customHeight="1">
      <c r="A131" s="3606"/>
      <c r="B131" s="283" t="s">
        <v>21</v>
      </c>
      <c r="C131" s="3075"/>
      <c r="D131" s="1913"/>
      <c r="E131" s="1913">
        <v>0</v>
      </c>
      <c r="F131" s="2010"/>
      <c r="G131" s="2010"/>
      <c r="H131" s="2010"/>
      <c r="I131" s="2013">
        <v>0</v>
      </c>
      <c r="J131" s="2013">
        <v>0</v>
      </c>
      <c r="K131" s="2013">
        <v>0</v>
      </c>
      <c r="L131" s="2013">
        <v>0</v>
      </c>
      <c r="M131" s="823">
        <f>SUM(F131:K131)</f>
        <v>0</v>
      </c>
      <c r="N131" s="823">
        <f>SUM(G131:L131)</f>
        <v>0</v>
      </c>
      <c r="O131" s="3598"/>
    </row>
    <row r="132" spans="1:15" s="235" customFormat="1" ht="15" hidden="1" customHeight="1">
      <c r="A132" s="3606"/>
      <c r="B132" s="715" t="s">
        <v>22</v>
      </c>
      <c r="C132" s="2003"/>
      <c r="D132" s="2004">
        <f t="shared" ref="D132:F133" si="81">+D133</f>
        <v>0</v>
      </c>
      <c r="E132" s="2004">
        <f t="shared" si="81"/>
        <v>0</v>
      </c>
      <c r="F132" s="2004">
        <f t="shared" si="81"/>
        <v>0</v>
      </c>
      <c r="G132" s="2004">
        <f t="shared" ref="G132:H132" si="82">+G133</f>
        <v>0</v>
      </c>
      <c r="H132" s="2004">
        <f t="shared" si="82"/>
        <v>0</v>
      </c>
      <c r="I132" s="2004">
        <v>0</v>
      </c>
      <c r="J132" s="2004">
        <v>0</v>
      </c>
      <c r="K132" s="2004">
        <v>0</v>
      </c>
      <c r="L132" s="2004">
        <v>0</v>
      </c>
      <c r="M132" s="3054"/>
      <c r="N132" s="3054"/>
      <c r="O132" s="3189"/>
    </row>
    <row r="133" spans="1:15" s="235" customFormat="1" ht="15" hidden="1" customHeight="1">
      <c r="A133" s="3606"/>
      <c r="B133" s="681" t="s">
        <v>18</v>
      </c>
      <c r="C133" s="3127" t="s">
        <v>221</v>
      </c>
      <c r="D133" s="2007">
        <f t="shared" si="81"/>
        <v>0</v>
      </c>
      <c r="E133" s="2013">
        <f t="shared" si="81"/>
        <v>0</v>
      </c>
      <c r="F133" s="2013">
        <f t="shared" si="81"/>
        <v>0</v>
      </c>
      <c r="G133" s="2013">
        <f t="shared" ref="G133:H133" si="83">+G134</f>
        <v>0</v>
      </c>
      <c r="H133" s="2013">
        <f t="shared" si="83"/>
        <v>0</v>
      </c>
      <c r="I133" s="2013">
        <v>0</v>
      </c>
      <c r="J133" s="2013">
        <v>0</v>
      </c>
      <c r="K133" s="2013">
        <v>0</v>
      </c>
      <c r="L133" s="2013">
        <v>0</v>
      </c>
      <c r="M133" s="3028"/>
      <c r="N133" s="3028"/>
      <c r="O133" s="3189"/>
    </row>
    <row r="134" spans="1:15" s="235" customFormat="1" ht="15" hidden="1" customHeight="1" thickBot="1">
      <c r="A134" s="3607"/>
      <c r="B134" s="2052" t="s">
        <v>21</v>
      </c>
      <c r="C134" s="3074"/>
      <c r="D134" s="1009">
        <f>E134+F134+G134+H134+I134+J134+K134+L134</f>
        <v>0</v>
      </c>
      <c r="E134" s="1009">
        <v>0</v>
      </c>
      <c r="F134" s="520"/>
      <c r="G134" s="520"/>
      <c r="H134" s="520"/>
      <c r="I134" s="520">
        <v>0</v>
      </c>
      <c r="J134" s="520">
        <v>0</v>
      </c>
      <c r="K134" s="520">
        <v>0</v>
      </c>
      <c r="L134" s="520">
        <v>0</v>
      </c>
      <c r="M134" s="3029"/>
      <c r="N134" s="3029"/>
      <c r="O134" s="3190"/>
    </row>
    <row r="135" spans="1:15" s="235" customFormat="1" ht="49.5" hidden="1" customHeight="1">
      <c r="A135" s="3608" t="s">
        <v>92</v>
      </c>
      <c r="B135" s="186"/>
      <c r="C135" s="2050" t="s">
        <v>81</v>
      </c>
      <c r="D135" s="826"/>
      <c r="E135" s="1903"/>
      <c r="F135" s="828"/>
      <c r="G135" s="828"/>
      <c r="H135" s="828"/>
      <c r="I135" s="827"/>
      <c r="J135" s="827"/>
      <c r="K135" s="827"/>
      <c r="L135" s="827"/>
      <c r="M135" s="829"/>
      <c r="N135" s="829"/>
      <c r="O135" s="3188"/>
    </row>
    <row r="136" spans="1:15" s="235" customFormat="1" ht="15" hidden="1" customHeight="1">
      <c r="A136" s="3606"/>
      <c r="B136" s="30" t="s">
        <v>10</v>
      </c>
      <c r="C136" s="22"/>
      <c r="D136" s="199">
        <f>+D137+D139</f>
        <v>0</v>
      </c>
      <c r="E136" s="199">
        <f>+E137+E139</f>
        <v>0</v>
      </c>
      <c r="F136" s="199">
        <f>+F137+F139</f>
        <v>0</v>
      </c>
      <c r="G136" s="199">
        <f t="shared" ref="G136:I136" si="84">+G137+G139</f>
        <v>0</v>
      </c>
      <c r="H136" s="199">
        <f t="shared" si="84"/>
        <v>0</v>
      </c>
      <c r="I136" s="199">
        <f t="shared" si="84"/>
        <v>0</v>
      </c>
      <c r="J136" s="199">
        <v>0</v>
      </c>
      <c r="K136" s="199">
        <v>0</v>
      </c>
      <c r="L136" s="199">
        <v>0</v>
      </c>
      <c r="M136" s="65">
        <f>+M137+M139</f>
        <v>0</v>
      </c>
      <c r="N136" s="65">
        <f>+N137+N139</f>
        <v>0</v>
      </c>
      <c r="O136" s="3189"/>
    </row>
    <row r="137" spans="1:15" s="235" customFormat="1" ht="15" hidden="1" customHeight="1">
      <c r="A137" s="3606"/>
      <c r="B137" s="834" t="s">
        <v>24</v>
      </c>
      <c r="C137" s="3108" t="s">
        <v>218</v>
      </c>
      <c r="D137" s="313">
        <f>+D138</f>
        <v>0</v>
      </c>
      <c r="E137" s="318">
        <f>+E138</f>
        <v>0</v>
      </c>
      <c r="F137" s="318">
        <f>+F138</f>
        <v>0</v>
      </c>
      <c r="G137" s="318">
        <f>+G138</f>
        <v>0</v>
      </c>
      <c r="H137" s="318">
        <f t="shared" ref="H137:I137" si="85">+H138</f>
        <v>0</v>
      </c>
      <c r="I137" s="318">
        <f t="shared" si="85"/>
        <v>0</v>
      </c>
      <c r="J137" s="50">
        <v>0</v>
      </c>
      <c r="K137" s="50">
        <v>0</v>
      </c>
      <c r="L137" s="50">
        <v>0</v>
      </c>
      <c r="M137" s="310">
        <f>+M138</f>
        <v>0</v>
      </c>
      <c r="N137" s="310">
        <f>+N138</f>
        <v>0</v>
      </c>
      <c r="O137" s="3189"/>
    </row>
    <row r="138" spans="1:15" s="235" customFormat="1" ht="15" hidden="1" customHeight="1">
      <c r="A138" s="3606"/>
      <c r="B138" s="835" t="s">
        <v>12</v>
      </c>
      <c r="C138" s="3100"/>
      <c r="D138" s="249"/>
      <c r="E138" s="249">
        <v>0</v>
      </c>
      <c r="F138" s="312"/>
      <c r="G138" s="312"/>
      <c r="H138" s="312"/>
      <c r="I138" s="312"/>
      <c r="J138" s="50">
        <v>0</v>
      </c>
      <c r="K138" s="50">
        <v>0</v>
      </c>
      <c r="L138" s="50">
        <v>0</v>
      </c>
      <c r="M138" s="823">
        <f>SUM(F138:K138)</f>
        <v>0</v>
      </c>
      <c r="N138" s="823">
        <f>SUM(G138:L138)</f>
        <v>0</v>
      </c>
      <c r="O138" s="3189"/>
    </row>
    <row r="139" spans="1:15" s="235" customFormat="1" ht="15" hidden="1" customHeight="1">
      <c r="A139" s="3606"/>
      <c r="B139" s="688" t="s">
        <v>18</v>
      </c>
      <c r="C139" s="3100"/>
      <c r="D139" s="49">
        <f>+D140</f>
        <v>0</v>
      </c>
      <c r="E139" s="102">
        <f>+E140</f>
        <v>0</v>
      </c>
      <c r="F139" s="102">
        <f>+F140</f>
        <v>0</v>
      </c>
      <c r="G139" s="102">
        <f t="shared" ref="G139:I139" si="86">+G140</f>
        <v>0</v>
      </c>
      <c r="H139" s="102">
        <f t="shared" si="86"/>
        <v>0</v>
      </c>
      <c r="I139" s="102">
        <f t="shared" si="86"/>
        <v>0</v>
      </c>
      <c r="J139" s="50">
        <v>0</v>
      </c>
      <c r="K139" s="50">
        <v>0</v>
      </c>
      <c r="L139" s="50">
        <v>0</v>
      </c>
      <c r="M139" s="79">
        <f>+M140</f>
        <v>0</v>
      </c>
      <c r="N139" s="79">
        <f>+N140</f>
        <v>0</v>
      </c>
      <c r="O139" s="3189"/>
    </row>
    <row r="140" spans="1:15" s="235" customFormat="1" ht="15" hidden="1" customHeight="1">
      <c r="A140" s="3606"/>
      <c r="B140" s="283" t="s">
        <v>21</v>
      </c>
      <c r="C140" s="3075"/>
      <c r="D140" s="249"/>
      <c r="E140" s="1682">
        <v>0</v>
      </c>
      <c r="F140" s="778"/>
      <c r="G140" s="778"/>
      <c r="H140" s="778"/>
      <c r="I140" s="778"/>
      <c r="J140" s="50">
        <v>0</v>
      </c>
      <c r="K140" s="50">
        <v>0</v>
      </c>
      <c r="L140" s="50">
        <v>0</v>
      </c>
      <c r="M140" s="823">
        <f>SUM(F140:K140)</f>
        <v>0</v>
      </c>
      <c r="N140" s="823">
        <f>SUM(G140:L140)</f>
        <v>0</v>
      </c>
      <c r="O140" s="3598"/>
    </row>
    <row r="141" spans="1:15" s="235" customFormat="1" ht="15" hidden="1" customHeight="1">
      <c r="A141" s="3606"/>
      <c r="B141" s="21" t="s">
        <v>22</v>
      </c>
      <c r="C141" s="22"/>
      <c r="D141" s="199">
        <f t="shared" ref="D141:F142" si="87">+D142</f>
        <v>0</v>
      </c>
      <c r="E141" s="103">
        <f t="shared" si="87"/>
        <v>0</v>
      </c>
      <c r="F141" s="103">
        <f t="shared" si="87"/>
        <v>0</v>
      </c>
      <c r="G141" s="103">
        <f t="shared" ref="G141:I141" si="88">+G142</f>
        <v>0</v>
      </c>
      <c r="H141" s="103">
        <f t="shared" si="88"/>
        <v>0</v>
      </c>
      <c r="I141" s="103">
        <f t="shared" si="88"/>
        <v>0</v>
      </c>
      <c r="J141" s="199">
        <v>0</v>
      </c>
      <c r="K141" s="199">
        <v>0</v>
      </c>
      <c r="L141" s="199">
        <v>0</v>
      </c>
      <c r="M141" s="3027"/>
      <c r="N141" s="3027"/>
      <c r="O141" s="3189"/>
    </row>
    <row r="142" spans="1:15" s="235" customFormat="1" ht="15" hidden="1" customHeight="1">
      <c r="A142" s="3606"/>
      <c r="B142" s="173" t="s">
        <v>18</v>
      </c>
      <c r="C142" s="3601" t="s">
        <v>221</v>
      </c>
      <c r="D142" s="49">
        <f t="shared" si="87"/>
        <v>0</v>
      </c>
      <c r="E142" s="50">
        <f t="shared" si="87"/>
        <v>0</v>
      </c>
      <c r="F142" s="50">
        <f t="shared" si="87"/>
        <v>0</v>
      </c>
      <c r="G142" s="50">
        <f t="shared" ref="G142:I142" si="89">+G143</f>
        <v>0</v>
      </c>
      <c r="H142" s="50">
        <f t="shared" si="89"/>
        <v>0</v>
      </c>
      <c r="I142" s="50">
        <f t="shared" si="89"/>
        <v>0</v>
      </c>
      <c r="J142" s="50">
        <v>0</v>
      </c>
      <c r="K142" s="50">
        <v>0</v>
      </c>
      <c r="L142" s="50">
        <v>0</v>
      </c>
      <c r="M142" s="3028"/>
      <c r="N142" s="3028"/>
      <c r="O142" s="3189"/>
    </row>
    <row r="143" spans="1:15" s="235" customFormat="1" ht="15" hidden="1" customHeight="1" thickBot="1">
      <c r="A143" s="3607"/>
      <c r="B143" s="2052" t="s">
        <v>21</v>
      </c>
      <c r="C143" s="3074"/>
      <c r="D143" s="249"/>
      <c r="E143" s="249">
        <v>0</v>
      </c>
      <c r="F143" s="72"/>
      <c r="G143" s="72"/>
      <c r="H143" s="72"/>
      <c r="I143" s="72"/>
      <c r="J143" s="72">
        <v>0</v>
      </c>
      <c r="K143" s="72">
        <v>0</v>
      </c>
      <c r="L143" s="72">
        <v>0</v>
      </c>
      <c r="M143" s="3029"/>
      <c r="N143" s="3029"/>
      <c r="O143" s="3190"/>
    </row>
    <row r="144" spans="1:15" s="235" customFormat="1" ht="22.5" customHeight="1">
      <c r="A144" s="3608" t="s">
        <v>91</v>
      </c>
      <c r="B144" s="186" t="s">
        <v>441</v>
      </c>
      <c r="C144" s="2050" t="s">
        <v>109</v>
      </c>
      <c r="D144" s="826"/>
      <c r="E144" s="1903"/>
      <c r="F144" s="828"/>
      <c r="G144" s="828"/>
      <c r="H144" s="828"/>
      <c r="I144" s="827"/>
      <c r="J144" s="827"/>
      <c r="K144" s="827"/>
      <c r="L144" s="827"/>
      <c r="M144" s="829"/>
      <c r="N144" s="829"/>
      <c r="O144" s="3188" t="s">
        <v>371</v>
      </c>
    </row>
    <row r="145" spans="1:16" s="235" customFormat="1" ht="12.75">
      <c r="A145" s="3606"/>
      <c r="B145" s="30" t="s">
        <v>10</v>
      </c>
      <c r="C145" s="22"/>
      <c r="D145" s="199">
        <f>+D146+D150</f>
        <v>637040</v>
      </c>
      <c r="E145" s="199">
        <f t="shared" ref="E145" si="90">+E146+E150</f>
        <v>0</v>
      </c>
      <c r="F145" s="199">
        <f t="shared" ref="F145:L145" si="91">+F146+F150</f>
        <v>14340</v>
      </c>
      <c r="G145" s="199">
        <f t="shared" si="91"/>
        <v>184907</v>
      </c>
      <c r="H145" s="199">
        <f t="shared" si="91"/>
        <v>372867</v>
      </c>
      <c r="I145" s="199">
        <f t="shared" si="91"/>
        <v>64926</v>
      </c>
      <c r="J145" s="1779">
        <f t="shared" si="91"/>
        <v>0</v>
      </c>
      <c r="K145" s="1779">
        <f t="shared" si="91"/>
        <v>0</v>
      </c>
      <c r="L145" s="1779">
        <f t="shared" si="91"/>
        <v>0</v>
      </c>
      <c r="M145" s="65">
        <f>+M146+M150</f>
        <v>637040</v>
      </c>
      <c r="N145" s="65">
        <f>+N146+N150</f>
        <v>622700</v>
      </c>
      <c r="O145" s="3189"/>
      <c r="P145" s="235" t="s">
        <v>372</v>
      </c>
    </row>
    <row r="146" spans="1:16" s="235" customFormat="1" ht="15" customHeight="1">
      <c r="A146" s="3606"/>
      <c r="B146" s="834" t="s">
        <v>24</v>
      </c>
      <c r="C146" s="3108" t="s">
        <v>432</v>
      </c>
      <c r="D146" s="313">
        <f>SUM(D147)</f>
        <v>96449</v>
      </c>
      <c r="E146" s="313">
        <f t="shared" ref="E146:L146" si="92">SUM(E147)</f>
        <v>0</v>
      </c>
      <c r="F146" s="313">
        <f t="shared" si="92"/>
        <v>2151</v>
      </c>
      <c r="G146" s="313">
        <f t="shared" si="92"/>
        <v>28034</v>
      </c>
      <c r="H146" s="313">
        <f t="shared" si="92"/>
        <v>56227</v>
      </c>
      <c r="I146" s="313">
        <f t="shared" si="92"/>
        <v>10037</v>
      </c>
      <c r="J146" s="1780">
        <f t="shared" si="92"/>
        <v>0</v>
      </c>
      <c r="K146" s="1780">
        <f t="shared" si="92"/>
        <v>0</v>
      </c>
      <c r="L146" s="1780">
        <f t="shared" si="92"/>
        <v>0</v>
      </c>
      <c r="M146" s="310">
        <f>+M147</f>
        <v>96449</v>
      </c>
      <c r="N146" s="310">
        <f>+N147</f>
        <v>94298</v>
      </c>
      <c r="O146" s="3189"/>
    </row>
    <row r="147" spans="1:16" s="235" customFormat="1" ht="12.75">
      <c r="A147" s="3606"/>
      <c r="B147" s="835" t="s">
        <v>12</v>
      </c>
      <c r="C147" s="3100"/>
      <c r="D147" s="249">
        <f>E147+F147+G147+H147+I147+J147+K147+L147</f>
        <v>96449</v>
      </c>
      <c r="E147" s="249">
        <v>0</v>
      </c>
      <c r="F147" s="249">
        <f t="shared" ref="F147:L147" si="93">SUM(F148:F149)</f>
        <v>2151</v>
      </c>
      <c r="G147" s="249">
        <f t="shared" si="93"/>
        <v>28034</v>
      </c>
      <c r="H147" s="249">
        <f t="shared" si="93"/>
        <v>56227</v>
      </c>
      <c r="I147" s="249">
        <f t="shared" si="93"/>
        <v>10037</v>
      </c>
      <c r="J147" s="1781">
        <f t="shared" si="93"/>
        <v>0</v>
      </c>
      <c r="K147" s="1781">
        <f t="shared" si="93"/>
        <v>0</v>
      </c>
      <c r="L147" s="1781">
        <f t="shared" si="93"/>
        <v>0</v>
      </c>
      <c r="M147" s="823">
        <f>+M148+M149</f>
        <v>96449</v>
      </c>
      <c r="N147" s="823">
        <f>+N148+N149</f>
        <v>94298</v>
      </c>
      <c r="O147" s="3189"/>
    </row>
    <row r="148" spans="1:16" s="235" customFormat="1" ht="15" hidden="1" customHeight="1">
      <c r="A148" s="3606"/>
      <c r="B148" s="1782" t="s">
        <v>433</v>
      </c>
      <c r="C148" s="3100"/>
      <c r="D148" s="1016">
        <f>SUM(E148:L148)</f>
        <v>78163</v>
      </c>
      <c r="E148" s="1905">
        <v>0</v>
      </c>
      <c r="F148" s="1062">
        <v>2151</v>
      </c>
      <c r="G148" s="1062">
        <v>22007</v>
      </c>
      <c r="H148" s="1062">
        <v>45779</v>
      </c>
      <c r="I148" s="1062">
        <v>8226</v>
      </c>
      <c r="J148" s="1783">
        <v>0</v>
      </c>
      <c r="K148" s="1783">
        <v>0</v>
      </c>
      <c r="L148" s="1783">
        <v>0</v>
      </c>
      <c r="M148" s="823">
        <f>SUM(F148:K148)</f>
        <v>78163</v>
      </c>
      <c r="N148" s="823">
        <f>SUM(G148:L148)</f>
        <v>76012</v>
      </c>
      <c r="O148" s="3189"/>
    </row>
    <row r="149" spans="1:16" s="235" customFormat="1" ht="15" hidden="1" customHeight="1">
      <c r="A149" s="3606"/>
      <c r="B149" s="1782" t="s">
        <v>294</v>
      </c>
      <c r="C149" s="3100"/>
      <c r="D149" s="1016">
        <v>18286</v>
      </c>
      <c r="E149" s="1905">
        <v>0</v>
      </c>
      <c r="F149" s="1784">
        <v>0</v>
      </c>
      <c r="G149" s="1062">
        <v>6027</v>
      </c>
      <c r="H149" s="1062">
        <v>10448</v>
      </c>
      <c r="I149" s="1062">
        <v>1811</v>
      </c>
      <c r="J149" s="1783">
        <v>0</v>
      </c>
      <c r="K149" s="1783">
        <v>0</v>
      </c>
      <c r="L149" s="1783">
        <v>0</v>
      </c>
      <c r="M149" s="823">
        <f>SUM(F149:K149)</f>
        <v>18286</v>
      </c>
      <c r="N149" s="823">
        <f>SUM(G149:L149)</f>
        <v>18286</v>
      </c>
      <c r="O149" s="3189"/>
    </row>
    <row r="150" spans="1:16" s="235" customFormat="1" ht="12.75">
      <c r="A150" s="3606"/>
      <c r="B150" s="688" t="s">
        <v>18</v>
      </c>
      <c r="C150" s="3100"/>
      <c r="D150" s="49">
        <f>SUM(E150:L150)</f>
        <v>540591</v>
      </c>
      <c r="E150" s="49">
        <f t="shared" ref="E150:L150" si="94">SUM(E151)</f>
        <v>0</v>
      </c>
      <c r="F150" s="49">
        <f t="shared" si="94"/>
        <v>12189</v>
      </c>
      <c r="G150" s="49">
        <f t="shared" si="94"/>
        <v>156873</v>
      </c>
      <c r="H150" s="49">
        <f t="shared" si="94"/>
        <v>316640</v>
      </c>
      <c r="I150" s="49">
        <f t="shared" si="94"/>
        <v>54889</v>
      </c>
      <c r="J150" s="1785">
        <f t="shared" si="94"/>
        <v>0</v>
      </c>
      <c r="K150" s="1785">
        <f t="shared" si="94"/>
        <v>0</v>
      </c>
      <c r="L150" s="1785">
        <f t="shared" si="94"/>
        <v>0</v>
      </c>
      <c r="M150" s="310">
        <f>+M151</f>
        <v>540591</v>
      </c>
      <c r="N150" s="310">
        <f>+N151</f>
        <v>528402</v>
      </c>
      <c r="O150" s="3189"/>
    </row>
    <row r="151" spans="1:16" s="235" customFormat="1" ht="12.75">
      <c r="A151" s="3606"/>
      <c r="B151" s="2442" t="s">
        <v>21</v>
      </c>
      <c r="C151" s="3100"/>
      <c r="D151" s="249">
        <f>E151+F151+G151+H151+I151+J151+K151+L151</f>
        <v>540591</v>
      </c>
      <c r="E151" s="249">
        <v>0</v>
      </c>
      <c r="F151" s="1787">
        <f t="shared" ref="F151:L151" si="95">SUM(F152:F153)</f>
        <v>12189</v>
      </c>
      <c r="G151" s="1787">
        <f t="shared" si="95"/>
        <v>156873</v>
      </c>
      <c r="H151" s="1787">
        <f t="shared" si="95"/>
        <v>316640</v>
      </c>
      <c r="I151" s="1787">
        <f t="shared" si="95"/>
        <v>54889</v>
      </c>
      <c r="J151" s="1882">
        <f t="shared" si="95"/>
        <v>0</v>
      </c>
      <c r="K151" s="1882">
        <f t="shared" si="95"/>
        <v>0</v>
      </c>
      <c r="L151" s="1882">
        <f t="shared" si="95"/>
        <v>0</v>
      </c>
      <c r="M151" s="823">
        <f>SUM(F151:K151)</f>
        <v>540591</v>
      </c>
      <c r="N151" s="823">
        <f>SUM(G151:L151)</f>
        <v>528402</v>
      </c>
      <c r="O151" s="3189"/>
    </row>
    <row r="152" spans="1:16" s="235" customFormat="1" ht="15" hidden="1" customHeight="1">
      <c r="A152" s="3632"/>
      <c r="B152" s="1786" t="s">
        <v>433</v>
      </c>
      <c r="C152" s="3633"/>
      <c r="D152" s="1787">
        <f>SUM(E152:L152)</f>
        <v>436968</v>
      </c>
      <c r="E152" s="1906">
        <v>0</v>
      </c>
      <c r="F152" s="1788">
        <v>12189</v>
      </c>
      <c r="G152" s="1788">
        <v>122723</v>
      </c>
      <c r="H152" s="1788">
        <v>257431</v>
      </c>
      <c r="I152" s="1788">
        <v>44625</v>
      </c>
      <c r="J152" s="1789">
        <v>0</v>
      </c>
      <c r="K152" s="1789">
        <v>0</v>
      </c>
      <c r="L152" s="1789">
        <v>0</v>
      </c>
      <c r="M152" s="65">
        <f t="shared" ref="M152:N153" si="96">SUM(E152:K152)</f>
        <v>436968</v>
      </c>
      <c r="N152" s="65">
        <f t="shared" si="96"/>
        <v>436968</v>
      </c>
      <c r="O152" s="3189"/>
    </row>
    <row r="153" spans="1:16" s="235" customFormat="1" ht="15" hidden="1" customHeight="1">
      <c r="A153" s="3632"/>
      <c r="B153" s="1790" t="s">
        <v>294</v>
      </c>
      <c r="C153" s="3634"/>
      <c r="D153" s="249">
        <f>SUM(E153:L153)</f>
        <v>103623</v>
      </c>
      <c r="E153" s="1907">
        <v>0</v>
      </c>
      <c r="F153" s="1791">
        <v>0</v>
      </c>
      <c r="G153" s="778">
        <v>34150</v>
      </c>
      <c r="H153" s="778">
        <v>59209</v>
      </c>
      <c r="I153" s="778">
        <v>10264</v>
      </c>
      <c r="J153" s="1792">
        <v>0</v>
      </c>
      <c r="K153" s="1792">
        <v>0</v>
      </c>
      <c r="L153" s="1792">
        <v>0</v>
      </c>
      <c r="M153" s="65">
        <f t="shared" si="96"/>
        <v>103623</v>
      </c>
      <c r="N153" s="65">
        <f t="shared" si="96"/>
        <v>103623</v>
      </c>
      <c r="O153" s="3598"/>
    </row>
    <row r="154" spans="1:16" s="235" customFormat="1" ht="13.5" customHeight="1">
      <c r="A154" s="3606"/>
      <c r="B154" s="82" t="s">
        <v>22</v>
      </c>
      <c r="C154" s="22"/>
      <c r="D154" s="199">
        <f>SUM(E154:L154)</f>
        <v>540591</v>
      </c>
      <c r="E154" s="199">
        <f t="shared" ref="E154:L154" si="97">+E155</f>
        <v>0</v>
      </c>
      <c r="F154" s="1779">
        <f t="shared" si="97"/>
        <v>0</v>
      </c>
      <c r="G154" s="199">
        <f t="shared" si="97"/>
        <v>69700</v>
      </c>
      <c r="H154" s="199">
        <f t="shared" si="97"/>
        <v>353818</v>
      </c>
      <c r="I154" s="199">
        <f t="shared" si="97"/>
        <v>117073</v>
      </c>
      <c r="J154" s="1779">
        <f t="shared" si="97"/>
        <v>0</v>
      </c>
      <c r="K154" s="1779">
        <f t="shared" si="97"/>
        <v>0</v>
      </c>
      <c r="L154" s="1779">
        <f t="shared" si="97"/>
        <v>0</v>
      </c>
      <c r="M154" s="3027"/>
      <c r="N154" s="3027"/>
      <c r="O154" s="3635" t="s">
        <v>224</v>
      </c>
    </row>
    <row r="155" spans="1:16" s="235" customFormat="1" ht="15" customHeight="1">
      <c r="A155" s="3606"/>
      <c r="B155" s="173" t="s">
        <v>18</v>
      </c>
      <c r="C155" s="3601" t="s">
        <v>171</v>
      </c>
      <c r="D155" s="49">
        <f>SUM(E155:L155)</f>
        <v>540591</v>
      </c>
      <c r="E155" s="49">
        <f t="shared" ref="E155:L155" si="98">SUM(E156)</f>
        <v>0</v>
      </c>
      <c r="F155" s="1785">
        <f t="shared" si="98"/>
        <v>0</v>
      </c>
      <c r="G155" s="49">
        <f t="shared" si="98"/>
        <v>69700</v>
      </c>
      <c r="H155" s="49">
        <f t="shared" si="98"/>
        <v>353818</v>
      </c>
      <c r="I155" s="49">
        <f t="shared" si="98"/>
        <v>117073</v>
      </c>
      <c r="J155" s="1785">
        <f t="shared" si="98"/>
        <v>0</v>
      </c>
      <c r="K155" s="1785">
        <f t="shared" si="98"/>
        <v>0</v>
      </c>
      <c r="L155" s="1785">
        <f t="shared" si="98"/>
        <v>0</v>
      </c>
      <c r="M155" s="3028"/>
      <c r="N155" s="3028"/>
      <c r="O155" s="3189"/>
    </row>
    <row r="156" spans="1:16" s="235" customFormat="1" ht="13.5" thickBot="1">
      <c r="A156" s="3607"/>
      <c r="B156" s="2052" t="s">
        <v>21</v>
      </c>
      <c r="C156" s="3074"/>
      <c r="D156" s="249">
        <f>E156+F156+G156+H156+I156+J156+K156+L156</f>
        <v>540591</v>
      </c>
      <c r="E156" s="249">
        <v>0</v>
      </c>
      <c r="F156" s="1793">
        <v>0</v>
      </c>
      <c r="G156" s="72">
        <v>69700</v>
      </c>
      <c r="H156" s="72">
        <v>353818</v>
      </c>
      <c r="I156" s="72">
        <v>117073</v>
      </c>
      <c r="J156" s="1793">
        <v>0</v>
      </c>
      <c r="K156" s="1793">
        <v>0</v>
      </c>
      <c r="L156" s="1793">
        <v>0</v>
      </c>
      <c r="M156" s="3029"/>
      <c r="N156" s="3029"/>
      <c r="O156" s="3190"/>
    </row>
    <row r="157" spans="1:16" s="235" customFormat="1" ht="24" customHeight="1">
      <c r="A157" s="3605" t="s">
        <v>92</v>
      </c>
      <c r="B157" s="186" t="s">
        <v>441</v>
      </c>
      <c r="C157" s="2050" t="s">
        <v>81</v>
      </c>
      <c r="D157" s="826"/>
      <c r="E157" s="1903"/>
      <c r="F157" s="828"/>
      <c r="G157" s="828"/>
      <c r="H157" s="828"/>
      <c r="I157" s="827"/>
      <c r="J157" s="827"/>
      <c r="K157" s="827"/>
      <c r="L157" s="827"/>
      <c r="M157" s="829"/>
      <c r="N157" s="829"/>
      <c r="O157" s="3188" t="s">
        <v>224</v>
      </c>
      <c r="P157" s="235" t="s">
        <v>438</v>
      </c>
    </row>
    <row r="158" spans="1:16" s="235" customFormat="1" ht="12.75">
      <c r="A158" s="3606"/>
      <c r="B158" s="2002" t="s">
        <v>10</v>
      </c>
      <c r="C158" s="2003"/>
      <c r="D158" s="2004">
        <f>SUM(E158:L158)</f>
        <v>15960</v>
      </c>
      <c r="E158" s="2474">
        <f>SUM(E159,E161)</f>
        <v>0</v>
      </c>
      <c r="F158" s="2447">
        <f t="shared" ref="F158:L158" si="99">F159+F161</f>
        <v>0</v>
      </c>
      <c r="G158" s="2474">
        <f>SUM(G159,G161)</f>
        <v>15960</v>
      </c>
      <c r="H158" s="2447">
        <f t="shared" si="99"/>
        <v>0</v>
      </c>
      <c r="I158" s="2447">
        <f t="shared" si="99"/>
        <v>0</v>
      </c>
      <c r="J158" s="2447">
        <f t="shared" si="99"/>
        <v>0</v>
      </c>
      <c r="K158" s="2447">
        <f t="shared" si="99"/>
        <v>0</v>
      </c>
      <c r="L158" s="2447">
        <f t="shared" si="99"/>
        <v>0</v>
      </c>
      <c r="M158" s="2005">
        <f>+M159+M161</f>
        <v>15960</v>
      </c>
      <c r="N158" s="2005">
        <f>+N159+N161</f>
        <v>15960</v>
      </c>
      <c r="O158" s="3189"/>
    </row>
    <row r="159" spans="1:16" s="235" customFormat="1" ht="15" customHeight="1">
      <c r="A159" s="3606"/>
      <c r="B159" s="2006" t="s">
        <v>24</v>
      </c>
      <c r="C159" s="3040" t="s">
        <v>171</v>
      </c>
      <c r="D159" s="2007">
        <f>SUM(E159:L159)</f>
        <v>2394</v>
      </c>
      <c r="E159" s="2475">
        <f t="shared" ref="E159:L159" si="100">E160</f>
        <v>0</v>
      </c>
      <c r="F159" s="2476">
        <f t="shared" si="100"/>
        <v>0</v>
      </c>
      <c r="G159" s="2475">
        <f t="shared" si="100"/>
        <v>2394</v>
      </c>
      <c r="H159" s="2476">
        <f t="shared" si="100"/>
        <v>0</v>
      </c>
      <c r="I159" s="2476">
        <f t="shared" si="100"/>
        <v>0</v>
      </c>
      <c r="J159" s="2476">
        <f t="shared" si="100"/>
        <v>0</v>
      </c>
      <c r="K159" s="2476">
        <f t="shared" si="100"/>
        <v>0</v>
      </c>
      <c r="L159" s="2476">
        <f t="shared" si="100"/>
        <v>0</v>
      </c>
      <c r="M159" s="2008">
        <f>+M160</f>
        <v>2394</v>
      </c>
      <c r="N159" s="2008">
        <f>+N160</f>
        <v>2394</v>
      </c>
      <c r="O159" s="3189"/>
    </row>
    <row r="160" spans="1:16" s="235" customFormat="1" ht="11.25" customHeight="1">
      <c r="A160" s="3606"/>
      <c r="B160" s="2009" t="s">
        <v>12</v>
      </c>
      <c r="C160" s="3100"/>
      <c r="D160" s="1913">
        <f>E160+F160+G160+H160+I160+J160+K160+L160</f>
        <v>2394</v>
      </c>
      <c r="E160" s="1913">
        <v>0</v>
      </c>
      <c r="F160" s="2477">
        <v>0</v>
      </c>
      <c r="G160" s="2478">
        <v>2394</v>
      </c>
      <c r="H160" s="2477">
        <v>0</v>
      </c>
      <c r="I160" s="2477">
        <v>0</v>
      </c>
      <c r="J160" s="2477">
        <v>0</v>
      </c>
      <c r="K160" s="2477">
        <v>0</v>
      </c>
      <c r="L160" s="2477">
        <v>0</v>
      </c>
      <c r="M160" s="2473">
        <f>SUM(F160:K160)</f>
        <v>2394</v>
      </c>
      <c r="N160" s="2473">
        <f>SUM(G160:L160)</f>
        <v>2394</v>
      </c>
      <c r="O160" s="3189"/>
    </row>
    <row r="161" spans="1:15" s="235" customFormat="1" ht="12.75" customHeight="1">
      <c r="A161" s="3606"/>
      <c r="B161" s="2011" t="s">
        <v>18</v>
      </c>
      <c r="C161" s="3100"/>
      <c r="D161" s="2007">
        <f>SUM(E161:L161)</f>
        <v>13566</v>
      </c>
      <c r="E161" s="2475">
        <f>E162</f>
        <v>0</v>
      </c>
      <c r="F161" s="2476">
        <v>0</v>
      </c>
      <c r="G161" s="2475">
        <f>G162</f>
        <v>13566</v>
      </c>
      <c r="H161" s="2476">
        <v>0</v>
      </c>
      <c r="I161" s="2476">
        <v>0</v>
      </c>
      <c r="J161" s="2476">
        <v>0</v>
      </c>
      <c r="K161" s="2476">
        <v>0</v>
      </c>
      <c r="L161" s="2476">
        <v>0</v>
      </c>
      <c r="M161" s="2008">
        <f>+M162</f>
        <v>13566</v>
      </c>
      <c r="N161" s="2008">
        <f>+N162</f>
        <v>13566</v>
      </c>
      <c r="O161" s="3189"/>
    </row>
    <row r="162" spans="1:15" s="235" customFormat="1" ht="12.75">
      <c r="A162" s="3606"/>
      <c r="B162" s="283" t="s">
        <v>21</v>
      </c>
      <c r="C162" s="3075"/>
      <c r="D162" s="1913">
        <f>E162+F162+G162+H162+I162+J162+K162+L162</f>
        <v>13566</v>
      </c>
      <c r="E162" s="1913">
        <v>0</v>
      </c>
      <c r="F162" s="2477">
        <v>0</v>
      </c>
      <c r="G162" s="2478">
        <v>13566</v>
      </c>
      <c r="H162" s="2477">
        <v>0</v>
      </c>
      <c r="I162" s="2477">
        <v>0</v>
      </c>
      <c r="J162" s="2477">
        <v>0</v>
      </c>
      <c r="K162" s="2477">
        <v>0</v>
      </c>
      <c r="L162" s="2477">
        <v>0</v>
      </c>
      <c r="M162" s="2473">
        <f>SUM(F162:K162)</f>
        <v>13566</v>
      </c>
      <c r="N162" s="2473">
        <f>SUM(G162:L162)</f>
        <v>13566</v>
      </c>
      <c r="O162" s="3598"/>
    </row>
    <row r="163" spans="1:15" s="235" customFormat="1" ht="12.75">
      <c r="A163" s="3606"/>
      <c r="B163" s="715" t="s">
        <v>22</v>
      </c>
      <c r="C163" s="2003"/>
      <c r="D163" s="2004">
        <f>SUM(E163:L163)</f>
        <v>13566</v>
      </c>
      <c r="E163" s="2474">
        <f t="shared" ref="E163:L164" si="101">E164</f>
        <v>0</v>
      </c>
      <c r="F163" s="2447">
        <f t="shared" si="101"/>
        <v>0</v>
      </c>
      <c r="G163" s="2474">
        <f t="shared" si="101"/>
        <v>13566</v>
      </c>
      <c r="H163" s="2447">
        <f t="shared" si="101"/>
        <v>0</v>
      </c>
      <c r="I163" s="2447">
        <f t="shared" si="101"/>
        <v>0</v>
      </c>
      <c r="J163" s="2447">
        <f t="shared" si="101"/>
        <v>0</v>
      </c>
      <c r="K163" s="2447">
        <f t="shared" si="101"/>
        <v>0</v>
      </c>
      <c r="L163" s="2447">
        <f t="shared" si="101"/>
        <v>0</v>
      </c>
      <c r="M163" s="3054"/>
      <c r="N163" s="3054"/>
      <c r="O163" s="3189" t="s">
        <v>224</v>
      </c>
    </row>
    <row r="164" spans="1:15" s="235" customFormat="1" ht="12.75" customHeight="1">
      <c r="A164" s="3606"/>
      <c r="B164" s="681" t="s">
        <v>18</v>
      </c>
      <c r="C164" s="3127" t="s">
        <v>171</v>
      </c>
      <c r="D164" s="2007">
        <f>SUM(E164:L164)</f>
        <v>13566</v>
      </c>
      <c r="E164" s="2479">
        <f t="shared" si="101"/>
        <v>0</v>
      </c>
      <c r="F164" s="2108">
        <f t="shared" si="101"/>
        <v>0</v>
      </c>
      <c r="G164" s="2479">
        <f t="shared" si="101"/>
        <v>13566</v>
      </c>
      <c r="H164" s="2108">
        <f t="shared" si="101"/>
        <v>0</v>
      </c>
      <c r="I164" s="2108">
        <f t="shared" si="101"/>
        <v>0</v>
      </c>
      <c r="J164" s="2108">
        <f t="shared" si="101"/>
        <v>0</v>
      </c>
      <c r="K164" s="2108">
        <f t="shared" si="101"/>
        <v>0</v>
      </c>
      <c r="L164" s="2108">
        <f t="shared" si="101"/>
        <v>0</v>
      </c>
      <c r="M164" s="3028"/>
      <c r="N164" s="3028"/>
      <c r="O164" s="3189"/>
    </row>
    <row r="165" spans="1:15" s="235" customFormat="1" ht="12" customHeight="1" thickBot="1">
      <c r="A165" s="3607"/>
      <c r="B165" s="2052" t="s">
        <v>21</v>
      </c>
      <c r="C165" s="3074"/>
      <c r="D165" s="2195">
        <f>E165+F165+G165+H165+I165+J165+K165+L165</f>
        <v>13566</v>
      </c>
      <c r="E165" s="2195">
        <v>0</v>
      </c>
      <c r="F165" s="2196">
        <v>0</v>
      </c>
      <c r="G165" s="2480">
        <v>13566</v>
      </c>
      <c r="H165" s="2196">
        <v>0</v>
      </c>
      <c r="I165" s="2196">
        <v>0</v>
      </c>
      <c r="J165" s="2196">
        <v>0</v>
      </c>
      <c r="K165" s="2196">
        <v>0</v>
      </c>
      <c r="L165" s="2196">
        <v>0</v>
      </c>
      <c r="M165" s="3029"/>
      <c r="N165" s="3029"/>
      <c r="O165" s="3190"/>
    </row>
    <row r="166" spans="1:15" s="235" customFormat="1" ht="40.5" customHeight="1">
      <c r="A166" s="3605" t="s">
        <v>93</v>
      </c>
      <c r="B166" s="186" t="s">
        <v>442</v>
      </c>
      <c r="C166" s="2050" t="s">
        <v>109</v>
      </c>
      <c r="D166" s="826"/>
      <c r="E166" s="1903"/>
      <c r="F166" s="828"/>
      <c r="G166" s="828"/>
      <c r="H166" s="828"/>
      <c r="I166" s="827"/>
      <c r="J166" s="827"/>
      <c r="K166" s="827"/>
      <c r="L166" s="827"/>
      <c r="M166" s="829"/>
      <c r="N166" s="829"/>
      <c r="O166" s="3188" t="s">
        <v>371</v>
      </c>
    </row>
    <row r="167" spans="1:15" s="235" customFormat="1" ht="15" customHeight="1">
      <c r="A167" s="3606"/>
      <c r="B167" s="2002" t="s">
        <v>10</v>
      </c>
      <c r="C167" s="2003"/>
      <c r="D167" s="2004">
        <f>+D168+D172</f>
        <v>1276500</v>
      </c>
      <c r="E167" s="2004">
        <f t="shared" ref="E167" si="102">+E168+E172</f>
        <v>0</v>
      </c>
      <c r="F167" s="2004">
        <f t="shared" ref="F167:L167" si="103">+F168+F172</f>
        <v>25830</v>
      </c>
      <c r="G167" s="2004">
        <f t="shared" si="103"/>
        <v>545213</v>
      </c>
      <c r="H167" s="2004">
        <f t="shared" si="103"/>
        <v>671780</v>
      </c>
      <c r="I167" s="2004">
        <f t="shared" si="103"/>
        <v>33677</v>
      </c>
      <c r="J167" s="2014">
        <f t="shared" si="103"/>
        <v>0</v>
      </c>
      <c r="K167" s="2014">
        <f t="shared" si="103"/>
        <v>0</v>
      </c>
      <c r="L167" s="2014">
        <f t="shared" si="103"/>
        <v>0</v>
      </c>
      <c r="M167" s="2005">
        <f>+M168+M172</f>
        <v>1276500</v>
      </c>
      <c r="N167" s="2005">
        <f>+N168+N172</f>
        <v>1250670</v>
      </c>
      <c r="O167" s="3189"/>
    </row>
    <row r="168" spans="1:15" s="235" customFormat="1" ht="15" customHeight="1">
      <c r="A168" s="3606"/>
      <c r="B168" s="2006" t="s">
        <v>24</v>
      </c>
      <c r="C168" s="3040" t="s">
        <v>432</v>
      </c>
      <c r="D168" s="2007">
        <f>SUM(D169)</f>
        <v>191898</v>
      </c>
      <c r="E168" s="2007">
        <f t="shared" ref="E168:L168" si="104">SUM(E169)</f>
        <v>0</v>
      </c>
      <c r="F168" s="2007">
        <f t="shared" si="104"/>
        <v>3874</v>
      </c>
      <c r="G168" s="2007">
        <f t="shared" si="104"/>
        <v>81952</v>
      </c>
      <c r="H168" s="2007">
        <f t="shared" si="104"/>
        <v>100937</v>
      </c>
      <c r="I168" s="2007">
        <f t="shared" si="104"/>
        <v>5135</v>
      </c>
      <c r="J168" s="2015">
        <f t="shared" si="104"/>
        <v>0</v>
      </c>
      <c r="K168" s="2015">
        <f t="shared" si="104"/>
        <v>0</v>
      </c>
      <c r="L168" s="2015">
        <f t="shared" si="104"/>
        <v>0</v>
      </c>
      <c r="M168" s="310">
        <f>+M169</f>
        <v>191898</v>
      </c>
      <c r="N168" s="310">
        <f>+N169</f>
        <v>188024</v>
      </c>
      <c r="O168" s="3189"/>
    </row>
    <row r="169" spans="1:15" s="235" customFormat="1" ht="12" customHeight="1">
      <c r="A169" s="3606"/>
      <c r="B169" s="2009" t="s">
        <v>12</v>
      </c>
      <c r="C169" s="3100"/>
      <c r="D169" s="1913">
        <f>E169+F169+G169+H169+I169+J169+K169+L169</f>
        <v>191898</v>
      </c>
      <c r="E169" s="1913">
        <v>0</v>
      </c>
      <c r="F169" s="1913">
        <f t="shared" ref="F169:L169" si="105">SUM(F170:F171)</f>
        <v>3874</v>
      </c>
      <c r="G169" s="1913">
        <f t="shared" si="105"/>
        <v>81952</v>
      </c>
      <c r="H169" s="1913">
        <f t="shared" si="105"/>
        <v>100937</v>
      </c>
      <c r="I169" s="1913">
        <f t="shared" si="105"/>
        <v>5135</v>
      </c>
      <c r="J169" s="2016">
        <f t="shared" si="105"/>
        <v>0</v>
      </c>
      <c r="K169" s="2016">
        <f t="shared" si="105"/>
        <v>0</v>
      </c>
      <c r="L169" s="2016">
        <f t="shared" si="105"/>
        <v>0</v>
      </c>
      <c r="M169" s="823">
        <f>+M170+M171</f>
        <v>191898</v>
      </c>
      <c r="N169" s="823">
        <f>+N170+N171</f>
        <v>188024</v>
      </c>
      <c r="O169" s="3189"/>
    </row>
    <row r="170" spans="1:15" s="235" customFormat="1" ht="15" hidden="1" customHeight="1">
      <c r="A170" s="3606"/>
      <c r="B170" s="2017" t="s">
        <v>433</v>
      </c>
      <c r="C170" s="3100"/>
      <c r="D170" s="1913">
        <f>SUM(E170:L170)</f>
        <v>156108</v>
      </c>
      <c r="E170" s="2018">
        <v>0</v>
      </c>
      <c r="F170" s="2010">
        <v>3150</v>
      </c>
      <c r="G170" s="2010">
        <v>66665</v>
      </c>
      <c r="H170" s="2010">
        <v>82100</v>
      </c>
      <c r="I170" s="2010">
        <v>4193</v>
      </c>
      <c r="J170" s="2019">
        <v>0</v>
      </c>
      <c r="K170" s="2019">
        <v>0</v>
      </c>
      <c r="L170" s="2019">
        <v>0</v>
      </c>
      <c r="M170" s="823">
        <f>SUM(F170:K170)</f>
        <v>156108</v>
      </c>
      <c r="N170" s="823">
        <f>SUM(G170:L170)</f>
        <v>152958</v>
      </c>
      <c r="O170" s="3189"/>
    </row>
    <row r="171" spans="1:15" s="235" customFormat="1" ht="15" hidden="1" customHeight="1">
      <c r="A171" s="3606"/>
      <c r="B171" s="2017" t="s">
        <v>294</v>
      </c>
      <c r="C171" s="3100"/>
      <c r="D171" s="1913">
        <f>SUM(E171:L171)</f>
        <v>35790</v>
      </c>
      <c r="E171" s="2018">
        <v>0</v>
      </c>
      <c r="F171" s="2010">
        <v>724</v>
      </c>
      <c r="G171" s="2010">
        <v>15287</v>
      </c>
      <c r="H171" s="2010">
        <v>18837</v>
      </c>
      <c r="I171" s="2010">
        <v>942</v>
      </c>
      <c r="J171" s="2019">
        <v>0</v>
      </c>
      <c r="K171" s="2019">
        <v>0</v>
      </c>
      <c r="L171" s="2019">
        <v>0</v>
      </c>
      <c r="M171" s="823">
        <f>SUM(F171:K171)</f>
        <v>35790</v>
      </c>
      <c r="N171" s="823">
        <f>SUM(G171:L171)</f>
        <v>35066</v>
      </c>
      <c r="O171" s="3189"/>
    </row>
    <row r="172" spans="1:15" s="235" customFormat="1" ht="15" customHeight="1">
      <c r="A172" s="3606"/>
      <c r="B172" s="2011" t="s">
        <v>18</v>
      </c>
      <c r="C172" s="3100"/>
      <c r="D172" s="2007">
        <f>SUM(E172:L172)</f>
        <v>1084602</v>
      </c>
      <c r="E172" s="2007">
        <f t="shared" ref="E172:L172" si="106">SUM(E173)</f>
        <v>0</v>
      </c>
      <c r="F172" s="2007">
        <f t="shared" si="106"/>
        <v>21956</v>
      </c>
      <c r="G172" s="2007">
        <f t="shared" si="106"/>
        <v>463261</v>
      </c>
      <c r="H172" s="2007">
        <f t="shared" si="106"/>
        <v>570843</v>
      </c>
      <c r="I172" s="2007">
        <f t="shared" si="106"/>
        <v>28542</v>
      </c>
      <c r="J172" s="2015">
        <f t="shared" si="106"/>
        <v>0</v>
      </c>
      <c r="K172" s="2015">
        <f t="shared" si="106"/>
        <v>0</v>
      </c>
      <c r="L172" s="2015">
        <f t="shared" si="106"/>
        <v>0</v>
      </c>
      <c r="M172" s="310">
        <f>+M173</f>
        <v>1084602</v>
      </c>
      <c r="N172" s="310">
        <f>+N173</f>
        <v>1062646</v>
      </c>
      <c r="O172" s="3189"/>
    </row>
    <row r="173" spans="1:15" s="235" customFormat="1" ht="15" customHeight="1">
      <c r="A173" s="3606"/>
      <c r="B173" s="283" t="s">
        <v>21</v>
      </c>
      <c r="C173" s="3100"/>
      <c r="D173" s="1913">
        <f>E173+F173+G173+H173+I173+J173+K173+L173</f>
        <v>1084602</v>
      </c>
      <c r="E173" s="1913">
        <v>0</v>
      </c>
      <c r="F173" s="2020">
        <f t="shared" ref="F173:L173" si="107">SUM(F174:F175)</f>
        <v>21956</v>
      </c>
      <c r="G173" s="2020">
        <f t="shared" si="107"/>
        <v>463261</v>
      </c>
      <c r="H173" s="2020">
        <f t="shared" si="107"/>
        <v>570843</v>
      </c>
      <c r="I173" s="2020">
        <f t="shared" si="107"/>
        <v>28542</v>
      </c>
      <c r="J173" s="2021">
        <f t="shared" si="107"/>
        <v>0</v>
      </c>
      <c r="K173" s="2021">
        <f t="shared" si="107"/>
        <v>0</v>
      </c>
      <c r="L173" s="2021">
        <f t="shared" si="107"/>
        <v>0</v>
      </c>
      <c r="M173" s="823">
        <f>+M174+M175</f>
        <v>1084602</v>
      </c>
      <c r="N173" s="823">
        <f>+N174+N175</f>
        <v>1062646</v>
      </c>
      <c r="O173" s="3189"/>
    </row>
    <row r="174" spans="1:15" s="235" customFormat="1" ht="15" hidden="1" customHeight="1">
      <c r="A174" s="3632"/>
      <c r="B174" s="1786" t="s">
        <v>433</v>
      </c>
      <c r="C174" s="3633"/>
      <c r="D174" s="2022">
        <f>SUM(E174:L174)</f>
        <v>881790</v>
      </c>
      <c r="E174" s="2023">
        <v>0</v>
      </c>
      <c r="F174" s="2024">
        <v>17850</v>
      </c>
      <c r="G174" s="2024">
        <v>376635</v>
      </c>
      <c r="H174" s="2024">
        <v>464100</v>
      </c>
      <c r="I174" s="2024">
        <v>23205</v>
      </c>
      <c r="J174" s="2025">
        <v>0</v>
      </c>
      <c r="K174" s="2025">
        <v>0</v>
      </c>
      <c r="L174" s="2025">
        <v>0</v>
      </c>
      <c r="M174" s="823">
        <f>SUM(F174:K174)</f>
        <v>881790</v>
      </c>
      <c r="N174" s="823">
        <f>SUM(G174:L174)</f>
        <v>863940</v>
      </c>
      <c r="O174" s="3189"/>
    </row>
    <row r="175" spans="1:15" s="235" customFormat="1" ht="15" hidden="1" customHeight="1">
      <c r="A175" s="3632"/>
      <c r="B175" s="1790" t="s">
        <v>294</v>
      </c>
      <c r="C175" s="3634"/>
      <c r="D175" s="1913">
        <f>SUM(E175:L175)</f>
        <v>202812</v>
      </c>
      <c r="E175" s="2026">
        <v>0</v>
      </c>
      <c r="F175" s="2027">
        <v>4106</v>
      </c>
      <c r="G175" s="2027">
        <v>86626</v>
      </c>
      <c r="H175" s="2027">
        <v>106743</v>
      </c>
      <c r="I175" s="2027">
        <v>5337</v>
      </c>
      <c r="J175" s="2025">
        <v>0</v>
      </c>
      <c r="K175" s="2025">
        <v>0</v>
      </c>
      <c r="L175" s="2025">
        <v>0</v>
      </c>
      <c r="M175" s="823">
        <f>SUM(F175:K175)</f>
        <v>202812</v>
      </c>
      <c r="N175" s="823">
        <f>SUM(G175:L175)</f>
        <v>198706</v>
      </c>
      <c r="O175" s="3598"/>
    </row>
    <row r="176" spans="1:15" s="235" customFormat="1" ht="15" customHeight="1">
      <c r="A176" s="3606"/>
      <c r="B176" s="82" t="s">
        <v>22</v>
      </c>
      <c r="C176" s="2003"/>
      <c r="D176" s="2004">
        <f>SUM(E176:L176)</f>
        <v>1084602</v>
      </c>
      <c r="E176" s="2004">
        <f t="shared" ref="E176:L176" si="108">+E177</f>
        <v>0</v>
      </c>
      <c r="F176" s="2014">
        <f t="shared" si="108"/>
        <v>0</v>
      </c>
      <c r="G176" s="2004">
        <f t="shared" si="108"/>
        <v>253586</v>
      </c>
      <c r="H176" s="2004">
        <f t="shared" si="108"/>
        <v>517052</v>
      </c>
      <c r="I176" s="2004">
        <f t="shared" si="108"/>
        <v>313964</v>
      </c>
      <c r="J176" s="2014">
        <f t="shared" si="108"/>
        <v>0</v>
      </c>
      <c r="K176" s="2014">
        <f t="shared" si="108"/>
        <v>0</v>
      </c>
      <c r="L176" s="2014">
        <f t="shared" si="108"/>
        <v>0</v>
      </c>
      <c r="M176" s="3054"/>
      <c r="N176" s="3054"/>
      <c r="O176" s="3635" t="s">
        <v>224</v>
      </c>
    </row>
    <row r="177" spans="1:16" s="235" customFormat="1" ht="15" customHeight="1">
      <c r="A177" s="3606"/>
      <c r="B177" s="681" t="s">
        <v>18</v>
      </c>
      <c r="C177" s="3127" t="s">
        <v>171</v>
      </c>
      <c r="D177" s="2007">
        <f>SUM(E177:L177)</f>
        <v>1084602</v>
      </c>
      <c r="E177" s="2007">
        <f t="shared" ref="E177:L177" si="109">SUM(E178)</f>
        <v>0</v>
      </c>
      <c r="F177" s="2015">
        <f t="shared" si="109"/>
        <v>0</v>
      </c>
      <c r="G177" s="2007">
        <f t="shared" si="109"/>
        <v>253586</v>
      </c>
      <c r="H177" s="2007">
        <f t="shared" si="109"/>
        <v>517052</v>
      </c>
      <c r="I177" s="2007">
        <f t="shared" si="109"/>
        <v>313964</v>
      </c>
      <c r="J177" s="2015">
        <f t="shared" si="109"/>
        <v>0</v>
      </c>
      <c r="K177" s="2015">
        <f t="shared" si="109"/>
        <v>0</v>
      </c>
      <c r="L177" s="2015">
        <f t="shared" si="109"/>
        <v>0</v>
      </c>
      <c r="M177" s="3028"/>
      <c r="N177" s="3028"/>
      <c r="O177" s="3189"/>
    </row>
    <row r="178" spans="1:16" s="235" customFormat="1" ht="15" customHeight="1" thickBot="1">
      <c r="A178" s="3607"/>
      <c r="B178" s="2052" t="s">
        <v>21</v>
      </c>
      <c r="C178" s="3074"/>
      <c r="D178" s="1009">
        <f>E178+F178+G178+H178+I178+J178+K178+L178</f>
        <v>1084602</v>
      </c>
      <c r="E178" s="1009">
        <v>0</v>
      </c>
      <c r="F178" s="2028">
        <v>0</v>
      </c>
      <c r="G178" s="520">
        <v>253586</v>
      </c>
      <c r="H178" s="520">
        <v>517052</v>
      </c>
      <c r="I178" s="520">
        <v>313964</v>
      </c>
      <c r="J178" s="2028">
        <v>0</v>
      </c>
      <c r="K178" s="2028">
        <v>0</v>
      </c>
      <c r="L178" s="2028">
        <v>0</v>
      </c>
      <c r="M178" s="3029"/>
      <c r="N178" s="3029"/>
      <c r="O178" s="3190"/>
    </row>
    <row r="179" spans="1:16" s="235" customFormat="1" ht="27.75" customHeight="1">
      <c r="A179" s="3608" t="s">
        <v>94</v>
      </c>
      <c r="B179" s="186" t="s">
        <v>521</v>
      </c>
      <c r="C179" s="2050" t="s">
        <v>172</v>
      </c>
      <c r="D179" s="826"/>
      <c r="E179" s="1903"/>
      <c r="F179" s="828"/>
      <c r="G179" s="828"/>
      <c r="H179" s="828"/>
      <c r="I179" s="827"/>
      <c r="J179" s="827"/>
      <c r="K179" s="827"/>
      <c r="L179" s="827"/>
      <c r="M179" s="829"/>
      <c r="N179" s="829"/>
      <c r="O179" s="3188" t="s">
        <v>362</v>
      </c>
    </row>
    <row r="180" spans="1:16" s="235" customFormat="1" ht="15" customHeight="1">
      <c r="A180" s="3606"/>
      <c r="B180" s="30" t="s">
        <v>10</v>
      </c>
      <c r="C180" s="22"/>
      <c r="D180" s="199">
        <f>D181+D183</f>
        <v>225600</v>
      </c>
      <c r="E180" s="938">
        <f t="shared" ref="E180" si="110">E181+E183</f>
        <v>0</v>
      </c>
      <c r="F180" s="938">
        <f t="shared" ref="F180" si="111">+F183</f>
        <v>0</v>
      </c>
      <c r="G180" s="199">
        <f>G181+G185</f>
        <v>1000</v>
      </c>
      <c r="H180" s="199">
        <f t="shared" ref="H180:L180" si="112">H181+H185</f>
        <v>1000</v>
      </c>
      <c r="I180" s="199">
        <f>I181+I183</f>
        <v>223600</v>
      </c>
      <c r="J180" s="938">
        <f>J181+J183</f>
        <v>0</v>
      </c>
      <c r="K180" s="938">
        <f t="shared" si="112"/>
        <v>0</v>
      </c>
      <c r="L180" s="938">
        <f t="shared" si="112"/>
        <v>0</v>
      </c>
      <c r="M180" s="65">
        <f>+M183+M181</f>
        <v>225600</v>
      </c>
      <c r="N180" s="65">
        <f>+N183+N181</f>
        <v>225600</v>
      </c>
      <c r="O180" s="3189"/>
      <c r="P180" s="235" t="s">
        <v>413</v>
      </c>
    </row>
    <row r="181" spans="1:16" s="235" customFormat="1" ht="15" customHeight="1">
      <c r="A181" s="3606"/>
      <c r="B181" s="834" t="s">
        <v>24</v>
      </c>
      <c r="C181" s="3600" t="s">
        <v>218</v>
      </c>
      <c r="D181" s="313">
        <f>D182</f>
        <v>36390</v>
      </c>
      <c r="E181" s="1520">
        <f t="shared" ref="E181:F181" si="113">E182</f>
        <v>0</v>
      </c>
      <c r="F181" s="1520">
        <f t="shared" si="113"/>
        <v>0</v>
      </c>
      <c r="G181" s="318">
        <f>G182</f>
        <v>1000</v>
      </c>
      <c r="H181" s="318">
        <f>H182</f>
        <v>1000</v>
      </c>
      <c r="I181" s="318">
        <f t="shared" ref="I181:L181" si="114">I182</f>
        <v>34390</v>
      </c>
      <c r="J181" s="287">
        <f t="shared" si="114"/>
        <v>0</v>
      </c>
      <c r="K181" s="287">
        <f t="shared" si="114"/>
        <v>0</v>
      </c>
      <c r="L181" s="287">
        <f t="shared" si="114"/>
        <v>0</v>
      </c>
      <c r="M181" s="310">
        <f>M182</f>
        <v>36390</v>
      </c>
      <c r="N181" s="310">
        <f>N182</f>
        <v>36390</v>
      </c>
      <c r="O181" s="3189"/>
    </row>
    <row r="182" spans="1:16" s="235" customFormat="1" ht="15" customHeight="1">
      <c r="A182" s="3606"/>
      <c r="B182" s="835" t="s">
        <v>12</v>
      </c>
      <c r="C182" s="3100"/>
      <c r="D182" s="249">
        <f>E182+F182+G182+H182+I182+J182+K182+L182</f>
        <v>36390</v>
      </c>
      <c r="E182" s="1521">
        <v>0</v>
      </c>
      <c r="F182" s="1521">
        <v>0</v>
      </c>
      <c r="G182" s="312">
        <v>1000</v>
      </c>
      <c r="H182" s="312">
        <v>1000</v>
      </c>
      <c r="I182" s="312">
        <v>34390</v>
      </c>
      <c r="J182" s="287">
        <v>0</v>
      </c>
      <c r="K182" s="1521">
        <v>0</v>
      </c>
      <c r="L182" s="1521">
        <v>0</v>
      </c>
      <c r="M182" s="823">
        <f>SUM(F182:K182)</f>
        <v>36390</v>
      </c>
      <c r="N182" s="823">
        <f>SUM(G182:L182)</f>
        <v>36390</v>
      </c>
      <c r="O182" s="3189"/>
    </row>
    <row r="183" spans="1:16" s="235" customFormat="1" ht="15" customHeight="1">
      <c r="A183" s="3606"/>
      <c r="B183" s="688" t="s">
        <v>18</v>
      </c>
      <c r="C183" s="3100"/>
      <c r="D183" s="49">
        <f>D184</f>
        <v>189210</v>
      </c>
      <c r="E183" s="1520">
        <f t="shared" ref="E183:N183" si="115">+E184</f>
        <v>0</v>
      </c>
      <c r="F183" s="1522">
        <v>0</v>
      </c>
      <c r="G183" s="2936">
        <f>G184</f>
        <v>0</v>
      </c>
      <c r="H183" s="2936">
        <v>0</v>
      </c>
      <c r="I183" s="102">
        <f>I184</f>
        <v>189210</v>
      </c>
      <c r="J183" s="287">
        <v>0</v>
      </c>
      <c r="K183" s="287">
        <v>0</v>
      </c>
      <c r="L183" s="287">
        <v>0</v>
      </c>
      <c r="M183" s="79">
        <f t="shared" si="115"/>
        <v>189210</v>
      </c>
      <c r="N183" s="79">
        <f t="shared" si="115"/>
        <v>189210</v>
      </c>
      <c r="O183" s="3189"/>
    </row>
    <row r="184" spans="1:16" s="235" customFormat="1" ht="15" customHeight="1">
      <c r="A184" s="3606"/>
      <c r="B184" s="283" t="s">
        <v>21</v>
      </c>
      <c r="C184" s="3075"/>
      <c r="D184" s="249">
        <f>E184+F184+G184+H184+I184+J184+K184+L184</f>
        <v>189210</v>
      </c>
      <c r="E184" s="1521">
        <v>0</v>
      </c>
      <c r="F184" s="1523">
        <v>0</v>
      </c>
      <c r="G184" s="2937">
        <v>0</v>
      </c>
      <c r="H184" s="2937">
        <v>0</v>
      </c>
      <c r="I184" s="51">
        <v>189210</v>
      </c>
      <c r="J184" s="1521">
        <v>0</v>
      </c>
      <c r="K184" s="1521">
        <v>0</v>
      </c>
      <c r="L184" s="1521">
        <v>0</v>
      </c>
      <c r="M184" s="823">
        <f>SUM(F184:K184)</f>
        <v>189210</v>
      </c>
      <c r="N184" s="823">
        <f>SUM(G184:L184)</f>
        <v>189210</v>
      </c>
      <c r="O184" s="3598"/>
    </row>
    <row r="185" spans="1:16" s="235" customFormat="1" ht="15" customHeight="1">
      <c r="A185" s="3606"/>
      <c r="B185" s="21" t="s">
        <v>22</v>
      </c>
      <c r="C185" s="22"/>
      <c r="D185" s="199">
        <f t="shared" ref="D185:L186" si="116">D186</f>
        <v>189210</v>
      </c>
      <c r="E185" s="938">
        <f t="shared" ref="E185" si="117">+E188</f>
        <v>0</v>
      </c>
      <c r="F185" s="938">
        <f t="shared" si="116"/>
        <v>0</v>
      </c>
      <c r="G185" s="1779">
        <f t="shared" si="116"/>
        <v>0</v>
      </c>
      <c r="H185" s="1779">
        <f t="shared" si="116"/>
        <v>0</v>
      </c>
      <c r="I185" s="1779">
        <f t="shared" si="116"/>
        <v>0</v>
      </c>
      <c r="J185" s="199">
        <f t="shared" si="116"/>
        <v>189210</v>
      </c>
      <c r="K185" s="938">
        <f t="shared" si="116"/>
        <v>0</v>
      </c>
      <c r="L185" s="938">
        <f t="shared" si="116"/>
        <v>0</v>
      </c>
      <c r="M185" s="3027" t="s">
        <v>61</v>
      </c>
      <c r="N185" s="3027" t="s">
        <v>61</v>
      </c>
      <c r="O185" s="3189" t="s">
        <v>224</v>
      </c>
    </row>
    <row r="186" spans="1:16" s="235" customFormat="1" ht="15" customHeight="1">
      <c r="A186" s="3606"/>
      <c r="B186" s="173" t="s">
        <v>18</v>
      </c>
      <c r="C186" s="3599" t="s">
        <v>509</v>
      </c>
      <c r="D186" s="50">
        <f t="shared" si="116"/>
        <v>189210</v>
      </c>
      <c r="E186" s="1520">
        <f t="shared" si="116"/>
        <v>0</v>
      </c>
      <c r="F186" s="287">
        <f t="shared" si="116"/>
        <v>0</v>
      </c>
      <c r="G186" s="2938">
        <f t="shared" si="116"/>
        <v>0</v>
      </c>
      <c r="H186" s="2938">
        <f t="shared" si="116"/>
        <v>0</v>
      </c>
      <c r="I186" s="2938">
        <f t="shared" si="116"/>
        <v>0</v>
      </c>
      <c r="J186" s="50">
        <f t="shared" si="116"/>
        <v>189210</v>
      </c>
      <c r="K186" s="287">
        <f t="shared" si="116"/>
        <v>0</v>
      </c>
      <c r="L186" s="287">
        <f t="shared" si="116"/>
        <v>0</v>
      </c>
      <c r="M186" s="3028"/>
      <c r="N186" s="3028"/>
      <c r="O186" s="3189"/>
    </row>
    <row r="187" spans="1:16" s="235" customFormat="1" ht="15" customHeight="1" thickBot="1">
      <c r="A187" s="3607"/>
      <c r="B187" s="2052" t="s">
        <v>21</v>
      </c>
      <c r="C187" s="3074"/>
      <c r="D187" s="249">
        <f>E187+F187+G187+H187+I187+J187+K187+L187</f>
        <v>189210</v>
      </c>
      <c r="E187" s="1521">
        <v>0</v>
      </c>
      <c r="F187" s="288">
        <v>0</v>
      </c>
      <c r="G187" s="1793">
        <v>0</v>
      </c>
      <c r="H187" s="1793">
        <v>0</v>
      </c>
      <c r="I187" s="1793">
        <v>0</v>
      </c>
      <c r="J187" s="72">
        <v>189210</v>
      </c>
      <c r="K187" s="1521">
        <v>0</v>
      </c>
      <c r="L187" s="1521">
        <v>0</v>
      </c>
      <c r="M187" s="3029"/>
      <c r="N187" s="3029"/>
      <c r="O187" s="3190"/>
    </row>
    <row r="188" spans="1:16" s="235" customFormat="1" ht="29.25" customHeight="1">
      <c r="A188" s="3605" t="s">
        <v>95</v>
      </c>
      <c r="B188" s="186" t="s">
        <v>520</v>
      </c>
      <c r="C188" s="2050" t="s">
        <v>81</v>
      </c>
      <c r="D188" s="826"/>
      <c r="E188" s="1903"/>
      <c r="F188" s="828"/>
      <c r="G188" s="828"/>
      <c r="H188" s="828"/>
      <c r="I188" s="827"/>
      <c r="J188" s="827"/>
      <c r="K188" s="827"/>
      <c r="L188" s="827"/>
      <c r="M188" s="829"/>
      <c r="N188" s="829"/>
      <c r="O188" s="3188" t="s">
        <v>362</v>
      </c>
    </row>
    <row r="189" spans="1:16" s="235" customFormat="1" ht="15" customHeight="1">
      <c r="A189" s="3606"/>
      <c r="B189" s="2002" t="s">
        <v>10</v>
      </c>
      <c r="C189" s="2003"/>
      <c r="D189" s="2004">
        <f>D190+D193</f>
        <v>6246481</v>
      </c>
      <c r="E189" s="2004">
        <f t="shared" ref="E189" si="118">E190+E193</f>
        <v>284314</v>
      </c>
      <c r="F189" s="2720">
        <f>F190</f>
        <v>30000</v>
      </c>
      <c r="G189" s="2004">
        <f>+G193+G190</f>
        <v>1804842</v>
      </c>
      <c r="H189" s="2004">
        <f>+H193+H190</f>
        <v>1983007</v>
      </c>
      <c r="I189" s="2004">
        <f t="shared" ref="I189:L189" si="119">+I193+I190</f>
        <v>2144318</v>
      </c>
      <c r="J189" s="2447">
        <f t="shared" si="119"/>
        <v>0</v>
      </c>
      <c r="K189" s="2447">
        <f t="shared" si="119"/>
        <v>0</v>
      </c>
      <c r="L189" s="2447">
        <f t="shared" si="119"/>
        <v>0</v>
      </c>
      <c r="M189" s="2005">
        <f>+M193+M190</f>
        <v>5962167</v>
      </c>
      <c r="N189" s="2005">
        <f>+N193+N190</f>
        <v>5932167</v>
      </c>
      <c r="O189" s="3189"/>
      <c r="P189" s="235" t="s">
        <v>413</v>
      </c>
    </row>
    <row r="190" spans="1:16" s="235" customFormat="1" ht="15" customHeight="1">
      <c r="A190" s="3606"/>
      <c r="B190" s="2006" t="s">
        <v>24</v>
      </c>
      <c r="C190" s="3040" t="s">
        <v>218</v>
      </c>
      <c r="D190" s="2007">
        <f>D191+D192</f>
        <v>1034156</v>
      </c>
      <c r="E190" s="2007">
        <f t="shared" ref="E190:I190" si="120">E191+E192</f>
        <v>114331</v>
      </c>
      <c r="F190" s="2007">
        <f t="shared" si="120"/>
        <v>30000</v>
      </c>
      <c r="G190" s="2007">
        <f t="shared" si="120"/>
        <v>270726</v>
      </c>
      <c r="H190" s="2007">
        <f t="shared" si="120"/>
        <v>297451</v>
      </c>
      <c r="I190" s="2007">
        <f t="shared" si="120"/>
        <v>321648</v>
      </c>
      <c r="J190" s="2721">
        <f t="shared" ref="J190:L190" si="121">J191+J192</f>
        <v>0</v>
      </c>
      <c r="K190" s="2721">
        <f t="shared" si="121"/>
        <v>0</v>
      </c>
      <c r="L190" s="2721">
        <f t="shared" si="121"/>
        <v>0</v>
      </c>
      <c r="M190" s="2008">
        <f>M191+M192</f>
        <v>919825</v>
      </c>
      <c r="N190" s="2008">
        <f>N191</f>
        <v>889825</v>
      </c>
      <c r="O190" s="3189"/>
    </row>
    <row r="191" spans="1:16" s="235" customFormat="1" ht="15" customHeight="1">
      <c r="A191" s="3606"/>
      <c r="B191" s="2009" t="s">
        <v>12</v>
      </c>
      <c r="C191" s="3100"/>
      <c r="D191" s="1913">
        <f>E191+F191+G191+H191+I191+J191+K191+L191</f>
        <v>1004156</v>
      </c>
      <c r="E191" s="1913">
        <v>114331</v>
      </c>
      <c r="F191" s="2721">
        <v>0</v>
      </c>
      <c r="G191" s="2010">
        <v>270726</v>
      </c>
      <c r="H191" s="2010">
        <v>297451</v>
      </c>
      <c r="I191" s="2010">
        <v>321648</v>
      </c>
      <c r="J191" s="2721">
        <v>0</v>
      </c>
      <c r="K191" s="2721">
        <v>0</v>
      </c>
      <c r="L191" s="2721">
        <v>0</v>
      </c>
      <c r="M191" s="2473">
        <f>SUM(F191:K191)</f>
        <v>889825</v>
      </c>
      <c r="N191" s="2473">
        <f>SUM(G191:L191)</f>
        <v>889825</v>
      </c>
      <c r="O191" s="3189"/>
    </row>
    <row r="192" spans="1:16" s="235" customFormat="1" ht="15" customHeight="1">
      <c r="A192" s="3606"/>
      <c r="B192" s="2009" t="s">
        <v>15</v>
      </c>
      <c r="C192" s="3100"/>
      <c r="D192" s="1913">
        <f>E192+F192+G192+H192+I192+J192+K192+L192</f>
        <v>30000</v>
      </c>
      <c r="E192" s="2721">
        <v>0</v>
      </c>
      <c r="F192" s="2722">
        <v>30000</v>
      </c>
      <c r="G192" s="2723">
        <v>0</v>
      </c>
      <c r="H192" s="2723">
        <v>0</v>
      </c>
      <c r="I192" s="2723">
        <v>0</v>
      </c>
      <c r="J192" s="2723">
        <v>0</v>
      </c>
      <c r="K192" s="2723">
        <v>0</v>
      </c>
      <c r="L192" s="2723">
        <v>0</v>
      </c>
      <c r="M192" s="2473">
        <f>SUM(F192:K192)</f>
        <v>30000</v>
      </c>
      <c r="N192" s="2724"/>
      <c r="O192" s="3189"/>
    </row>
    <row r="193" spans="1:16" s="235" customFormat="1" ht="15" customHeight="1">
      <c r="A193" s="3606"/>
      <c r="B193" s="2011" t="s">
        <v>18</v>
      </c>
      <c r="C193" s="3100"/>
      <c r="D193" s="2007">
        <f>D194</f>
        <v>5212325</v>
      </c>
      <c r="E193" s="2713">
        <f t="shared" ref="E193:N193" si="122">+E194</f>
        <v>169983</v>
      </c>
      <c r="F193" s="2725">
        <v>0</v>
      </c>
      <c r="G193" s="2012">
        <f>G194</f>
        <v>1534116</v>
      </c>
      <c r="H193" s="2012">
        <f t="shared" ref="H193:L193" si="123">H194</f>
        <v>1685556</v>
      </c>
      <c r="I193" s="2012">
        <f t="shared" si="123"/>
        <v>1822670</v>
      </c>
      <c r="J193" s="2725">
        <f t="shared" si="123"/>
        <v>0</v>
      </c>
      <c r="K193" s="2725">
        <f t="shared" si="123"/>
        <v>0</v>
      </c>
      <c r="L193" s="2725">
        <f t="shared" si="123"/>
        <v>0</v>
      </c>
      <c r="M193" s="2008">
        <f t="shared" si="122"/>
        <v>5042342</v>
      </c>
      <c r="N193" s="2008">
        <f t="shared" si="122"/>
        <v>5042342</v>
      </c>
      <c r="O193" s="3189"/>
    </row>
    <row r="194" spans="1:16" s="235" customFormat="1" ht="15" customHeight="1">
      <c r="A194" s="3606"/>
      <c r="B194" s="283" t="s">
        <v>21</v>
      </c>
      <c r="C194" s="3075"/>
      <c r="D194" s="1913">
        <f>E194+F194+G194+H194+I194+J194+K194+L194</f>
        <v>5212325</v>
      </c>
      <c r="E194" s="1913">
        <v>169983</v>
      </c>
      <c r="F194" s="2721">
        <v>0</v>
      </c>
      <c r="G194" s="2010">
        <v>1534116</v>
      </c>
      <c r="H194" s="2010">
        <v>1685556</v>
      </c>
      <c r="I194" s="2010">
        <v>1822670</v>
      </c>
      <c r="J194" s="2723">
        <v>0</v>
      </c>
      <c r="K194" s="2723">
        <v>0</v>
      </c>
      <c r="L194" s="2723">
        <v>0</v>
      </c>
      <c r="M194" s="2473">
        <f>SUM(F194:K194)</f>
        <v>5042342</v>
      </c>
      <c r="N194" s="2473">
        <f>SUM(G194:L194)</f>
        <v>5042342</v>
      </c>
      <c r="O194" s="3598"/>
    </row>
    <row r="195" spans="1:16" s="235" customFormat="1" ht="15" customHeight="1">
      <c r="A195" s="3606"/>
      <c r="B195" s="715" t="s">
        <v>22</v>
      </c>
      <c r="C195" s="2003"/>
      <c r="D195" s="2004">
        <f>D198+D196</f>
        <v>5242325</v>
      </c>
      <c r="E195" s="2447">
        <f t="shared" ref="E195:L195" si="124">E198+E196</f>
        <v>0</v>
      </c>
      <c r="F195" s="2004">
        <f t="shared" si="124"/>
        <v>30000</v>
      </c>
      <c r="G195" s="2004">
        <f t="shared" si="124"/>
        <v>219403</v>
      </c>
      <c r="H195" s="2004">
        <f t="shared" si="124"/>
        <v>1561453</v>
      </c>
      <c r="I195" s="2004">
        <f t="shared" si="124"/>
        <v>1671276</v>
      </c>
      <c r="J195" s="2004">
        <f t="shared" si="124"/>
        <v>1760193</v>
      </c>
      <c r="K195" s="2447">
        <f t="shared" si="124"/>
        <v>0</v>
      </c>
      <c r="L195" s="2447">
        <f t="shared" si="124"/>
        <v>0</v>
      </c>
      <c r="M195" s="3054" t="s">
        <v>61</v>
      </c>
      <c r="N195" s="3054" t="s">
        <v>61</v>
      </c>
      <c r="O195" s="3189" t="s">
        <v>224</v>
      </c>
    </row>
    <row r="196" spans="1:16" s="235" customFormat="1" ht="15" customHeight="1">
      <c r="A196" s="3606"/>
      <c r="B196" s="681" t="s">
        <v>510</v>
      </c>
      <c r="C196" s="3127" t="s">
        <v>509</v>
      </c>
      <c r="D196" s="2013">
        <f t="shared" ref="D196:L198" si="125">D197</f>
        <v>30000</v>
      </c>
      <c r="E196" s="2725">
        <f t="shared" ref="E196:E198" si="126">+E197</f>
        <v>0</v>
      </c>
      <c r="F196" s="2726">
        <f t="shared" si="125"/>
        <v>30000</v>
      </c>
      <c r="G196" s="2725">
        <f t="shared" si="125"/>
        <v>0</v>
      </c>
      <c r="H196" s="2725">
        <f t="shared" si="125"/>
        <v>0</v>
      </c>
      <c r="I196" s="2725">
        <f t="shared" si="125"/>
        <v>0</v>
      </c>
      <c r="J196" s="2725">
        <f t="shared" si="125"/>
        <v>0</v>
      </c>
      <c r="K196" s="2725">
        <f t="shared" si="125"/>
        <v>0</v>
      </c>
      <c r="L196" s="2725">
        <f t="shared" si="125"/>
        <v>0</v>
      </c>
      <c r="M196" s="3028"/>
      <c r="N196" s="3028"/>
      <c r="O196" s="3189"/>
    </row>
    <row r="197" spans="1:16" s="235" customFormat="1" ht="15" customHeight="1">
      <c r="A197" s="3606"/>
      <c r="B197" s="2727" t="s">
        <v>15</v>
      </c>
      <c r="C197" s="3170"/>
      <c r="D197" s="1977">
        <f>E197+F197+G197+H197+I197+J197+K197+L197</f>
        <v>30000</v>
      </c>
      <c r="E197" s="2068">
        <v>0</v>
      </c>
      <c r="F197" s="2728">
        <v>30000</v>
      </c>
      <c r="G197" s="2068">
        <v>0</v>
      </c>
      <c r="H197" s="2068">
        <v>0</v>
      </c>
      <c r="I197" s="2068">
        <v>0</v>
      </c>
      <c r="J197" s="2068">
        <v>0</v>
      </c>
      <c r="K197" s="2068">
        <v>0</v>
      </c>
      <c r="L197" s="2068">
        <v>0</v>
      </c>
      <c r="M197" s="3028"/>
      <c r="N197" s="3028"/>
      <c r="O197" s="3189"/>
    </row>
    <row r="198" spans="1:16" s="235" customFormat="1" ht="15" customHeight="1">
      <c r="A198" s="3606"/>
      <c r="B198" s="2643" t="s">
        <v>18</v>
      </c>
      <c r="C198" s="3170"/>
      <c r="D198" s="2729">
        <f t="shared" si="125"/>
        <v>5212325</v>
      </c>
      <c r="E198" s="2730">
        <f t="shared" si="126"/>
        <v>0</v>
      </c>
      <c r="F198" s="2731">
        <f t="shared" si="125"/>
        <v>0</v>
      </c>
      <c r="G198" s="2729">
        <f t="shared" si="125"/>
        <v>219403</v>
      </c>
      <c r="H198" s="2729">
        <f t="shared" si="125"/>
        <v>1561453</v>
      </c>
      <c r="I198" s="2729">
        <f t="shared" si="125"/>
        <v>1671276</v>
      </c>
      <c r="J198" s="2729">
        <f t="shared" si="125"/>
        <v>1760193</v>
      </c>
      <c r="K198" s="2730">
        <f t="shared" si="125"/>
        <v>0</v>
      </c>
      <c r="L198" s="2730">
        <f t="shared" si="125"/>
        <v>0</v>
      </c>
      <c r="M198" s="3028"/>
      <c r="N198" s="3028"/>
      <c r="O198" s="3189"/>
    </row>
    <row r="199" spans="1:16" s="235" customFormat="1" ht="15" customHeight="1" thickBot="1">
      <c r="A199" s="3607"/>
      <c r="B199" s="2052" t="s">
        <v>21</v>
      </c>
      <c r="C199" s="3552"/>
      <c r="D199" s="2195">
        <f>E199+F199+G199+H199+I199+J199+K199+L199</f>
        <v>5212325</v>
      </c>
      <c r="E199" s="2732">
        <v>0</v>
      </c>
      <c r="F199" s="2458">
        <v>0</v>
      </c>
      <c r="G199" s="2457">
        <v>219403</v>
      </c>
      <c r="H199" s="2457">
        <v>1561453</v>
      </c>
      <c r="I199" s="2457">
        <v>1671276</v>
      </c>
      <c r="J199" s="2457">
        <v>1760193</v>
      </c>
      <c r="K199" s="2732">
        <v>0</v>
      </c>
      <c r="L199" s="2732">
        <v>0</v>
      </c>
      <c r="M199" s="3029"/>
      <c r="N199" s="3029"/>
      <c r="O199" s="3190"/>
    </row>
    <row r="200" spans="1:16" s="235" customFormat="1" ht="27" customHeight="1">
      <c r="A200" s="3639" t="s">
        <v>96</v>
      </c>
      <c r="B200" s="2425" t="s">
        <v>569</v>
      </c>
      <c r="C200" s="2050" t="s">
        <v>172</v>
      </c>
      <c r="D200" s="826"/>
      <c r="E200" s="1903"/>
      <c r="F200" s="828"/>
      <c r="G200" s="828"/>
      <c r="H200" s="828"/>
      <c r="I200" s="827"/>
      <c r="J200" s="827"/>
      <c r="K200" s="827"/>
      <c r="L200" s="827"/>
      <c r="M200" s="829"/>
      <c r="N200" s="829"/>
      <c r="O200" s="3188" t="s">
        <v>362</v>
      </c>
    </row>
    <row r="201" spans="1:16" s="235" customFormat="1" ht="15" customHeight="1">
      <c r="A201" s="3640"/>
      <c r="B201" s="2002" t="s">
        <v>10</v>
      </c>
      <c r="C201" s="2003"/>
      <c r="D201" s="2004">
        <f>D202+D204</f>
        <v>161298</v>
      </c>
      <c r="E201" s="2447">
        <f t="shared" ref="E201" si="127">E202+E204</f>
        <v>0</v>
      </c>
      <c r="F201" s="2447">
        <f t="shared" ref="F201" si="128">+F204</f>
        <v>0</v>
      </c>
      <c r="G201" s="2014">
        <f>G202+G206</f>
        <v>0</v>
      </c>
      <c r="H201" s="2004">
        <f t="shared" ref="H201" si="129">H202+H206</f>
        <v>1500</v>
      </c>
      <c r="I201" s="2004">
        <f>I202+I204</f>
        <v>159798</v>
      </c>
      <c r="J201" s="2447">
        <f>J202+J204</f>
        <v>0</v>
      </c>
      <c r="K201" s="2447">
        <f t="shared" ref="K201:L201" si="130">K202+K206</f>
        <v>0</v>
      </c>
      <c r="L201" s="2447">
        <f t="shared" si="130"/>
        <v>0</v>
      </c>
      <c r="M201" s="2005">
        <f>+M204+M202</f>
        <v>161298</v>
      </c>
      <c r="N201" s="2005">
        <f>+N204+N202</f>
        <v>161298</v>
      </c>
      <c r="O201" s="3189"/>
      <c r="P201" s="235" t="s">
        <v>413</v>
      </c>
    </row>
    <row r="202" spans="1:16" s="235" customFormat="1" ht="15" customHeight="1">
      <c r="A202" s="3640"/>
      <c r="B202" s="2006" t="s">
        <v>24</v>
      </c>
      <c r="C202" s="3040" t="s">
        <v>218</v>
      </c>
      <c r="D202" s="2007">
        <f>D203</f>
        <v>26745</v>
      </c>
      <c r="E202" s="2943">
        <f t="shared" ref="E202:F202" si="131">E203</f>
        <v>0</v>
      </c>
      <c r="F202" s="2943">
        <f t="shared" si="131"/>
        <v>0</v>
      </c>
      <c r="G202" s="2944">
        <f>G203</f>
        <v>0</v>
      </c>
      <c r="H202" s="1447">
        <f>H203</f>
        <v>1500</v>
      </c>
      <c r="I202" s="1447">
        <f t="shared" ref="I202:L202" si="132">I203</f>
        <v>25245</v>
      </c>
      <c r="J202" s="2108">
        <f t="shared" si="132"/>
        <v>0</v>
      </c>
      <c r="K202" s="2108">
        <f t="shared" si="132"/>
        <v>0</v>
      </c>
      <c r="L202" s="2108">
        <f t="shared" si="132"/>
        <v>0</v>
      </c>
      <c r="M202" s="2008">
        <f>M203</f>
        <v>26745</v>
      </c>
      <c r="N202" s="2008">
        <f>N203</f>
        <v>26745</v>
      </c>
      <c r="O202" s="3189"/>
    </row>
    <row r="203" spans="1:16" s="235" customFormat="1" ht="15" customHeight="1">
      <c r="A203" s="3640"/>
      <c r="B203" s="2009" t="s">
        <v>12</v>
      </c>
      <c r="C203" s="3100"/>
      <c r="D203" s="1016">
        <f>E203+F203+G203+H203+I203+J203+K203+L203</f>
        <v>26745</v>
      </c>
      <c r="E203" s="1519">
        <v>0</v>
      </c>
      <c r="F203" s="1519">
        <v>0</v>
      </c>
      <c r="G203" s="1784">
        <v>0</v>
      </c>
      <c r="H203" s="1062">
        <v>1500</v>
      </c>
      <c r="I203" s="1062">
        <v>25245</v>
      </c>
      <c r="J203" s="2108">
        <v>0</v>
      </c>
      <c r="K203" s="1519">
        <v>0</v>
      </c>
      <c r="L203" s="1519">
        <v>0</v>
      </c>
      <c r="M203" s="2473">
        <f>SUM(F203:K203)</f>
        <v>26745</v>
      </c>
      <c r="N203" s="2473">
        <f>SUM(G203:L203)</f>
        <v>26745</v>
      </c>
      <c r="O203" s="3189"/>
    </row>
    <row r="204" spans="1:16" s="235" customFormat="1" ht="15" customHeight="1">
      <c r="A204" s="3640"/>
      <c r="B204" s="2011" t="s">
        <v>18</v>
      </c>
      <c r="C204" s="3100"/>
      <c r="D204" s="2007">
        <f>D205</f>
        <v>134553</v>
      </c>
      <c r="E204" s="2943">
        <f t="shared" ref="E204:N204" si="133">+E205</f>
        <v>0</v>
      </c>
      <c r="F204" s="2943">
        <v>0</v>
      </c>
      <c r="G204" s="2945">
        <f>G205</f>
        <v>0</v>
      </c>
      <c r="H204" s="2945">
        <v>0</v>
      </c>
      <c r="I204" s="1447">
        <f>I205</f>
        <v>134553</v>
      </c>
      <c r="J204" s="2108">
        <v>0</v>
      </c>
      <c r="K204" s="2108">
        <v>0</v>
      </c>
      <c r="L204" s="2108">
        <v>0</v>
      </c>
      <c r="M204" s="2008">
        <f t="shared" si="133"/>
        <v>134553</v>
      </c>
      <c r="N204" s="2008">
        <f t="shared" si="133"/>
        <v>134553</v>
      </c>
      <c r="O204" s="3189"/>
    </row>
    <row r="205" spans="1:16" s="235" customFormat="1" ht="15" customHeight="1">
      <c r="A205" s="3640"/>
      <c r="B205" s="283" t="s">
        <v>21</v>
      </c>
      <c r="C205" s="3075"/>
      <c r="D205" s="1016">
        <f>E205+F205+G205+H205+I205+J205+K205+L205</f>
        <v>134553</v>
      </c>
      <c r="E205" s="1519">
        <v>0</v>
      </c>
      <c r="F205" s="1519">
        <v>0</v>
      </c>
      <c r="G205" s="2946">
        <v>0</v>
      </c>
      <c r="H205" s="2946">
        <v>0</v>
      </c>
      <c r="I205" s="1062">
        <v>134553</v>
      </c>
      <c r="J205" s="1519">
        <v>0</v>
      </c>
      <c r="K205" s="1519">
        <v>0</v>
      </c>
      <c r="L205" s="1519">
        <v>0</v>
      </c>
      <c r="M205" s="2473">
        <f>SUM(F205:K205)</f>
        <v>134553</v>
      </c>
      <c r="N205" s="2473">
        <f>SUM(G205:L205)</f>
        <v>134553</v>
      </c>
      <c r="O205" s="3598"/>
    </row>
    <row r="206" spans="1:16" s="235" customFormat="1" ht="15" customHeight="1">
      <c r="A206" s="3640"/>
      <c r="B206" s="2002" t="s">
        <v>22</v>
      </c>
      <c r="C206" s="2003"/>
      <c r="D206" s="2004">
        <f t="shared" ref="D206:L207" si="134">D207</f>
        <v>134553</v>
      </c>
      <c r="E206" s="2447">
        <f t="shared" ref="E206" si="135">+E209</f>
        <v>0</v>
      </c>
      <c r="F206" s="2447">
        <f t="shared" si="134"/>
        <v>0</v>
      </c>
      <c r="G206" s="2947">
        <f t="shared" si="134"/>
        <v>0</v>
      </c>
      <c r="H206" s="2947">
        <f t="shared" si="134"/>
        <v>0</v>
      </c>
      <c r="I206" s="2947">
        <f t="shared" si="134"/>
        <v>0</v>
      </c>
      <c r="J206" s="2004">
        <f t="shared" si="134"/>
        <v>134553</v>
      </c>
      <c r="K206" s="2447">
        <f t="shared" si="134"/>
        <v>0</v>
      </c>
      <c r="L206" s="2447">
        <f t="shared" si="134"/>
        <v>0</v>
      </c>
      <c r="M206" s="3054" t="s">
        <v>61</v>
      </c>
      <c r="N206" s="3054" t="s">
        <v>61</v>
      </c>
      <c r="O206" s="3189" t="s">
        <v>224</v>
      </c>
    </row>
    <row r="207" spans="1:16" s="235" customFormat="1" ht="15" customHeight="1">
      <c r="A207" s="3640"/>
      <c r="B207" s="2011" t="s">
        <v>18</v>
      </c>
      <c r="C207" s="3127" t="s">
        <v>509</v>
      </c>
      <c r="D207" s="2013">
        <f t="shared" si="134"/>
        <v>134553</v>
      </c>
      <c r="E207" s="2943">
        <f t="shared" si="134"/>
        <v>0</v>
      </c>
      <c r="F207" s="2108">
        <f t="shared" si="134"/>
        <v>0</v>
      </c>
      <c r="G207" s="2948">
        <f t="shared" si="134"/>
        <v>0</v>
      </c>
      <c r="H207" s="2948">
        <f t="shared" si="134"/>
        <v>0</v>
      </c>
      <c r="I207" s="2948">
        <f t="shared" si="134"/>
        <v>0</v>
      </c>
      <c r="J207" s="2013">
        <f t="shared" si="134"/>
        <v>134553</v>
      </c>
      <c r="K207" s="2108">
        <f t="shared" si="134"/>
        <v>0</v>
      </c>
      <c r="L207" s="2108">
        <f t="shared" si="134"/>
        <v>0</v>
      </c>
      <c r="M207" s="3028"/>
      <c r="N207" s="3028"/>
      <c r="O207" s="3189"/>
    </row>
    <row r="208" spans="1:16" s="235" customFormat="1" ht="15" customHeight="1" thickBot="1">
      <c r="A208" s="3641"/>
      <c r="B208" s="232" t="s">
        <v>21</v>
      </c>
      <c r="C208" s="3074"/>
      <c r="D208" s="2860">
        <f>E208+F208+G208+H208+I208+J208+K208+L208</f>
        <v>134553</v>
      </c>
      <c r="E208" s="2949">
        <v>0</v>
      </c>
      <c r="F208" s="2458">
        <v>0</v>
      </c>
      <c r="G208" s="2950">
        <v>0</v>
      </c>
      <c r="H208" s="2950">
        <v>0</v>
      </c>
      <c r="I208" s="2950">
        <v>0</v>
      </c>
      <c r="J208" s="2457">
        <v>134553</v>
      </c>
      <c r="K208" s="2949">
        <v>0</v>
      </c>
      <c r="L208" s="2949">
        <v>0</v>
      </c>
      <c r="M208" s="3029"/>
      <c r="N208" s="3029"/>
      <c r="O208" s="3190"/>
    </row>
    <row r="209" spans="1:16" s="235" customFormat="1" ht="36.75" customHeight="1">
      <c r="A209" s="3636" t="s">
        <v>97</v>
      </c>
      <c r="B209" s="2425" t="s">
        <v>568</v>
      </c>
      <c r="C209" s="2050" t="s">
        <v>81</v>
      </c>
      <c r="D209" s="826"/>
      <c r="E209" s="1903"/>
      <c r="F209" s="828"/>
      <c r="G209" s="828"/>
      <c r="H209" s="828"/>
      <c r="I209" s="827"/>
      <c r="J209" s="827"/>
      <c r="K209" s="827"/>
      <c r="L209" s="827"/>
      <c r="M209" s="829"/>
      <c r="N209" s="829"/>
      <c r="O209" s="3188" t="s">
        <v>362</v>
      </c>
    </row>
    <row r="210" spans="1:16" s="235" customFormat="1" ht="15" customHeight="1">
      <c r="A210" s="3637"/>
      <c r="B210" s="2002" t="s">
        <v>10</v>
      </c>
      <c r="C210" s="2003"/>
      <c r="D210" s="2004">
        <f>D211+D214</f>
        <v>7217997</v>
      </c>
      <c r="E210" s="2004">
        <f t="shared" ref="E210" si="136">E211+E214</f>
        <v>191980</v>
      </c>
      <c r="F210" s="2951">
        <f>F211</f>
        <v>0</v>
      </c>
      <c r="G210" s="2014">
        <f>+G214+G211</f>
        <v>0</v>
      </c>
      <c r="H210" s="2004">
        <f>+H214+H211</f>
        <v>4414172</v>
      </c>
      <c r="I210" s="2004">
        <f t="shared" ref="I210:L210" si="137">+I214+I211</f>
        <v>2611845</v>
      </c>
      <c r="J210" s="2447">
        <f t="shared" si="137"/>
        <v>0</v>
      </c>
      <c r="K210" s="2447">
        <f t="shared" si="137"/>
        <v>0</v>
      </c>
      <c r="L210" s="2447">
        <f t="shared" si="137"/>
        <v>0</v>
      </c>
      <c r="M210" s="2005">
        <f>+M214+M211</f>
        <v>7026017</v>
      </c>
      <c r="N210" s="2005">
        <f>+N214+N211</f>
        <v>7026017</v>
      </c>
      <c r="O210" s="3189"/>
      <c r="P210" s="235" t="s">
        <v>413</v>
      </c>
    </row>
    <row r="211" spans="1:16" s="235" customFormat="1" ht="15" customHeight="1">
      <c r="A211" s="3637"/>
      <c r="B211" s="2006" t="s">
        <v>24</v>
      </c>
      <c r="C211" s="3040" t="s">
        <v>218</v>
      </c>
      <c r="D211" s="2007">
        <f>D212+D213</f>
        <v>1203400</v>
      </c>
      <c r="E211" s="2007">
        <f t="shared" ref="E211:L211" si="138">E212+E213</f>
        <v>149497</v>
      </c>
      <c r="F211" s="2015">
        <f t="shared" si="138"/>
        <v>0</v>
      </c>
      <c r="G211" s="2015">
        <f t="shared" si="138"/>
        <v>0</v>
      </c>
      <c r="H211" s="2007">
        <f t="shared" si="138"/>
        <v>662126</v>
      </c>
      <c r="I211" s="2007">
        <f t="shared" si="138"/>
        <v>391777</v>
      </c>
      <c r="J211" s="2721">
        <f t="shared" si="138"/>
        <v>0</v>
      </c>
      <c r="K211" s="2721">
        <f t="shared" si="138"/>
        <v>0</v>
      </c>
      <c r="L211" s="2721">
        <f t="shared" si="138"/>
        <v>0</v>
      </c>
      <c r="M211" s="2008">
        <f>M212+M213</f>
        <v>1053903</v>
      </c>
      <c r="N211" s="2008">
        <f>N212</f>
        <v>1053903</v>
      </c>
      <c r="O211" s="3189"/>
    </row>
    <row r="212" spans="1:16" s="235" customFormat="1" ht="15" customHeight="1">
      <c r="A212" s="3637"/>
      <c r="B212" s="2009" t="s">
        <v>12</v>
      </c>
      <c r="C212" s="3100"/>
      <c r="D212" s="1913">
        <f>E212+F212+G212+H212+I212+J212+K212+L212</f>
        <v>1083400</v>
      </c>
      <c r="E212" s="1913">
        <v>29497</v>
      </c>
      <c r="F212" s="2723">
        <v>0</v>
      </c>
      <c r="G212" s="2952">
        <v>0</v>
      </c>
      <c r="H212" s="2010">
        <v>662126</v>
      </c>
      <c r="I212" s="2010">
        <v>391777</v>
      </c>
      <c r="J212" s="2721">
        <v>0</v>
      </c>
      <c r="K212" s="2721">
        <v>0</v>
      </c>
      <c r="L212" s="2721">
        <v>0</v>
      </c>
      <c r="M212" s="2473">
        <f>SUM(F212:K212)</f>
        <v>1053903</v>
      </c>
      <c r="N212" s="2473">
        <f>SUM(G212:L212)</f>
        <v>1053903</v>
      </c>
      <c r="O212" s="3189"/>
    </row>
    <row r="213" spans="1:16" s="235" customFormat="1" ht="15" customHeight="1">
      <c r="A213" s="3637"/>
      <c r="B213" s="2009" t="s">
        <v>15</v>
      </c>
      <c r="C213" s="3100"/>
      <c r="D213" s="2953">
        <f>E213+F213+G213+H213+I213+J213+K213+L213</f>
        <v>120000</v>
      </c>
      <c r="E213" s="2954">
        <v>120000</v>
      </c>
      <c r="F213" s="2723">
        <v>0</v>
      </c>
      <c r="G213" s="2723">
        <v>0</v>
      </c>
      <c r="H213" s="2723">
        <v>0</v>
      </c>
      <c r="I213" s="2723">
        <v>0</v>
      </c>
      <c r="J213" s="2723">
        <v>0</v>
      </c>
      <c r="K213" s="2723">
        <v>0</v>
      </c>
      <c r="L213" s="2723">
        <v>0</v>
      </c>
      <c r="M213" s="2473">
        <f>SUM(F213:K213)</f>
        <v>0</v>
      </c>
      <c r="N213" s="2724"/>
      <c r="O213" s="3189"/>
    </row>
    <row r="214" spans="1:16" s="235" customFormat="1" ht="15" customHeight="1">
      <c r="A214" s="3637"/>
      <c r="B214" s="2011" t="s">
        <v>18</v>
      </c>
      <c r="C214" s="3100"/>
      <c r="D214" s="2007">
        <f>D215</f>
        <v>6014597</v>
      </c>
      <c r="E214" s="2713">
        <f t="shared" ref="E214:N214" si="139">+E215</f>
        <v>42483</v>
      </c>
      <c r="F214" s="2955">
        <v>0</v>
      </c>
      <c r="G214" s="2956">
        <f>G215</f>
        <v>0</v>
      </c>
      <c r="H214" s="2012">
        <f t="shared" ref="H214:L214" si="140">H215</f>
        <v>3752046</v>
      </c>
      <c r="I214" s="2012">
        <f t="shared" si="140"/>
        <v>2220068</v>
      </c>
      <c r="J214" s="2725">
        <f t="shared" si="140"/>
        <v>0</v>
      </c>
      <c r="K214" s="2725">
        <f t="shared" si="140"/>
        <v>0</v>
      </c>
      <c r="L214" s="2725">
        <f t="shared" si="140"/>
        <v>0</v>
      </c>
      <c r="M214" s="2008">
        <f t="shared" si="139"/>
        <v>5972114</v>
      </c>
      <c r="N214" s="2008">
        <f t="shared" si="139"/>
        <v>5972114</v>
      </c>
      <c r="O214" s="3189"/>
    </row>
    <row r="215" spans="1:16" s="235" customFormat="1" ht="15" customHeight="1">
      <c r="A215" s="3637"/>
      <c r="B215" s="283" t="s">
        <v>21</v>
      </c>
      <c r="C215" s="3075"/>
      <c r="D215" s="1913">
        <f>SUM(E215:L215)</f>
        <v>6014597</v>
      </c>
      <c r="E215" s="1913">
        <v>42483</v>
      </c>
      <c r="F215" s="2723">
        <v>0</v>
      </c>
      <c r="G215" s="2952">
        <v>0</v>
      </c>
      <c r="H215" s="2010">
        <v>3752046</v>
      </c>
      <c r="I215" s="2010">
        <v>2220068</v>
      </c>
      <c r="J215" s="2723">
        <v>0</v>
      </c>
      <c r="K215" s="2723">
        <v>0</v>
      </c>
      <c r="L215" s="2723">
        <v>0</v>
      </c>
      <c r="M215" s="2473">
        <f>SUM(F215:K215)</f>
        <v>5972114</v>
      </c>
      <c r="N215" s="2473">
        <f>SUM(G215:L215)</f>
        <v>5972114</v>
      </c>
      <c r="O215" s="3598"/>
    </row>
    <row r="216" spans="1:16" s="235" customFormat="1" ht="15" customHeight="1">
      <c r="A216" s="3637"/>
      <c r="B216" s="2002" t="s">
        <v>22</v>
      </c>
      <c r="C216" s="2003"/>
      <c r="D216" s="2004">
        <f>D219+D217</f>
        <v>6134597</v>
      </c>
      <c r="E216" s="2957">
        <f t="shared" ref="E216:L216" si="141">E219+E217</f>
        <v>120000</v>
      </c>
      <c r="F216" s="2014">
        <f t="shared" si="141"/>
        <v>0</v>
      </c>
      <c r="G216" s="2014">
        <f t="shared" si="141"/>
        <v>0</v>
      </c>
      <c r="H216" s="2004">
        <f t="shared" si="141"/>
        <v>237555</v>
      </c>
      <c r="I216" s="2004">
        <f t="shared" si="141"/>
        <v>4513210</v>
      </c>
      <c r="J216" s="2004">
        <f t="shared" si="141"/>
        <v>1263832</v>
      </c>
      <c r="K216" s="2447">
        <f t="shared" si="141"/>
        <v>0</v>
      </c>
      <c r="L216" s="2447">
        <f t="shared" si="141"/>
        <v>0</v>
      </c>
      <c r="M216" s="3054" t="s">
        <v>61</v>
      </c>
      <c r="N216" s="3054" t="s">
        <v>61</v>
      </c>
      <c r="O216" s="3189" t="s">
        <v>224</v>
      </c>
    </row>
    <row r="217" spans="1:16" s="235" customFormat="1" ht="15" customHeight="1">
      <c r="A217" s="3637"/>
      <c r="B217" s="2011" t="s">
        <v>510</v>
      </c>
      <c r="C217" s="3127" t="s">
        <v>509</v>
      </c>
      <c r="D217" s="2013">
        <f t="shared" ref="D217:L219" si="142">D218</f>
        <v>120000</v>
      </c>
      <c r="E217" s="2958">
        <f t="shared" ref="E217:E219" si="143">+E218</f>
        <v>120000</v>
      </c>
      <c r="F217" s="2959">
        <f t="shared" si="142"/>
        <v>0</v>
      </c>
      <c r="G217" s="2955">
        <f t="shared" si="142"/>
        <v>0</v>
      </c>
      <c r="H217" s="2725">
        <f t="shared" si="142"/>
        <v>0</v>
      </c>
      <c r="I217" s="2725">
        <f t="shared" si="142"/>
        <v>0</v>
      </c>
      <c r="J217" s="2725">
        <f t="shared" si="142"/>
        <v>0</v>
      </c>
      <c r="K217" s="2725">
        <f t="shared" si="142"/>
        <v>0</v>
      </c>
      <c r="L217" s="2725">
        <f t="shared" si="142"/>
        <v>0</v>
      </c>
      <c r="M217" s="3028"/>
      <c r="N217" s="3028"/>
      <c r="O217" s="3189"/>
    </row>
    <row r="218" spans="1:16" s="235" customFormat="1" ht="15" customHeight="1">
      <c r="A218" s="3637"/>
      <c r="B218" s="2960" t="s">
        <v>15</v>
      </c>
      <c r="C218" s="3170"/>
      <c r="D218" s="1977">
        <f>E218+F218+G218+H218+I218+J218+K218+L218</f>
        <v>120000</v>
      </c>
      <c r="E218" s="2961">
        <v>120000</v>
      </c>
      <c r="F218" s="2962">
        <v>0</v>
      </c>
      <c r="G218" s="2963">
        <v>0</v>
      </c>
      <c r="H218" s="2068">
        <v>0</v>
      </c>
      <c r="I218" s="2068">
        <v>0</v>
      </c>
      <c r="J218" s="2068">
        <v>0</v>
      </c>
      <c r="K218" s="2068">
        <v>0</v>
      </c>
      <c r="L218" s="2068">
        <v>0</v>
      </c>
      <c r="M218" s="3028"/>
      <c r="N218" s="3028"/>
      <c r="O218" s="3189"/>
    </row>
    <row r="219" spans="1:16" s="235" customFormat="1" ht="15" customHeight="1">
      <c r="A219" s="3637"/>
      <c r="B219" s="2964" t="s">
        <v>18</v>
      </c>
      <c r="C219" s="3170"/>
      <c r="D219" s="2729">
        <f t="shared" si="142"/>
        <v>6014597</v>
      </c>
      <c r="E219" s="2730">
        <f t="shared" si="143"/>
        <v>0</v>
      </c>
      <c r="F219" s="2965">
        <f t="shared" si="142"/>
        <v>0</v>
      </c>
      <c r="G219" s="2966">
        <f t="shared" si="142"/>
        <v>0</v>
      </c>
      <c r="H219" s="2729">
        <f t="shared" si="142"/>
        <v>237555</v>
      </c>
      <c r="I219" s="2729">
        <f t="shared" si="142"/>
        <v>4513210</v>
      </c>
      <c r="J219" s="2729">
        <f t="shared" si="142"/>
        <v>1263832</v>
      </c>
      <c r="K219" s="2730">
        <f t="shared" si="142"/>
        <v>0</v>
      </c>
      <c r="L219" s="2730">
        <f t="shared" si="142"/>
        <v>0</v>
      </c>
      <c r="M219" s="3028"/>
      <c r="N219" s="3028"/>
      <c r="O219" s="3189"/>
    </row>
    <row r="220" spans="1:16" s="235" customFormat="1" ht="15" customHeight="1" thickBot="1">
      <c r="A220" s="3638"/>
      <c r="B220" s="232" t="s">
        <v>21</v>
      </c>
      <c r="C220" s="3552"/>
      <c r="D220" s="2195">
        <f>E220+F220+G220+H220+I220+J220+K220+L220</f>
        <v>6014597</v>
      </c>
      <c r="E220" s="2732">
        <v>0</v>
      </c>
      <c r="F220" s="2967">
        <v>0</v>
      </c>
      <c r="G220" s="2968">
        <v>0</v>
      </c>
      <c r="H220" s="2457">
        <v>237555</v>
      </c>
      <c r="I220" s="2457">
        <v>4513210</v>
      </c>
      <c r="J220" s="2457">
        <v>1263832</v>
      </c>
      <c r="K220" s="2732">
        <v>0</v>
      </c>
      <c r="L220" s="2732">
        <v>0</v>
      </c>
      <c r="M220" s="3029"/>
      <c r="N220" s="3029"/>
      <c r="O220" s="3190"/>
    </row>
    <row r="221" spans="1:16" ht="23.25" customHeight="1" thickBot="1">
      <c r="A221" s="193" t="s">
        <v>173</v>
      </c>
      <c r="B221" s="836"/>
      <c r="C221" s="836"/>
      <c r="D221" s="836"/>
      <c r="E221" s="836"/>
      <c r="F221" s="836"/>
      <c r="G221" s="836"/>
      <c r="H221" s="836"/>
      <c r="I221" s="836"/>
      <c r="J221" s="836"/>
      <c r="K221" s="836"/>
      <c r="L221" s="836"/>
      <c r="M221" s="837"/>
      <c r="N221" s="837"/>
      <c r="O221" s="838"/>
    </row>
    <row r="222" spans="1:16" ht="18.75" customHeight="1">
      <c r="A222" s="839"/>
      <c r="B222" s="211" t="s">
        <v>76</v>
      </c>
      <c r="C222" s="523"/>
      <c r="D222" s="213">
        <f>+D223+D224</f>
        <v>16198501</v>
      </c>
      <c r="E222" s="213">
        <f t="shared" ref="E222:F222" si="144">+E223+E224</f>
        <v>7742800</v>
      </c>
      <c r="F222" s="213">
        <f t="shared" si="144"/>
        <v>2600000</v>
      </c>
      <c r="G222" s="213">
        <f t="shared" ref="G222:N222" si="145">+G223+G224</f>
        <v>2647000</v>
      </c>
      <c r="H222" s="213">
        <f t="shared" si="145"/>
        <v>2788899</v>
      </c>
      <c r="I222" s="213">
        <f t="shared" si="145"/>
        <v>83899</v>
      </c>
      <c r="J222" s="213">
        <f t="shared" si="145"/>
        <v>97429</v>
      </c>
      <c r="K222" s="213">
        <f t="shared" si="145"/>
        <v>113579</v>
      </c>
      <c r="L222" s="213">
        <f t="shared" si="145"/>
        <v>124895</v>
      </c>
      <c r="M222" s="16">
        <f t="shared" ref="M222" si="146">+M223+M224</f>
        <v>8330806</v>
      </c>
      <c r="N222" s="16">
        <f t="shared" si="145"/>
        <v>5855701</v>
      </c>
      <c r="O222" s="3469"/>
    </row>
    <row r="223" spans="1:16" ht="14.25" customHeight="1">
      <c r="A223" s="714"/>
      <c r="B223" s="214" t="s">
        <v>77</v>
      </c>
      <c r="C223" s="216"/>
      <c r="D223" s="216">
        <f>D234+D238</f>
        <v>16198501</v>
      </c>
      <c r="E223" s="216">
        <f t="shared" ref="E223:L223" si="147">E234+E238</f>
        <v>7742800</v>
      </c>
      <c r="F223" s="216">
        <f t="shared" si="147"/>
        <v>2600000</v>
      </c>
      <c r="G223" s="216">
        <f t="shared" si="147"/>
        <v>2647000</v>
      </c>
      <c r="H223" s="216">
        <f t="shared" si="147"/>
        <v>2788899</v>
      </c>
      <c r="I223" s="216">
        <f t="shared" si="147"/>
        <v>83899</v>
      </c>
      <c r="J223" s="216">
        <f t="shared" si="147"/>
        <v>97429</v>
      </c>
      <c r="K223" s="216">
        <f t="shared" si="147"/>
        <v>113579</v>
      </c>
      <c r="L223" s="216">
        <f t="shared" si="147"/>
        <v>124895</v>
      </c>
      <c r="M223" s="18">
        <f>SUM(F223:K223)</f>
        <v>8330806</v>
      </c>
      <c r="N223" s="18">
        <f>SUM(G223:L223)</f>
        <v>5855701</v>
      </c>
      <c r="O223" s="3470"/>
    </row>
    <row r="224" spans="1:16" ht="14.25" customHeight="1" thickBot="1">
      <c r="A224" s="714"/>
      <c r="B224" s="840" t="s">
        <v>9</v>
      </c>
      <c r="C224" s="819"/>
      <c r="D224" s="819">
        <v>0</v>
      </c>
      <c r="E224" s="819">
        <v>0</v>
      </c>
      <c r="F224" s="819">
        <v>0</v>
      </c>
      <c r="G224" s="819">
        <v>0</v>
      </c>
      <c r="H224" s="819">
        <v>0</v>
      </c>
      <c r="I224" s="819">
        <f>+I234</f>
        <v>0</v>
      </c>
      <c r="J224" s="819">
        <f>+J234</f>
        <v>0</v>
      </c>
      <c r="K224" s="819">
        <f>+K234</f>
        <v>0</v>
      </c>
      <c r="L224" s="819">
        <f>+L234</f>
        <v>0</v>
      </c>
      <c r="M224" s="154">
        <f>SUM(E224:K224)</f>
        <v>0</v>
      </c>
      <c r="N224" s="154">
        <f>SUM(G224:L224)</f>
        <v>0</v>
      </c>
      <c r="O224" s="3470"/>
    </row>
    <row r="225" spans="1:17" ht="16.5" customHeight="1">
      <c r="A225" s="378"/>
      <c r="B225" s="82" t="s">
        <v>10</v>
      </c>
      <c r="C225" s="190"/>
      <c r="D225" s="196">
        <f t="shared" ref="D225:L225" si="148">+D226</f>
        <v>16198501</v>
      </c>
      <c r="E225" s="196">
        <f t="shared" si="148"/>
        <v>7742800</v>
      </c>
      <c r="F225" s="196">
        <f t="shared" si="148"/>
        <v>2600000</v>
      </c>
      <c r="G225" s="196">
        <f t="shared" si="148"/>
        <v>2647000</v>
      </c>
      <c r="H225" s="196">
        <f t="shared" si="148"/>
        <v>2788899</v>
      </c>
      <c r="I225" s="196">
        <f t="shared" si="148"/>
        <v>83899</v>
      </c>
      <c r="J225" s="196">
        <f t="shared" si="148"/>
        <v>97429</v>
      </c>
      <c r="K225" s="196">
        <f t="shared" si="148"/>
        <v>113579</v>
      </c>
      <c r="L225" s="196">
        <f t="shared" si="148"/>
        <v>124895</v>
      </c>
      <c r="M225" s="379">
        <f>+M226</f>
        <v>8330806</v>
      </c>
      <c r="N225" s="379">
        <f>+N226</f>
        <v>5855701</v>
      </c>
      <c r="O225" s="3470"/>
    </row>
    <row r="226" spans="1:17" ht="15" customHeight="1">
      <c r="A226" s="197"/>
      <c r="B226" s="159" t="s">
        <v>11</v>
      </c>
      <c r="C226" s="3472" t="s">
        <v>61</v>
      </c>
      <c r="D226" s="1156">
        <f>+D229+D227</f>
        <v>16198501</v>
      </c>
      <c r="E226" s="1156">
        <f t="shared" ref="E226:L226" si="149">+E229+E227</f>
        <v>7742800</v>
      </c>
      <c r="F226" s="1156">
        <f t="shared" si="149"/>
        <v>2600000</v>
      </c>
      <c r="G226" s="1156">
        <f t="shared" si="149"/>
        <v>2647000</v>
      </c>
      <c r="H226" s="1156">
        <f t="shared" si="149"/>
        <v>2788899</v>
      </c>
      <c r="I226" s="1156">
        <f t="shared" si="149"/>
        <v>83899</v>
      </c>
      <c r="J226" s="1156">
        <f t="shared" si="149"/>
        <v>97429</v>
      </c>
      <c r="K226" s="1156">
        <f t="shared" si="149"/>
        <v>113579</v>
      </c>
      <c r="L226" s="1156">
        <f t="shared" si="149"/>
        <v>124895</v>
      </c>
      <c r="M226" s="694">
        <f>+M227+M228+M229</f>
        <v>8330806</v>
      </c>
      <c r="N226" s="694">
        <f>+N227+N228+N229</f>
        <v>5855701</v>
      </c>
      <c r="O226" s="3470"/>
    </row>
    <row r="227" spans="1:17" s="1450" customFormat="1" ht="15" customHeight="1">
      <c r="A227" s="197"/>
      <c r="B227" s="1449" t="s">
        <v>12</v>
      </c>
      <c r="C227" s="3473"/>
      <c r="D227" s="1157">
        <f>D240</f>
        <v>503701</v>
      </c>
      <c r="E227" s="1492">
        <f t="shared" ref="E227:L227" si="150">E240</f>
        <v>0</v>
      </c>
      <c r="F227" s="1492">
        <f t="shared" si="150"/>
        <v>0</v>
      </c>
      <c r="G227" s="1492">
        <f t="shared" si="150"/>
        <v>0</v>
      </c>
      <c r="H227" s="1492">
        <f t="shared" si="150"/>
        <v>83899</v>
      </c>
      <c r="I227" s="1492">
        <f t="shared" si="150"/>
        <v>83899</v>
      </c>
      <c r="J227" s="1492">
        <f t="shared" si="150"/>
        <v>97429</v>
      </c>
      <c r="K227" s="1492">
        <f t="shared" si="150"/>
        <v>113579</v>
      </c>
      <c r="L227" s="1492">
        <f t="shared" si="150"/>
        <v>124895</v>
      </c>
      <c r="M227" s="823">
        <f t="shared" ref="M227:N229" si="151">SUM(F227:K227)</f>
        <v>378806</v>
      </c>
      <c r="N227" s="823">
        <f t="shared" si="151"/>
        <v>503701</v>
      </c>
      <c r="O227" s="3470"/>
    </row>
    <row r="228" spans="1:17" ht="13.5" hidden="1" customHeight="1">
      <c r="A228" s="197"/>
      <c r="B228" s="162" t="s">
        <v>62</v>
      </c>
      <c r="C228" s="3473"/>
      <c r="D228" s="1492">
        <f t="shared" ref="D228:L228" si="152">D244</f>
        <v>0</v>
      </c>
      <c r="E228" s="1492">
        <f t="shared" si="152"/>
        <v>0</v>
      </c>
      <c r="F228" s="1492">
        <f t="shared" si="152"/>
        <v>0</v>
      </c>
      <c r="G228" s="1492">
        <f t="shared" si="152"/>
        <v>0</v>
      </c>
      <c r="H228" s="1492">
        <f t="shared" si="152"/>
        <v>0</v>
      </c>
      <c r="I228" s="1492">
        <f t="shared" si="152"/>
        <v>0</v>
      </c>
      <c r="J228" s="1492">
        <f t="shared" si="152"/>
        <v>0</v>
      </c>
      <c r="K228" s="1492">
        <f t="shared" si="152"/>
        <v>0</v>
      </c>
      <c r="L228" s="1492">
        <f t="shared" si="152"/>
        <v>0</v>
      </c>
      <c r="M228" s="823">
        <f t="shared" si="151"/>
        <v>0</v>
      </c>
      <c r="N228" s="823">
        <f t="shared" si="151"/>
        <v>0</v>
      </c>
      <c r="O228" s="3470"/>
    </row>
    <row r="229" spans="1:17" ht="15.75" customHeight="1" thickBot="1">
      <c r="A229" s="841"/>
      <c r="B229" s="162" t="s">
        <v>176</v>
      </c>
      <c r="C229" s="3473"/>
      <c r="D229" s="1157">
        <f t="shared" ref="D229:E229" si="153">+D236+D244</f>
        <v>15694800</v>
      </c>
      <c r="E229" s="1157">
        <f t="shared" si="153"/>
        <v>7742800</v>
      </c>
      <c r="F229" s="1157">
        <f t="shared" ref="F229:I229" si="154">+F236</f>
        <v>2600000</v>
      </c>
      <c r="G229" s="1157">
        <f t="shared" si="154"/>
        <v>2647000</v>
      </c>
      <c r="H229" s="1157">
        <f t="shared" si="154"/>
        <v>2705000</v>
      </c>
      <c r="I229" s="1157">
        <f t="shared" si="154"/>
        <v>0</v>
      </c>
      <c r="J229" s="1157">
        <f>+J236</f>
        <v>0</v>
      </c>
      <c r="K229" s="1157">
        <f>+K236</f>
        <v>0</v>
      </c>
      <c r="L229" s="1157">
        <f>+L236</f>
        <v>0</v>
      </c>
      <c r="M229" s="823">
        <f t="shared" si="151"/>
        <v>7952000</v>
      </c>
      <c r="N229" s="823">
        <f t="shared" si="151"/>
        <v>5352000</v>
      </c>
      <c r="O229" s="3470"/>
    </row>
    <row r="230" spans="1:17" ht="18.75" hidden="1" customHeight="1">
      <c r="A230" s="649"/>
      <c r="B230" s="198" t="s">
        <v>22</v>
      </c>
      <c r="C230" s="813"/>
      <c r="D230" s="766">
        <f t="shared" ref="D230:I231" si="155">D231</f>
        <v>0</v>
      </c>
      <c r="E230" s="766">
        <f t="shared" si="155"/>
        <v>0</v>
      </c>
      <c r="F230" s="766">
        <f t="shared" si="155"/>
        <v>0</v>
      </c>
      <c r="G230" s="766">
        <f t="shared" si="155"/>
        <v>0</v>
      </c>
      <c r="H230" s="766">
        <f t="shared" si="155"/>
        <v>0</v>
      </c>
      <c r="I230" s="766">
        <f t="shared" si="155"/>
        <v>0</v>
      </c>
      <c r="J230" s="766">
        <f t="shared" ref="J230:L231" si="156">J231</f>
        <v>0</v>
      </c>
      <c r="K230" s="766">
        <f t="shared" si="156"/>
        <v>0</v>
      </c>
      <c r="L230" s="766">
        <f t="shared" si="156"/>
        <v>0</v>
      </c>
      <c r="M230" s="3062" t="s">
        <v>61</v>
      </c>
      <c r="N230" s="3062" t="s">
        <v>61</v>
      </c>
      <c r="O230" s="3470"/>
    </row>
    <row r="231" spans="1:17" ht="13.5" hidden="1" customHeight="1">
      <c r="A231" s="649"/>
      <c r="B231" s="1493" t="s">
        <v>11</v>
      </c>
      <c r="C231" s="1494"/>
      <c r="D231" s="1495">
        <f t="shared" si="155"/>
        <v>0</v>
      </c>
      <c r="E231" s="1495">
        <f t="shared" si="155"/>
        <v>0</v>
      </c>
      <c r="F231" s="1495">
        <f t="shared" si="155"/>
        <v>0</v>
      </c>
      <c r="G231" s="1495">
        <f t="shared" si="155"/>
        <v>0</v>
      </c>
      <c r="H231" s="1495">
        <f t="shared" si="155"/>
        <v>0</v>
      </c>
      <c r="I231" s="1495">
        <f t="shared" si="155"/>
        <v>0</v>
      </c>
      <c r="J231" s="1495">
        <f t="shared" si="156"/>
        <v>0</v>
      </c>
      <c r="K231" s="1495">
        <f t="shared" si="156"/>
        <v>0</v>
      </c>
      <c r="L231" s="1495">
        <f t="shared" si="156"/>
        <v>0</v>
      </c>
      <c r="M231" s="3028"/>
      <c r="N231" s="3028"/>
      <c r="O231" s="3470"/>
    </row>
    <row r="232" spans="1:17" ht="13.5" hidden="1" customHeight="1" thickBot="1">
      <c r="A232" s="824"/>
      <c r="B232" s="1496" t="s">
        <v>62</v>
      </c>
      <c r="C232" s="524"/>
      <c r="D232" s="1157"/>
      <c r="E232" s="1497">
        <f t="shared" ref="E232:G232" si="157">E246+E264+E271+E278+E285+E255+E292+E299+E306+E313</f>
        <v>0</v>
      </c>
      <c r="F232" s="1497">
        <f t="shared" si="157"/>
        <v>0</v>
      </c>
      <c r="G232" s="1497">
        <f t="shared" si="157"/>
        <v>0</v>
      </c>
      <c r="H232" s="1497">
        <f>H247</f>
        <v>0</v>
      </c>
      <c r="I232" s="1497">
        <f>I247</f>
        <v>0</v>
      </c>
      <c r="J232" s="1497">
        <f>J247</f>
        <v>0</v>
      </c>
      <c r="K232" s="1497">
        <f>K247</f>
        <v>0</v>
      </c>
      <c r="L232" s="1497">
        <f>L247</f>
        <v>0</v>
      </c>
      <c r="M232" s="3029"/>
      <c r="N232" s="3029"/>
      <c r="O232" s="3471"/>
    </row>
    <row r="233" spans="1:17" ht="29.25" customHeight="1">
      <c r="A233" s="3629" t="s">
        <v>63</v>
      </c>
      <c r="B233" s="186" t="s">
        <v>327</v>
      </c>
      <c r="C233" s="2050" t="s">
        <v>172</v>
      </c>
      <c r="D233" s="826"/>
      <c r="E233" s="827"/>
      <c r="F233" s="828"/>
      <c r="G233" s="828"/>
      <c r="H233" s="828"/>
      <c r="I233" s="827"/>
      <c r="J233" s="827"/>
      <c r="K233" s="827"/>
      <c r="L233" s="827"/>
      <c r="M233" s="829"/>
      <c r="N233" s="829"/>
      <c r="O233" s="3188" t="s">
        <v>174</v>
      </c>
    </row>
    <row r="234" spans="1:17" ht="15.75" customHeight="1">
      <c r="A234" s="3630"/>
      <c r="B234" s="715" t="s">
        <v>10</v>
      </c>
      <c r="C234" s="813"/>
      <c r="D234" s="765">
        <f t="shared" ref="D234:N235" si="158">+D235</f>
        <v>15694800</v>
      </c>
      <c r="E234" s="765">
        <f t="shared" si="158"/>
        <v>7742800</v>
      </c>
      <c r="F234" s="765">
        <f t="shared" si="158"/>
        <v>2600000</v>
      </c>
      <c r="G234" s="765">
        <f t="shared" si="158"/>
        <v>2647000</v>
      </c>
      <c r="H234" s="765">
        <f t="shared" si="158"/>
        <v>2705000</v>
      </c>
      <c r="I234" s="765">
        <f t="shared" si="158"/>
        <v>0</v>
      </c>
      <c r="J234" s="765">
        <f t="shared" si="158"/>
        <v>0</v>
      </c>
      <c r="K234" s="765">
        <f t="shared" si="158"/>
        <v>0</v>
      </c>
      <c r="L234" s="765">
        <f t="shared" si="158"/>
        <v>0</v>
      </c>
      <c r="M234" s="693">
        <f t="shared" si="158"/>
        <v>7952000</v>
      </c>
      <c r="N234" s="693">
        <f t="shared" si="158"/>
        <v>5352000</v>
      </c>
      <c r="O234" s="3189"/>
    </row>
    <row r="235" spans="1:17" ht="15" customHeight="1">
      <c r="A235" s="3630"/>
      <c r="B235" s="1065" t="s">
        <v>24</v>
      </c>
      <c r="C235" s="3108" t="s">
        <v>175</v>
      </c>
      <c r="D235" s="1446">
        <f t="shared" si="158"/>
        <v>15694800</v>
      </c>
      <c r="E235" s="1446">
        <f t="shared" si="158"/>
        <v>7742800</v>
      </c>
      <c r="F235" s="1447">
        <f t="shared" ref="F235:H235" si="159">F236</f>
        <v>2600000</v>
      </c>
      <c r="G235" s="1447">
        <f t="shared" si="159"/>
        <v>2647000</v>
      </c>
      <c r="H235" s="1447">
        <f t="shared" si="159"/>
        <v>2705000</v>
      </c>
      <c r="I235" s="1447">
        <v>0</v>
      </c>
      <c r="J235" s="1447">
        <v>0</v>
      </c>
      <c r="K235" s="1447">
        <v>0</v>
      </c>
      <c r="L235" s="1447">
        <v>0</v>
      </c>
      <c r="M235" s="694">
        <f t="shared" si="158"/>
        <v>7952000</v>
      </c>
      <c r="N235" s="694">
        <f t="shared" si="158"/>
        <v>5352000</v>
      </c>
      <c r="O235" s="3189"/>
    </row>
    <row r="236" spans="1:17" ht="15" customHeight="1" thickBot="1">
      <c r="A236" s="3631"/>
      <c r="B236" s="232" t="s">
        <v>176</v>
      </c>
      <c r="C236" s="3088"/>
      <c r="D236" s="1008">
        <f>E236+F236+G236+H236+I236+J236+K236+L236</f>
        <v>15694800</v>
      </c>
      <c r="E236" s="1008">
        <v>7742800</v>
      </c>
      <c r="F236" s="559">
        <v>2600000</v>
      </c>
      <c r="G236" s="559">
        <v>2647000</v>
      </c>
      <c r="H236" s="559">
        <v>2705000</v>
      </c>
      <c r="I236" s="559">
        <v>0</v>
      </c>
      <c r="J236" s="559">
        <v>0</v>
      </c>
      <c r="K236" s="559">
        <v>0</v>
      </c>
      <c r="L236" s="559">
        <v>0</v>
      </c>
      <c r="M236" s="823">
        <f>SUM(F236:K236)</f>
        <v>7952000</v>
      </c>
      <c r="N236" s="823">
        <f>SUM(G236:L236)</f>
        <v>5352000</v>
      </c>
      <c r="O236" s="3190"/>
    </row>
    <row r="237" spans="1:17" ht="27" customHeight="1">
      <c r="A237" s="3080" t="s">
        <v>64</v>
      </c>
      <c r="B237" s="782" t="s">
        <v>360</v>
      </c>
      <c r="C237" s="800" t="s">
        <v>109</v>
      </c>
      <c r="D237" s="800"/>
      <c r="E237" s="85"/>
      <c r="F237" s="802"/>
      <c r="G237" s="802"/>
      <c r="H237" s="802"/>
      <c r="I237" s="802"/>
      <c r="J237" s="802"/>
      <c r="K237" s="802"/>
      <c r="L237" s="802"/>
      <c r="M237" s="783"/>
      <c r="N237" s="783"/>
      <c r="O237" s="3560" t="s">
        <v>486</v>
      </c>
      <c r="Q237" s="203"/>
    </row>
    <row r="238" spans="1:17" ht="15" customHeight="1">
      <c r="A238" s="3080"/>
      <c r="B238" s="715" t="s">
        <v>10</v>
      </c>
      <c r="C238" s="801"/>
      <c r="D238" s="765">
        <f>D239</f>
        <v>503701</v>
      </c>
      <c r="E238" s="765">
        <f t="shared" ref="E238:L239" si="160">E239</f>
        <v>0</v>
      </c>
      <c r="F238" s="814">
        <f t="shared" si="160"/>
        <v>0</v>
      </c>
      <c r="G238" s="814">
        <f t="shared" si="160"/>
        <v>0</v>
      </c>
      <c r="H238" s="765">
        <f t="shared" si="160"/>
        <v>83899</v>
      </c>
      <c r="I238" s="765">
        <f t="shared" si="160"/>
        <v>83899</v>
      </c>
      <c r="J238" s="765">
        <f t="shared" si="160"/>
        <v>97429</v>
      </c>
      <c r="K238" s="765">
        <f t="shared" si="160"/>
        <v>113579</v>
      </c>
      <c r="L238" s="766">
        <f t="shared" si="160"/>
        <v>124895</v>
      </c>
      <c r="M238" s="793">
        <f>M239</f>
        <v>503701</v>
      </c>
      <c r="N238" s="793">
        <f>N239</f>
        <v>503701</v>
      </c>
      <c r="O238" s="3560"/>
    </row>
    <row r="239" spans="1:17" ht="15" customHeight="1">
      <c r="A239" s="3080"/>
      <c r="B239" s="768" t="s">
        <v>11</v>
      </c>
      <c r="C239" s="3566" t="s">
        <v>171</v>
      </c>
      <c r="D239" s="770">
        <f>D240</f>
        <v>503701</v>
      </c>
      <c r="E239" s="770">
        <f t="shared" si="160"/>
        <v>0</v>
      </c>
      <c r="F239" s="786">
        <f t="shared" si="160"/>
        <v>0</v>
      </c>
      <c r="G239" s="786">
        <f t="shared" si="160"/>
        <v>0</v>
      </c>
      <c r="H239" s="770">
        <f t="shared" si="160"/>
        <v>83899</v>
      </c>
      <c r="I239" s="770">
        <f t="shared" si="160"/>
        <v>83899</v>
      </c>
      <c r="J239" s="770">
        <f t="shared" si="160"/>
        <v>97429</v>
      </c>
      <c r="K239" s="770">
        <f t="shared" si="160"/>
        <v>113579</v>
      </c>
      <c r="L239" s="770">
        <f t="shared" si="160"/>
        <v>124895</v>
      </c>
      <c r="M239" s="794">
        <f>M240</f>
        <v>503701</v>
      </c>
      <c r="N239" s="794">
        <f>N240</f>
        <v>503701</v>
      </c>
      <c r="O239" s="3560"/>
    </row>
    <row r="240" spans="1:17" ht="15" customHeight="1" thickBot="1">
      <c r="A240" s="3081"/>
      <c r="B240" s="81" t="s">
        <v>12</v>
      </c>
      <c r="C240" s="3570"/>
      <c r="D240" s="1008">
        <f>E240+F240+G240+H240+I240+J240+K240+L240</f>
        <v>503701</v>
      </c>
      <c r="E240" s="1008">
        <v>0</v>
      </c>
      <c r="F240" s="1443">
        <v>0</v>
      </c>
      <c r="G240" s="1443">
        <v>0</v>
      </c>
      <c r="H240" s="1444">
        <v>83899</v>
      </c>
      <c r="I240" s="1444">
        <v>83899</v>
      </c>
      <c r="J240" s="1444">
        <v>97429</v>
      </c>
      <c r="K240" s="1444">
        <v>113579</v>
      </c>
      <c r="L240" s="1444">
        <v>124895</v>
      </c>
      <c r="M240" s="1445">
        <f>SUM(F240:L240)</f>
        <v>503701</v>
      </c>
      <c r="N240" s="1445">
        <f>SUM(G240:L240)</f>
        <v>503701</v>
      </c>
      <c r="O240" s="3561"/>
    </row>
    <row r="241" spans="1:15" ht="40.5" hidden="1" customHeight="1">
      <c r="A241" s="3625" t="s">
        <v>65</v>
      </c>
      <c r="B241" s="270"/>
      <c r="C241" s="262" t="s">
        <v>172</v>
      </c>
      <c r="D241" s="842"/>
      <c r="E241" s="843"/>
      <c r="F241" s="844"/>
      <c r="G241" s="844"/>
      <c r="H241" s="844"/>
      <c r="I241" s="843"/>
      <c r="J241" s="843"/>
      <c r="K241" s="843"/>
      <c r="L241" s="843"/>
      <c r="M241" s="845"/>
      <c r="N241" s="845"/>
      <c r="O241" s="3626" t="s">
        <v>219</v>
      </c>
    </row>
    <row r="242" spans="1:15" ht="17.25" hidden="1" customHeight="1">
      <c r="A242" s="3625"/>
      <c r="B242" s="138" t="s">
        <v>10</v>
      </c>
      <c r="C242" s="138"/>
      <c r="D242" s="237"/>
      <c r="E242" s="237"/>
      <c r="F242" s="272"/>
      <c r="G242" s="271">
        <f t="shared" ref="G242:N242" si="161">+G243</f>
        <v>0</v>
      </c>
      <c r="H242" s="271">
        <f t="shared" si="161"/>
        <v>0</v>
      </c>
      <c r="I242" s="272">
        <f t="shared" si="161"/>
        <v>0</v>
      </c>
      <c r="J242" s="272"/>
      <c r="K242" s="272"/>
      <c r="L242" s="272"/>
      <c r="M242" s="65">
        <f t="shared" si="161"/>
        <v>0</v>
      </c>
      <c r="N242" s="65">
        <f t="shared" si="161"/>
        <v>0</v>
      </c>
      <c r="O242" s="3626"/>
    </row>
    <row r="243" spans="1:15" ht="16.5" hidden="1" customHeight="1">
      <c r="A243" s="3625"/>
      <c r="B243" s="177" t="s">
        <v>220</v>
      </c>
      <c r="C243" s="3627" t="s">
        <v>218</v>
      </c>
      <c r="D243" s="273"/>
      <c r="E243" s="274"/>
      <c r="F243" s="274"/>
      <c r="G243" s="274">
        <f>G244</f>
        <v>0</v>
      </c>
      <c r="H243" s="274">
        <f>H244</f>
        <v>0</v>
      </c>
      <c r="I243" s="275">
        <f>I244</f>
        <v>0</v>
      </c>
      <c r="J243" s="275"/>
      <c r="K243" s="275"/>
      <c r="L243" s="275"/>
      <c r="M243" s="79">
        <f>+M244</f>
        <v>0</v>
      </c>
      <c r="N243" s="79">
        <f>+N244</f>
        <v>0</v>
      </c>
      <c r="O243" s="3626"/>
    </row>
    <row r="244" spans="1:15" ht="13.5" hidden="1" customHeight="1">
      <c r="A244" s="3625"/>
      <c r="B244" s="276" t="s">
        <v>62</v>
      </c>
      <c r="C244" s="3628"/>
      <c r="D244" s="277"/>
      <c r="E244" s="278"/>
      <c r="F244" s="278"/>
      <c r="G244" s="278">
        <v>0</v>
      </c>
      <c r="H244" s="278">
        <v>0</v>
      </c>
      <c r="I244" s="278">
        <v>0</v>
      </c>
      <c r="J244" s="278"/>
      <c r="K244" s="278"/>
      <c r="L244" s="278"/>
      <c r="M244" s="279"/>
      <c r="N244" s="279"/>
      <c r="O244" s="3626"/>
    </row>
    <row r="245" spans="1:15" ht="15.75" hidden="1" customHeight="1">
      <c r="A245" s="3625"/>
      <c r="B245" s="280" t="s">
        <v>22</v>
      </c>
      <c r="C245" s="22"/>
      <c r="D245" s="31"/>
      <c r="E245" s="199"/>
      <c r="F245" s="199"/>
      <c r="G245" s="199"/>
      <c r="H245" s="199">
        <f t="shared" ref="G245:I246" si="162">H246</f>
        <v>0</v>
      </c>
      <c r="I245" s="199">
        <f t="shared" si="162"/>
        <v>0</v>
      </c>
      <c r="J245" s="846"/>
      <c r="K245" s="846"/>
      <c r="L245" s="846"/>
      <c r="M245" s="3028" t="s">
        <v>61</v>
      </c>
      <c r="N245" s="3028" t="s">
        <v>61</v>
      </c>
      <c r="O245" s="3626"/>
    </row>
    <row r="246" spans="1:15" ht="16.5" hidden="1" customHeight="1">
      <c r="A246" s="3625"/>
      <c r="B246" s="177" t="s">
        <v>11</v>
      </c>
      <c r="C246" s="3599" t="s">
        <v>218</v>
      </c>
      <c r="D246" s="129"/>
      <c r="E246" s="50"/>
      <c r="F246" s="50"/>
      <c r="G246" s="50">
        <f t="shared" si="162"/>
        <v>0</v>
      </c>
      <c r="H246" s="50">
        <f t="shared" si="162"/>
        <v>0</v>
      </c>
      <c r="I246" s="50">
        <f t="shared" si="162"/>
        <v>0</v>
      </c>
      <c r="J246" s="303"/>
      <c r="K246" s="303"/>
      <c r="L246" s="303"/>
      <c r="M246" s="3028"/>
      <c r="N246" s="3028"/>
      <c r="O246" s="3626"/>
    </row>
    <row r="247" spans="1:15" ht="13.5" hidden="1" customHeight="1" thickBot="1">
      <c r="A247" s="3625"/>
      <c r="B247" s="2052" t="s">
        <v>62</v>
      </c>
      <c r="C247" s="3074"/>
      <c r="D247" s="281"/>
      <c r="E247" s="73"/>
      <c r="F247" s="72"/>
      <c r="G247" s="72">
        <v>0</v>
      </c>
      <c r="H247" s="72">
        <v>0</v>
      </c>
      <c r="I247" s="72">
        <v>0</v>
      </c>
      <c r="J247" s="56"/>
      <c r="K247" s="56"/>
      <c r="L247" s="56"/>
      <c r="M247" s="3029"/>
      <c r="N247" s="3029"/>
      <c r="O247" s="3626"/>
    </row>
    <row r="248" spans="1:15" ht="17.25" customHeight="1">
      <c r="A248" s="815" t="s">
        <v>466</v>
      </c>
      <c r="E248" s="735"/>
      <c r="O248" s="847"/>
    </row>
    <row r="249" spans="1:15" ht="11.25" hidden="1" customHeight="1">
      <c r="A249" s="3624"/>
      <c r="B249" s="3624"/>
      <c r="C249" s="3624"/>
      <c r="D249" s="3624"/>
      <c r="E249" s="3624"/>
      <c r="F249" s="3624"/>
      <c r="G249" s="3624"/>
      <c r="H249" s="3624"/>
      <c r="I249" s="3624"/>
      <c r="J249" s="3624"/>
      <c r="K249" s="3624"/>
      <c r="L249" s="3624"/>
      <c r="M249" s="3624"/>
      <c r="N249" s="3624"/>
      <c r="O249" s="3624"/>
    </row>
    <row r="250" spans="1:15" hidden="1">
      <c r="A250" s="3624"/>
      <c r="B250" s="3624"/>
      <c r="C250" s="3624"/>
      <c r="D250" s="3624"/>
      <c r="E250" s="3624"/>
      <c r="F250" s="3624"/>
      <c r="G250" s="3624"/>
      <c r="H250" s="3624"/>
      <c r="I250" s="3624"/>
      <c r="J250" s="3624"/>
      <c r="K250" s="3624"/>
      <c r="L250" s="3624"/>
      <c r="M250" s="3624"/>
      <c r="N250" s="3624"/>
      <c r="O250" s="3624"/>
    </row>
    <row r="251" spans="1:15" ht="12.75" hidden="1">
      <c r="B251" s="1547" t="s">
        <v>408</v>
      </c>
      <c r="C251" s="1538"/>
      <c r="D251" s="1538"/>
      <c r="E251" s="1538"/>
      <c r="F251" s="1538"/>
      <c r="G251" s="1538"/>
      <c r="H251" s="1538"/>
      <c r="I251" s="1538"/>
      <c r="J251" s="1538"/>
      <c r="K251" s="1538"/>
      <c r="L251" s="1538"/>
      <c r="O251" s="847"/>
    </row>
    <row r="252" spans="1:15" ht="12.75" hidden="1">
      <c r="B252" s="1499" t="s">
        <v>409</v>
      </c>
      <c r="C252" s="1538"/>
      <c r="D252" s="1544">
        <f>D76+D101+D123+D132+D154+D176+D185+D208</f>
        <v>2915661</v>
      </c>
      <c r="E252" s="1544">
        <f t="shared" ref="E252:L252" si="163">E76+E101+E123+E132+E154+E176+E185+E208</f>
        <v>0</v>
      </c>
      <c r="F252" s="1544">
        <f t="shared" si="163"/>
        <v>2133</v>
      </c>
      <c r="G252" s="1544">
        <f t="shared" si="163"/>
        <v>642573</v>
      </c>
      <c r="H252" s="1544">
        <f t="shared" si="163"/>
        <v>1328386</v>
      </c>
      <c r="I252" s="1544">
        <f t="shared" si="163"/>
        <v>618806</v>
      </c>
      <c r="J252" s="1544">
        <f t="shared" si="163"/>
        <v>323763</v>
      </c>
      <c r="K252" s="1544">
        <f t="shared" si="163"/>
        <v>0</v>
      </c>
      <c r="L252" s="1544">
        <f t="shared" si="163"/>
        <v>0</v>
      </c>
      <c r="O252" s="847"/>
    </row>
    <row r="253" spans="1:15" ht="12.75" hidden="1">
      <c r="B253" s="1499" t="s">
        <v>410</v>
      </c>
      <c r="C253" s="1538"/>
      <c r="D253" s="1544">
        <f>D31+D40+D49+D58+D67+D86+D110+D141+D163+D195+D220+D218</f>
        <v>98345866</v>
      </c>
      <c r="E253" s="1544">
        <f t="shared" ref="E253:L253" si="164">E31+E40+E49+E58+E67+E86+E110+E141+E163+E195+E220+E218</f>
        <v>120000</v>
      </c>
      <c r="F253" s="1544">
        <f t="shared" si="164"/>
        <v>130000</v>
      </c>
      <c r="G253" s="1544">
        <f t="shared" si="164"/>
        <v>77306542</v>
      </c>
      <c r="H253" s="1544">
        <f t="shared" si="164"/>
        <v>11557863</v>
      </c>
      <c r="I253" s="1544">
        <f t="shared" si="164"/>
        <v>6207436</v>
      </c>
      <c r="J253" s="1544">
        <f t="shared" si="164"/>
        <v>3024025</v>
      </c>
      <c r="K253" s="1544">
        <f t="shared" si="164"/>
        <v>0</v>
      </c>
      <c r="L253" s="1544">
        <f t="shared" si="164"/>
        <v>0</v>
      </c>
      <c r="O253" s="847"/>
    </row>
    <row r="254" spans="1:15" ht="12.75" hidden="1">
      <c r="B254" s="1499" t="s">
        <v>411</v>
      </c>
      <c r="C254" s="1538"/>
      <c r="D254" s="1545">
        <f>D252+D253</f>
        <v>101261527</v>
      </c>
      <c r="E254" s="1545">
        <f t="shared" ref="E254:I254" si="165">E252+E253</f>
        <v>120000</v>
      </c>
      <c r="F254" s="1545">
        <f t="shared" si="165"/>
        <v>132133</v>
      </c>
      <c r="G254" s="1545">
        <f t="shared" si="165"/>
        <v>77949115</v>
      </c>
      <c r="H254" s="1545">
        <f t="shared" si="165"/>
        <v>12886249</v>
      </c>
      <c r="I254" s="1545">
        <f t="shared" si="165"/>
        <v>6826242</v>
      </c>
      <c r="J254" s="1545">
        <f t="shared" ref="J254:L254" si="166">J252+J253</f>
        <v>3347788</v>
      </c>
      <c r="K254" s="1545">
        <f t="shared" si="166"/>
        <v>0</v>
      </c>
      <c r="L254" s="1545">
        <f t="shared" si="166"/>
        <v>0</v>
      </c>
      <c r="O254" s="847"/>
    </row>
    <row r="255" spans="1:15" ht="12.75" hidden="1">
      <c r="B255" s="1541" t="s">
        <v>42</v>
      </c>
      <c r="C255" s="1543"/>
      <c r="D255" s="1546">
        <f>D254-D18</f>
        <v>0</v>
      </c>
      <c r="E255" s="1546">
        <f t="shared" ref="E255:L255" si="167">E254-E18</f>
        <v>0</v>
      </c>
      <c r="F255" s="1546">
        <f t="shared" si="167"/>
        <v>0</v>
      </c>
      <c r="G255" s="1546">
        <f t="shared" si="167"/>
        <v>0</v>
      </c>
      <c r="H255" s="1546">
        <f t="shared" si="167"/>
        <v>0</v>
      </c>
      <c r="I255" s="1546">
        <f t="shared" si="167"/>
        <v>0</v>
      </c>
      <c r="J255" s="1546">
        <f t="shared" si="167"/>
        <v>0</v>
      </c>
      <c r="K255" s="1546">
        <f t="shared" si="167"/>
        <v>0</v>
      </c>
      <c r="L255" s="1546">
        <f t="shared" si="167"/>
        <v>0</v>
      </c>
      <c r="O255" s="847"/>
    </row>
    <row r="256" spans="1:15">
      <c r="E256" s="735"/>
      <c r="O256" s="847"/>
    </row>
    <row r="257" spans="5:15">
      <c r="E257" s="735"/>
      <c r="O257" s="847"/>
    </row>
    <row r="258" spans="5:15">
      <c r="E258" s="735"/>
      <c r="O258" s="847"/>
    </row>
    <row r="259" spans="5:15">
      <c r="E259" s="735"/>
      <c r="O259" s="847"/>
    </row>
    <row r="260" spans="5:15">
      <c r="E260" s="735"/>
      <c r="O260" s="847"/>
    </row>
    <row r="261" spans="5:15">
      <c r="E261" s="735"/>
      <c r="O261" s="847"/>
    </row>
    <row r="262" spans="5:15">
      <c r="E262" s="735"/>
      <c r="O262" s="847"/>
    </row>
    <row r="263" spans="5:15">
      <c r="E263" s="735"/>
      <c r="O263" s="847"/>
    </row>
    <row r="264" spans="5:15">
      <c r="E264" s="735"/>
      <c r="O264" s="847"/>
    </row>
    <row r="265" spans="5:15">
      <c r="E265" s="735"/>
      <c r="O265" s="847"/>
    </row>
    <row r="266" spans="5:15">
      <c r="E266" s="735"/>
      <c r="O266" s="847"/>
    </row>
    <row r="267" spans="5:15">
      <c r="E267" s="735"/>
      <c r="O267" s="847"/>
    </row>
    <row r="268" spans="5:15">
      <c r="E268" s="735"/>
      <c r="O268" s="847"/>
    </row>
    <row r="269" spans="5:15">
      <c r="E269" s="735"/>
      <c r="O269" s="847"/>
    </row>
    <row r="270" spans="5:15">
      <c r="E270" s="735"/>
      <c r="O270" s="847"/>
    </row>
    <row r="271" spans="5:15">
      <c r="E271" s="735"/>
      <c r="O271" s="847"/>
    </row>
    <row r="272" spans="5:15">
      <c r="E272" s="735"/>
      <c r="O272" s="847"/>
    </row>
    <row r="273" spans="5:15">
      <c r="E273" s="735"/>
      <c r="O273" s="847"/>
    </row>
    <row r="274" spans="5:15">
      <c r="E274" s="735"/>
      <c r="O274" s="847"/>
    </row>
    <row r="275" spans="5:15">
      <c r="E275" s="735"/>
      <c r="O275" s="847"/>
    </row>
    <row r="276" spans="5:15">
      <c r="E276" s="735"/>
      <c r="O276" s="847"/>
    </row>
    <row r="277" spans="5:15">
      <c r="E277" s="735"/>
      <c r="O277" s="847"/>
    </row>
    <row r="278" spans="5:15">
      <c r="E278" s="735"/>
      <c r="O278" s="847"/>
    </row>
    <row r="279" spans="5:15">
      <c r="E279" s="735"/>
      <c r="O279" s="847"/>
    </row>
    <row r="280" spans="5:15">
      <c r="E280" s="735"/>
      <c r="O280" s="847"/>
    </row>
    <row r="281" spans="5:15">
      <c r="E281" s="735"/>
      <c r="O281" s="847"/>
    </row>
    <row r="282" spans="5:15">
      <c r="E282" s="735"/>
      <c r="O282" s="847"/>
    </row>
    <row r="283" spans="5:15">
      <c r="E283" s="735"/>
      <c r="O283" s="847"/>
    </row>
    <row r="284" spans="5:15">
      <c r="E284" s="735"/>
      <c r="O284" s="847"/>
    </row>
    <row r="285" spans="5:15">
      <c r="E285" s="735"/>
      <c r="O285" s="847"/>
    </row>
    <row r="286" spans="5:15">
      <c r="E286" s="735"/>
      <c r="O286" s="847"/>
    </row>
    <row r="287" spans="5:15">
      <c r="E287" s="735"/>
      <c r="O287" s="847"/>
    </row>
    <row r="288" spans="5:15">
      <c r="E288" s="735"/>
      <c r="O288" s="847"/>
    </row>
    <row r="289" spans="5:15">
      <c r="E289" s="735"/>
      <c r="O289" s="847"/>
    </row>
    <row r="290" spans="5:15">
      <c r="E290" s="735"/>
      <c r="O290" s="847"/>
    </row>
    <row r="291" spans="5:15">
      <c r="E291" s="735"/>
      <c r="O291" s="847"/>
    </row>
    <row r="292" spans="5:15">
      <c r="E292" s="735"/>
      <c r="O292" s="847"/>
    </row>
    <row r="293" spans="5:15">
      <c r="E293" s="735"/>
      <c r="O293" s="847"/>
    </row>
    <row r="294" spans="5:15">
      <c r="E294" s="735"/>
      <c r="O294" s="847"/>
    </row>
    <row r="295" spans="5:15">
      <c r="E295" s="735"/>
      <c r="O295" s="847"/>
    </row>
    <row r="296" spans="5:15">
      <c r="E296" s="735"/>
      <c r="O296" s="847"/>
    </row>
    <row r="297" spans="5:15">
      <c r="E297" s="735"/>
      <c r="O297" s="847"/>
    </row>
    <row r="298" spans="5:15">
      <c r="E298" s="735"/>
      <c r="O298" s="847"/>
    </row>
    <row r="299" spans="5:15">
      <c r="E299" s="735"/>
      <c r="O299" s="847"/>
    </row>
    <row r="300" spans="5:15">
      <c r="E300" s="735"/>
      <c r="O300" s="847"/>
    </row>
    <row r="301" spans="5:15">
      <c r="E301" s="735"/>
      <c r="O301" s="847"/>
    </row>
    <row r="302" spans="5:15">
      <c r="E302" s="735"/>
      <c r="O302" s="847"/>
    </row>
    <row r="303" spans="5:15">
      <c r="E303" s="735"/>
      <c r="O303" s="847"/>
    </row>
    <row r="304" spans="5:15">
      <c r="E304" s="735"/>
      <c r="O304" s="847"/>
    </row>
    <row r="305" spans="5:15">
      <c r="E305" s="735"/>
      <c r="O305" s="847"/>
    </row>
    <row r="306" spans="5:15">
      <c r="E306" s="735"/>
      <c r="O306" s="847"/>
    </row>
    <row r="307" spans="5:15">
      <c r="E307" s="735"/>
      <c r="O307" s="847"/>
    </row>
    <row r="308" spans="5:15">
      <c r="E308" s="735"/>
      <c r="O308" s="847"/>
    </row>
    <row r="309" spans="5:15">
      <c r="E309" s="735"/>
      <c r="O309" s="847"/>
    </row>
    <row r="310" spans="5:15">
      <c r="E310" s="735"/>
      <c r="O310" s="847"/>
    </row>
    <row r="311" spans="5:15">
      <c r="E311" s="735"/>
      <c r="O311" s="847"/>
    </row>
    <row r="312" spans="5:15">
      <c r="E312" s="735"/>
      <c r="O312" s="847"/>
    </row>
    <row r="313" spans="5:15">
      <c r="E313" s="735"/>
      <c r="O313" s="847"/>
    </row>
    <row r="314" spans="5:15">
      <c r="E314" s="735"/>
      <c r="O314" s="847"/>
    </row>
    <row r="315" spans="5:15">
      <c r="E315" s="735"/>
      <c r="O315" s="847"/>
    </row>
    <row r="316" spans="5:15">
      <c r="E316" s="735"/>
      <c r="O316" s="847"/>
    </row>
    <row r="317" spans="5:15">
      <c r="E317" s="735"/>
      <c r="O317" s="847"/>
    </row>
    <row r="318" spans="5:15">
      <c r="E318" s="735"/>
      <c r="O318" s="847"/>
    </row>
    <row r="319" spans="5:15">
      <c r="E319" s="735"/>
      <c r="O319" s="847"/>
    </row>
    <row r="320" spans="5:15">
      <c r="E320" s="735"/>
      <c r="O320" s="847"/>
    </row>
    <row r="321" spans="5:15">
      <c r="E321" s="735"/>
      <c r="O321" s="847"/>
    </row>
    <row r="322" spans="5:15">
      <c r="E322" s="735"/>
      <c r="O322" s="847"/>
    </row>
    <row r="323" spans="5:15">
      <c r="E323" s="735"/>
      <c r="O323" s="847"/>
    </row>
    <row r="324" spans="5:15">
      <c r="E324" s="735"/>
      <c r="O324" s="847"/>
    </row>
    <row r="325" spans="5:15">
      <c r="E325" s="735"/>
      <c r="O325" s="847"/>
    </row>
    <row r="326" spans="5:15">
      <c r="E326" s="735"/>
      <c r="O326" s="847"/>
    </row>
    <row r="327" spans="5:15">
      <c r="E327" s="735"/>
      <c r="O327" s="847"/>
    </row>
    <row r="328" spans="5:15">
      <c r="E328" s="735"/>
      <c r="O328" s="847"/>
    </row>
    <row r="329" spans="5:15">
      <c r="E329" s="735"/>
      <c r="O329" s="847"/>
    </row>
    <row r="330" spans="5:15">
      <c r="E330" s="735"/>
      <c r="O330" s="847"/>
    </row>
    <row r="331" spans="5:15">
      <c r="E331" s="735"/>
      <c r="O331" s="847"/>
    </row>
    <row r="332" spans="5:15">
      <c r="E332" s="735"/>
      <c r="O332" s="847"/>
    </row>
    <row r="333" spans="5:15">
      <c r="E333" s="735"/>
      <c r="O333" s="847"/>
    </row>
    <row r="334" spans="5:15">
      <c r="E334" s="735"/>
      <c r="O334" s="847"/>
    </row>
    <row r="335" spans="5:15">
      <c r="E335" s="735"/>
      <c r="O335" s="847"/>
    </row>
    <row r="336" spans="5:15">
      <c r="E336" s="735"/>
      <c r="O336" s="847"/>
    </row>
    <row r="337" spans="5:15">
      <c r="E337" s="735"/>
      <c r="O337" s="847"/>
    </row>
    <row r="338" spans="5:15">
      <c r="E338" s="735"/>
      <c r="O338" s="847"/>
    </row>
    <row r="339" spans="5:15">
      <c r="E339" s="735"/>
      <c r="O339" s="847"/>
    </row>
    <row r="340" spans="5:15">
      <c r="E340" s="735"/>
      <c r="O340" s="847"/>
    </row>
    <row r="341" spans="5:15">
      <c r="E341" s="735"/>
      <c r="O341" s="847"/>
    </row>
    <row r="342" spans="5:15">
      <c r="E342" s="735"/>
      <c r="O342" s="847"/>
    </row>
    <row r="343" spans="5:15">
      <c r="E343" s="735"/>
      <c r="O343" s="847"/>
    </row>
    <row r="344" spans="5:15">
      <c r="E344" s="735"/>
      <c r="O344" s="847"/>
    </row>
    <row r="345" spans="5:15">
      <c r="E345" s="735"/>
      <c r="O345" s="847"/>
    </row>
    <row r="346" spans="5:15">
      <c r="E346" s="735"/>
      <c r="O346" s="847"/>
    </row>
    <row r="347" spans="5:15">
      <c r="E347" s="735"/>
      <c r="O347" s="847"/>
    </row>
    <row r="348" spans="5:15">
      <c r="E348" s="735"/>
      <c r="O348" s="847"/>
    </row>
    <row r="349" spans="5:15">
      <c r="E349" s="735"/>
      <c r="O349" s="847"/>
    </row>
    <row r="350" spans="5:15">
      <c r="E350" s="735"/>
      <c r="O350" s="847"/>
    </row>
    <row r="351" spans="5:15">
      <c r="E351" s="735"/>
      <c r="O351" s="847"/>
    </row>
    <row r="352" spans="5:15">
      <c r="E352" s="735"/>
      <c r="O352" s="847"/>
    </row>
    <row r="353" spans="5:15">
      <c r="E353" s="735"/>
      <c r="O353" s="847"/>
    </row>
    <row r="354" spans="5:15">
      <c r="E354" s="735"/>
      <c r="O354" s="847"/>
    </row>
    <row r="355" spans="5:15">
      <c r="E355" s="735"/>
      <c r="O355" s="847"/>
    </row>
    <row r="356" spans="5:15">
      <c r="E356" s="735"/>
      <c r="O356" s="847"/>
    </row>
    <row r="357" spans="5:15">
      <c r="E357" s="735"/>
      <c r="O357" s="847"/>
    </row>
    <row r="358" spans="5:15">
      <c r="E358" s="735"/>
      <c r="O358" s="847"/>
    </row>
    <row r="359" spans="5:15">
      <c r="E359" s="735"/>
      <c r="O359" s="847"/>
    </row>
    <row r="360" spans="5:15">
      <c r="E360" s="735"/>
      <c r="O360" s="847"/>
    </row>
    <row r="361" spans="5:15">
      <c r="E361" s="735"/>
      <c r="O361" s="847"/>
    </row>
    <row r="362" spans="5:15">
      <c r="E362" s="735"/>
      <c r="O362" s="847"/>
    </row>
    <row r="363" spans="5:15">
      <c r="E363" s="735"/>
      <c r="O363" s="847"/>
    </row>
    <row r="364" spans="5:15">
      <c r="E364" s="735"/>
      <c r="O364" s="847"/>
    </row>
    <row r="365" spans="5:15">
      <c r="E365" s="735"/>
      <c r="O365" s="847"/>
    </row>
    <row r="366" spans="5:15">
      <c r="E366" s="735"/>
      <c r="O366" s="847"/>
    </row>
    <row r="367" spans="5:15">
      <c r="E367" s="735"/>
      <c r="O367" s="847"/>
    </row>
    <row r="368" spans="5:15">
      <c r="E368" s="735"/>
      <c r="O368" s="847"/>
    </row>
    <row r="369" spans="5:15">
      <c r="E369" s="735"/>
      <c r="O369" s="847"/>
    </row>
    <row r="370" spans="5:15">
      <c r="E370" s="735"/>
      <c r="O370" s="847"/>
    </row>
    <row r="371" spans="5:15">
      <c r="E371" s="735"/>
      <c r="O371" s="847"/>
    </row>
    <row r="372" spans="5:15">
      <c r="E372" s="735"/>
      <c r="O372" s="847"/>
    </row>
    <row r="373" spans="5:15">
      <c r="E373" s="735"/>
      <c r="O373" s="847"/>
    </row>
    <row r="374" spans="5:15">
      <c r="E374" s="735"/>
      <c r="O374" s="847"/>
    </row>
    <row r="375" spans="5:15">
      <c r="E375" s="735"/>
      <c r="O375" s="847"/>
    </row>
    <row r="376" spans="5:15">
      <c r="E376" s="735"/>
      <c r="O376" s="847"/>
    </row>
    <row r="377" spans="5:15">
      <c r="E377" s="735"/>
      <c r="O377" s="847"/>
    </row>
    <row r="378" spans="5:15">
      <c r="E378" s="735"/>
      <c r="O378" s="847"/>
    </row>
    <row r="379" spans="5:15">
      <c r="E379" s="735"/>
      <c r="O379" s="847"/>
    </row>
    <row r="380" spans="5:15">
      <c r="E380" s="735"/>
      <c r="O380" s="847"/>
    </row>
    <row r="381" spans="5:15">
      <c r="E381" s="735"/>
      <c r="O381" s="847"/>
    </row>
    <row r="382" spans="5:15">
      <c r="E382" s="735"/>
      <c r="O382" s="847"/>
    </row>
    <row r="383" spans="5:15">
      <c r="E383" s="735"/>
      <c r="O383" s="847"/>
    </row>
    <row r="384" spans="5:15">
      <c r="E384" s="735"/>
      <c r="O384" s="847"/>
    </row>
    <row r="385" spans="5:15">
      <c r="E385" s="735"/>
      <c r="O385" s="847"/>
    </row>
    <row r="386" spans="5:15">
      <c r="E386" s="735"/>
      <c r="O386" s="847"/>
    </row>
    <row r="387" spans="5:15">
      <c r="E387" s="735"/>
      <c r="O387" s="847"/>
    </row>
    <row r="388" spans="5:15">
      <c r="E388" s="735"/>
      <c r="O388" s="847"/>
    </row>
    <row r="389" spans="5:15">
      <c r="E389" s="735"/>
      <c r="O389" s="847"/>
    </row>
    <row r="390" spans="5:15">
      <c r="E390" s="735"/>
      <c r="O390" s="847"/>
    </row>
    <row r="391" spans="5:15">
      <c r="E391" s="735"/>
      <c r="O391" s="847"/>
    </row>
    <row r="392" spans="5:15">
      <c r="E392" s="735"/>
      <c r="O392" s="847"/>
    </row>
    <row r="393" spans="5:15">
      <c r="E393" s="735"/>
      <c r="O393" s="847"/>
    </row>
    <row r="394" spans="5:15">
      <c r="E394" s="735"/>
      <c r="O394" s="847"/>
    </row>
    <row r="395" spans="5:15">
      <c r="E395" s="735"/>
      <c r="O395" s="847"/>
    </row>
    <row r="396" spans="5:15">
      <c r="E396" s="735"/>
      <c r="O396" s="847"/>
    </row>
    <row r="397" spans="5:15">
      <c r="E397" s="735"/>
      <c r="O397" s="847"/>
    </row>
    <row r="398" spans="5:15">
      <c r="E398" s="735"/>
      <c r="O398" s="847"/>
    </row>
    <row r="399" spans="5:15">
      <c r="E399" s="735"/>
      <c r="O399" s="847"/>
    </row>
    <row r="400" spans="5:15">
      <c r="E400" s="735"/>
      <c r="O400" s="847"/>
    </row>
    <row r="401" spans="5:15">
      <c r="E401" s="735"/>
      <c r="O401" s="847"/>
    </row>
    <row r="402" spans="5:15">
      <c r="E402" s="735"/>
      <c r="O402" s="847"/>
    </row>
    <row r="403" spans="5:15">
      <c r="E403" s="735"/>
      <c r="O403" s="847"/>
    </row>
    <row r="404" spans="5:15">
      <c r="E404" s="735"/>
      <c r="O404" s="847"/>
    </row>
    <row r="405" spans="5:15">
      <c r="E405" s="735"/>
      <c r="O405" s="847"/>
    </row>
    <row r="406" spans="5:15">
      <c r="E406" s="735"/>
      <c r="O406" s="847"/>
    </row>
    <row r="407" spans="5:15">
      <c r="E407" s="735"/>
      <c r="O407" s="847"/>
    </row>
    <row r="408" spans="5:15">
      <c r="E408" s="735"/>
      <c r="O408" s="847"/>
    </row>
    <row r="409" spans="5:15">
      <c r="E409" s="735"/>
      <c r="O409" s="847"/>
    </row>
    <row r="410" spans="5:15">
      <c r="E410" s="735"/>
      <c r="O410" s="847"/>
    </row>
    <row r="411" spans="5:15">
      <c r="E411" s="735"/>
      <c r="O411" s="847"/>
    </row>
    <row r="412" spans="5:15">
      <c r="E412" s="735"/>
      <c r="O412" s="847"/>
    </row>
    <row r="413" spans="5:15">
      <c r="E413" s="735"/>
      <c r="O413" s="847"/>
    </row>
    <row r="414" spans="5:15">
      <c r="E414" s="735"/>
      <c r="O414" s="847"/>
    </row>
    <row r="415" spans="5:15">
      <c r="E415" s="735"/>
      <c r="O415" s="847"/>
    </row>
    <row r="416" spans="5:15">
      <c r="E416" s="735"/>
      <c r="O416" s="847"/>
    </row>
    <row r="417" spans="5:15">
      <c r="E417" s="735"/>
      <c r="O417" s="847"/>
    </row>
    <row r="418" spans="5:15">
      <c r="E418" s="735"/>
      <c r="O418" s="847"/>
    </row>
    <row r="419" spans="5:15">
      <c r="E419" s="735"/>
      <c r="O419" s="847"/>
    </row>
    <row r="420" spans="5:15">
      <c r="E420" s="735"/>
      <c r="O420" s="847"/>
    </row>
    <row r="421" spans="5:15">
      <c r="E421" s="735"/>
      <c r="O421" s="847"/>
    </row>
    <row r="422" spans="5:15">
      <c r="E422" s="735"/>
      <c r="O422" s="847"/>
    </row>
    <row r="423" spans="5:15">
      <c r="E423" s="735"/>
      <c r="O423" s="847"/>
    </row>
    <row r="424" spans="5:15">
      <c r="E424" s="735"/>
      <c r="O424" s="847"/>
    </row>
    <row r="425" spans="5:15">
      <c r="E425" s="735"/>
      <c r="O425" s="847"/>
    </row>
    <row r="426" spans="5:15">
      <c r="E426" s="735"/>
      <c r="O426" s="847"/>
    </row>
    <row r="427" spans="5:15">
      <c r="E427" s="735"/>
      <c r="O427" s="847"/>
    </row>
    <row r="428" spans="5:15">
      <c r="E428" s="735"/>
      <c r="O428" s="847"/>
    </row>
    <row r="429" spans="5:15">
      <c r="E429" s="735"/>
      <c r="O429" s="847"/>
    </row>
    <row r="430" spans="5:15">
      <c r="E430" s="735"/>
      <c r="O430" s="847"/>
    </row>
    <row r="431" spans="5:15">
      <c r="E431" s="735"/>
      <c r="O431" s="847"/>
    </row>
    <row r="432" spans="5:15">
      <c r="E432" s="735"/>
      <c r="O432" s="847"/>
    </row>
    <row r="433" spans="5:15">
      <c r="E433" s="735"/>
      <c r="O433" s="847"/>
    </row>
    <row r="434" spans="5:15">
      <c r="E434" s="735"/>
      <c r="O434" s="847"/>
    </row>
    <row r="435" spans="5:15">
      <c r="E435" s="735"/>
      <c r="O435" s="847"/>
    </row>
    <row r="436" spans="5:15">
      <c r="E436" s="735"/>
      <c r="O436" s="847"/>
    </row>
    <row r="437" spans="5:15">
      <c r="E437" s="735"/>
      <c r="O437" s="847"/>
    </row>
    <row r="438" spans="5:15">
      <c r="E438" s="735"/>
      <c r="O438" s="847"/>
    </row>
    <row r="439" spans="5:15">
      <c r="E439" s="735"/>
      <c r="O439" s="847"/>
    </row>
    <row r="440" spans="5:15">
      <c r="E440" s="735"/>
      <c r="O440" s="847"/>
    </row>
    <row r="441" spans="5:15">
      <c r="E441" s="735"/>
      <c r="O441" s="847"/>
    </row>
    <row r="442" spans="5:15">
      <c r="E442" s="735"/>
      <c r="O442" s="847"/>
    </row>
    <row r="443" spans="5:15">
      <c r="E443" s="735"/>
      <c r="O443" s="847"/>
    </row>
    <row r="444" spans="5:15">
      <c r="E444" s="735"/>
      <c r="O444" s="847"/>
    </row>
    <row r="445" spans="5:15">
      <c r="E445" s="735"/>
      <c r="O445" s="847"/>
    </row>
    <row r="446" spans="5:15">
      <c r="E446" s="735"/>
      <c r="O446" s="847"/>
    </row>
    <row r="447" spans="5:15">
      <c r="E447" s="735"/>
      <c r="O447" s="847"/>
    </row>
    <row r="448" spans="5:15">
      <c r="E448" s="735"/>
      <c r="O448" s="847"/>
    </row>
    <row r="449" spans="5:15">
      <c r="E449" s="735"/>
      <c r="O449" s="847"/>
    </row>
    <row r="450" spans="5:15">
      <c r="E450" s="735"/>
      <c r="O450" s="847"/>
    </row>
    <row r="451" spans="5:15">
      <c r="E451" s="735"/>
      <c r="O451" s="847"/>
    </row>
    <row r="452" spans="5:15">
      <c r="E452" s="735"/>
      <c r="O452" s="847"/>
    </row>
    <row r="453" spans="5:15">
      <c r="E453" s="735"/>
      <c r="O453" s="847"/>
    </row>
    <row r="454" spans="5:15">
      <c r="E454" s="735"/>
      <c r="O454" s="847"/>
    </row>
    <row r="455" spans="5:15">
      <c r="E455" s="735"/>
      <c r="O455" s="847"/>
    </row>
    <row r="456" spans="5:15">
      <c r="E456" s="735"/>
      <c r="O456" s="847"/>
    </row>
    <row r="457" spans="5:15">
      <c r="E457" s="735"/>
      <c r="O457" s="847"/>
    </row>
    <row r="458" spans="5:15">
      <c r="E458" s="735"/>
      <c r="O458" s="847"/>
    </row>
    <row r="459" spans="5:15">
      <c r="E459" s="735"/>
      <c r="O459" s="847"/>
    </row>
    <row r="460" spans="5:15">
      <c r="E460" s="735"/>
      <c r="O460" s="847"/>
    </row>
    <row r="461" spans="5:15">
      <c r="E461" s="735"/>
      <c r="O461" s="847"/>
    </row>
    <row r="462" spans="5:15">
      <c r="E462" s="735"/>
      <c r="O462" s="847"/>
    </row>
    <row r="463" spans="5:15">
      <c r="E463" s="735"/>
      <c r="O463" s="847"/>
    </row>
    <row r="464" spans="5:15">
      <c r="E464" s="735"/>
      <c r="O464" s="847"/>
    </row>
    <row r="465" spans="5:15">
      <c r="E465" s="735"/>
      <c r="O465" s="847"/>
    </row>
    <row r="466" spans="5:15">
      <c r="E466" s="735"/>
      <c r="O466" s="847"/>
    </row>
    <row r="467" spans="5:15">
      <c r="E467" s="735"/>
      <c r="O467" s="847"/>
    </row>
    <row r="468" spans="5:15">
      <c r="E468" s="735"/>
      <c r="O468" s="847"/>
    </row>
    <row r="469" spans="5:15">
      <c r="E469" s="735"/>
      <c r="O469" s="847"/>
    </row>
    <row r="470" spans="5:15">
      <c r="E470" s="735"/>
      <c r="O470" s="847"/>
    </row>
    <row r="471" spans="5:15">
      <c r="E471" s="735"/>
      <c r="O471" s="847"/>
    </row>
    <row r="472" spans="5:15">
      <c r="E472" s="735"/>
      <c r="O472" s="847"/>
    </row>
    <row r="473" spans="5:15">
      <c r="E473" s="735"/>
      <c r="O473" s="847"/>
    </row>
    <row r="474" spans="5:15">
      <c r="E474" s="735"/>
      <c r="O474" s="847"/>
    </row>
    <row r="475" spans="5:15">
      <c r="E475" s="735"/>
      <c r="O475" s="847"/>
    </row>
    <row r="476" spans="5:15">
      <c r="E476" s="735"/>
      <c r="O476" s="847"/>
    </row>
    <row r="477" spans="5:15">
      <c r="E477" s="735"/>
      <c r="O477" s="847"/>
    </row>
    <row r="478" spans="5:15">
      <c r="E478" s="735"/>
      <c r="O478" s="847"/>
    </row>
    <row r="479" spans="5:15">
      <c r="E479" s="735"/>
      <c r="O479" s="847"/>
    </row>
    <row r="480" spans="5:15">
      <c r="E480" s="735"/>
      <c r="O480" s="847"/>
    </row>
    <row r="481" spans="5:15">
      <c r="E481" s="735"/>
      <c r="O481" s="847"/>
    </row>
    <row r="482" spans="5:15">
      <c r="E482" s="735"/>
      <c r="O482" s="847"/>
    </row>
    <row r="483" spans="5:15">
      <c r="E483" s="735"/>
      <c r="O483" s="847"/>
    </row>
    <row r="484" spans="5:15">
      <c r="E484" s="735"/>
      <c r="O484" s="847"/>
    </row>
    <row r="485" spans="5:15">
      <c r="E485" s="735"/>
      <c r="O485" s="847"/>
    </row>
    <row r="486" spans="5:15">
      <c r="E486" s="735"/>
      <c r="O486" s="847"/>
    </row>
    <row r="487" spans="5:15">
      <c r="E487" s="735"/>
      <c r="O487" s="847"/>
    </row>
    <row r="488" spans="5:15">
      <c r="E488" s="735"/>
      <c r="O488" s="847"/>
    </row>
    <row r="489" spans="5:15">
      <c r="E489" s="735"/>
      <c r="O489" s="847"/>
    </row>
    <row r="490" spans="5:15">
      <c r="E490" s="735"/>
      <c r="O490" s="847"/>
    </row>
    <row r="491" spans="5:15">
      <c r="E491" s="735"/>
      <c r="O491" s="847"/>
    </row>
    <row r="492" spans="5:15">
      <c r="E492" s="735"/>
      <c r="O492" s="847"/>
    </row>
    <row r="493" spans="5:15">
      <c r="E493" s="735"/>
      <c r="O493" s="847"/>
    </row>
    <row r="494" spans="5:15">
      <c r="E494" s="735"/>
      <c r="O494" s="847"/>
    </row>
    <row r="495" spans="5:15">
      <c r="E495" s="735"/>
      <c r="O495" s="847"/>
    </row>
    <row r="496" spans="5:15">
      <c r="E496" s="735"/>
      <c r="O496" s="847"/>
    </row>
    <row r="497" spans="5:15">
      <c r="E497" s="735"/>
      <c r="O497" s="847"/>
    </row>
    <row r="498" spans="5:15">
      <c r="E498" s="735"/>
      <c r="O498" s="847"/>
    </row>
    <row r="499" spans="5:15">
      <c r="E499" s="735"/>
      <c r="O499" s="847"/>
    </row>
    <row r="500" spans="5:15">
      <c r="E500" s="735"/>
      <c r="O500" s="847"/>
    </row>
    <row r="501" spans="5:15">
      <c r="E501" s="735"/>
      <c r="O501" s="847"/>
    </row>
    <row r="502" spans="5:15">
      <c r="E502" s="735"/>
      <c r="O502" s="847"/>
    </row>
    <row r="503" spans="5:15">
      <c r="E503" s="735"/>
      <c r="O503" s="847"/>
    </row>
    <row r="504" spans="5:15">
      <c r="E504" s="735"/>
      <c r="O504" s="847"/>
    </row>
    <row r="505" spans="5:15">
      <c r="E505" s="735"/>
      <c r="O505" s="847"/>
    </row>
    <row r="506" spans="5:15">
      <c r="E506" s="735"/>
      <c r="O506" s="847"/>
    </row>
    <row r="507" spans="5:15">
      <c r="E507" s="735"/>
      <c r="O507" s="847"/>
    </row>
    <row r="508" spans="5:15">
      <c r="E508" s="735"/>
      <c r="O508" s="847"/>
    </row>
    <row r="509" spans="5:15">
      <c r="E509" s="735"/>
      <c r="O509" s="847"/>
    </row>
    <row r="510" spans="5:15">
      <c r="E510" s="735"/>
      <c r="O510" s="847"/>
    </row>
    <row r="511" spans="5:15">
      <c r="E511" s="735"/>
      <c r="O511" s="847"/>
    </row>
    <row r="512" spans="5:15">
      <c r="E512" s="735"/>
      <c r="O512" s="847"/>
    </row>
    <row r="513" spans="5:15">
      <c r="E513" s="735"/>
      <c r="O513" s="847"/>
    </row>
    <row r="514" spans="5:15">
      <c r="E514" s="735"/>
      <c r="O514" s="847"/>
    </row>
    <row r="515" spans="5:15">
      <c r="E515" s="735"/>
      <c r="O515" s="847"/>
    </row>
    <row r="516" spans="5:15">
      <c r="E516" s="735"/>
      <c r="O516" s="847"/>
    </row>
    <row r="517" spans="5:15">
      <c r="E517" s="735"/>
      <c r="O517" s="847"/>
    </row>
    <row r="518" spans="5:15">
      <c r="E518" s="735"/>
      <c r="O518" s="847"/>
    </row>
    <row r="519" spans="5:15">
      <c r="E519" s="735"/>
      <c r="O519" s="847"/>
    </row>
    <row r="520" spans="5:15">
      <c r="E520" s="735"/>
      <c r="O520" s="847"/>
    </row>
    <row r="521" spans="5:15">
      <c r="E521" s="735"/>
      <c r="O521" s="847"/>
    </row>
    <row r="522" spans="5:15">
      <c r="E522" s="735"/>
      <c r="O522" s="847"/>
    </row>
    <row r="523" spans="5:15">
      <c r="E523" s="735"/>
      <c r="O523" s="847"/>
    </row>
    <row r="524" spans="5:15">
      <c r="E524" s="735"/>
      <c r="O524" s="847"/>
    </row>
    <row r="525" spans="5:15">
      <c r="E525" s="735"/>
      <c r="O525" s="847"/>
    </row>
    <row r="526" spans="5:15">
      <c r="E526" s="735"/>
      <c r="O526" s="847"/>
    </row>
    <row r="527" spans="5:15">
      <c r="E527" s="735"/>
      <c r="O527" s="847"/>
    </row>
    <row r="528" spans="5:15">
      <c r="E528" s="735"/>
      <c r="O528" s="847"/>
    </row>
    <row r="529" spans="5:15">
      <c r="E529" s="735"/>
      <c r="O529" s="847"/>
    </row>
    <row r="530" spans="5:15">
      <c r="E530" s="735"/>
      <c r="O530" s="847"/>
    </row>
    <row r="531" spans="5:15">
      <c r="E531" s="735"/>
      <c r="O531" s="847"/>
    </row>
    <row r="532" spans="5:15">
      <c r="E532" s="735"/>
      <c r="O532" s="847"/>
    </row>
    <row r="533" spans="5:15">
      <c r="E533" s="735"/>
      <c r="O533" s="847"/>
    </row>
    <row r="534" spans="5:15">
      <c r="E534" s="735"/>
      <c r="O534" s="847"/>
    </row>
    <row r="535" spans="5:15">
      <c r="E535" s="735"/>
      <c r="O535" s="847"/>
    </row>
    <row r="536" spans="5:15">
      <c r="E536" s="735"/>
      <c r="O536" s="847"/>
    </row>
    <row r="537" spans="5:15">
      <c r="E537" s="735"/>
      <c r="O537" s="847"/>
    </row>
    <row r="538" spans="5:15">
      <c r="E538" s="735"/>
      <c r="O538" s="847"/>
    </row>
    <row r="539" spans="5:15">
      <c r="E539" s="735"/>
      <c r="O539" s="847"/>
    </row>
    <row r="540" spans="5:15">
      <c r="E540" s="735"/>
      <c r="O540" s="847"/>
    </row>
    <row r="541" spans="5:15">
      <c r="E541" s="735"/>
      <c r="O541" s="847"/>
    </row>
    <row r="542" spans="5:15">
      <c r="E542" s="735"/>
      <c r="O542" s="847"/>
    </row>
    <row r="543" spans="5:15">
      <c r="E543" s="735"/>
      <c r="O543" s="847"/>
    </row>
    <row r="544" spans="5:15">
      <c r="E544" s="735"/>
      <c r="O544" s="847"/>
    </row>
    <row r="545" spans="5:15">
      <c r="E545" s="735"/>
      <c r="O545" s="847"/>
    </row>
    <row r="546" spans="5:15">
      <c r="E546" s="735"/>
      <c r="O546" s="847"/>
    </row>
    <row r="547" spans="5:15">
      <c r="E547" s="735"/>
      <c r="O547" s="847"/>
    </row>
    <row r="548" spans="5:15">
      <c r="E548" s="735"/>
      <c r="O548" s="847"/>
    </row>
    <row r="549" spans="5:15">
      <c r="E549" s="735"/>
      <c r="O549" s="847"/>
    </row>
    <row r="550" spans="5:15">
      <c r="E550" s="735"/>
      <c r="O550" s="847"/>
    </row>
    <row r="551" spans="5:15">
      <c r="E551" s="735"/>
      <c r="O551" s="847"/>
    </row>
    <row r="552" spans="5:15">
      <c r="E552" s="735"/>
      <c r="O552" s="847"/>
    </row>
    <row r="553" spans="5:15">
      <c r="E553" s="735"/>
      <c r="O553" s="847"/>
    </row>
    <row r="554" spans="5:15">
      <c r="E554" s="735"/>
      <c r="O554" s="847"/>
    </row>
    <row r="555" spans="5:15">
      <c r="E555" s="735"/>
      <c r="O555" s="847"/>
    </row>
    <row r="556" spans="5:15">
      <c r="E556" s="735"/>
      <c r="O556" s="847"/>
    </row>
    <row r="557" spans="5:15">
      <c r="E557" s="735"/>
      <c r="O557" s="847"/>
    </row>
    <row r="558" spans="5:15">
      <c r="E558" s="735"/>
      <c r="O558" s="847"/>
    </row>
    <row r="559" spans="5:15">
      <c r="E559" s="735"/>
      <c r="O559" s="847"/>
    </row>
    <row r="560" spans="5:15">
      <c r="E560" s="735"/>
      <c r="O560" s="847"/>
    </row>
    <row r="561" spans="5:15">
      <c r="E561" s="735"/>
      <c r="O561" s="847"/>
    </row>
    <row r="562" spans="5:15">
      <c r="E562" s="735"/>
      <c r="O562" s="847"/>
    </row>
    <row r="563" spans="5:15">
      <c r="E563" s="735"/>
      <c r="O563" s="847"/>
    </row>
    <row r="564" spans="5:15">
      <c r="E564" s="735"/>
      <c r="O564" s="847"/>
    </row>
    <row r="565" spans="5:15">
      <c r="E565" s="735"/>
      <c r="O565" s="847"/>
    </row>
    <row r="566" spans="5:15">
      <c r="E566" s="735"/>
      <c r="O566" s="847"/>
    </row>
    <row r="567" spans="5:15">
      <c r="E567" s="735"/>
      <c r="O567" s="847"/>
    </row>
    <row r="568" spans="5:15">
      <c r="E568" s="735"/>
      <c r="O568" s="847"/>
    </row>
    <row r="569" spans="5:15">
      <c r="E569" s="735"/>
      <c r="O569" s="847"/>
    </row>
    <row r="570" spans="5:15">
      <c r="E570" s="735"/>
      <c r="O570" s="847"/>
    </row>
    <row r="571" spans="5:15">
      <c r="E571" s="735"/>
      <c r="O571" s="847"/>
    </row>
    <row r="572" spans="5:15">
      <c r="E572" s="735"/>
      <c r="O572" s="847"/>
    </row>
    <row r="573" spans="5:15">
      <c r="E573" s="735"/>
      <c r="O573" s="847"/>
    </row>
    <row r="574" spans="5:15">
      <c r="E574" s="735"/>
      <c r="O574" s="847"/>
    </row>
    <row r="575" spans="5:15">
      <c r="E575" s="735"/>
      <c r="O575" s="847"/>
    </row>
    <row r="576" spans="5:15">
      <c r="E576" s="735"/>
      <c r="O576" s="847"/>
    </row>
    <row r="577" spans="5:15">
      <c r="E577" s="735"/>
      <c r="O577" s="847"/>
    </row>
    <row r="578" spans="5:15">
      <c r="E578" s="735"/>
      <c r="O578" s="847"/>
    </row>
    <row r="579" spans="5:15">
      <c r="E579" s="735"/>
      <c r="O579" s="847"/>
    </row>
    <row r="580" spans="5:15">
      <c r="E580" s="735"/>
      <c r="O580" s="847"/>
    </row>
    <row r="581" spans="5:15">
      <c r="E581" s="735"/>
      <c r="O581" s="847"/>
    </row>
    <row r="582" spans="5:15">
      <c r="E582" s="735"/>
      <c r="O582" s="847"/>
    </row>
    <row r="583" spans="5:15">
      <c r="E583" s="735"/>
      <c r="O583" s="847"/>
    </row>
    <row r="584" spans="5:15">
      <c r="E584" s="735"/>
      <c r="O584" s="847"/>
    </row>
    <row r="585" spans="5:15">
      <c r="E585" s="735"/>
      <c r="O585" s="847"/>
    </row>
    <row r="586" spans="5:15">
      <c r="E586" s="735"/>
      <c r="O586" s="847"/>
    </row>
    <row r="587" spans="5:15">
      <c r="E587" s="735"/>
      <c r="O587" s="847"/>
    </row>
    <row r="588" spans="5:15">
      <c r="E588" s="735"/>
      <c r="O588" s="847"/>
    </row>
    <row r="589" spans="5:15">
      <c r="E589" s="735"/>
      <c r="O589" s="847"/>
    </row>
    <row r="590" spans="5:15">
      <c r="E590" s="735"/>
      <c r="O590" s="847"/>
    </row>
    <row r="591" spans="5:15">
      <c r="E591" s="735"/>
      <c r="O591" s="847"/>
    </row>
    <row r="592" spans="5:15">
      <c r="E592" s="735"/>
      <c r="O592" s="847"/>
    </row>
    <row r="593" spans="5:15">
      <c r="E593" s="735"/>
      <c r="O593" s="847"/>
    </row>
    <row r="594" spans="5:15">
      <c r="E594" s="735"/>
      <c r="O594" s="847"/>
    </row>
    <row r="595" spans="5:15">
      <c r="E595" s="735"/>
      <c r="O595" s="847"/>
    </row>
    <row r="596" spans="5:15">
      <c r="E596" s="735"/>
      <c r="O596" s="847"/>
    </row>
    <row r="597" spans="5:15">
      <c r="E597" s="735"/>
      <c r="O597" s="847"/>
    </row>
    <row r="598" spans="5:15">
      <c r="E598" s="735"/>
      <c r="O598" s="847"/>
    </row>
    <row r="599" spans="5:15">
      <c r="E599" s="735"/>
      <c r="O599" s="847"/>
    </row>
    <row r="600" spans="5:15">
      <c r="E600" s="735"/>
      <c r="O600" s="847"/>
    </row>
    <row r="601" spans="5:15">
      <c r="E601" s="735"/>
      <c r="O601" s="847"/>
    </row>
    <row r="602" spans="5:15">
      <c r="E602" s="735"/>
      <c r="O602" s="847"/>
    </row>
    <row r="603" spans="5:15">
      <c r="E603" s="735"/>
      <c r="O603" s="847"/>
    </row>
    <row r="604" spans="5:15">
      <c r="E604" s="735"/>
      <c r="O604" s="847"/>
    </row>
    <row r="605" spans="5:15">
      <c r="E605" s="735"/>
      <c r="O605" s="847"/>
    </row>
    <row r="606" spans="5:15">
      <c r="E606" s="735"/>
      <c r="O606" s="847"/>
    </row>
    <row r="607" spans="5:15">
      <c r="E607" s="735"/>
      <c r="O607" s="847"/>
    </row>
    <row r="608" spans="5:15">
      <c r="E608" s="735"/>
      <c r="O608" s="847"/>
    </row>
    <row r="609" spans="5:15">
      <c r="E609" s="735"/>
      <c r="O609" s="847"/>
    </row>
    <row r="610" spans="5:15">
      <c r="E610" s="735"/>
      <c r="O610" s="847"/>
    </row>
    <row r="611" spans="5:15">
      <c r="E611" s="735"/>
      <c r="O611" s="847"/>
    </row>
    <row r="612" spans="5:15">
      <c r="E612" s="735"/>
      <c r="O612" s="847"/>
    </row>
    <row r="613" spans="5:15">
      <c r="E613" s="735"/>
      <c r="O613" s="847"/>
    </row>
    <row r="614" spans="5:15">
      <c r="E614" s="735"/>
      <c r="O614" s="847"/>
    </row>
    <row r="615" spans="5:15">
      <c r="E615" s="735"/>
      <c r="O615" s="847"/>
    </row>
    <row r="616" spans="5:15">
      <c r="E616" s="735"/>
      <c r="O616" s="847"/>
    </row>
    <row r="617" spans="5:15">
      <c r="E617" s="735"/>
      <c r="O617" s="847"/>
    </row>
    <row r="618" spans="5:15">
      <c r="E618" s="735"/>
      <c r="O618" s="847"/>
    </row>
    <row r="619" spans="5:15">
      <c r="E619" s="735"/>
      <c r="O619" s="847"/>
    </row>
    <row r="620" spans="5:15">
      <c r="E620" s="735"/>
      <c r="O620" s="847"/>
    </row>
    <row r="621" spans="5:15">
      <c r="E621" s="735"/>
      <c r="O621" s="847"/>
    </row>
    <row r="622" spans="5:15">
      <c r="E622" s="735"/>
      <c r="O622" s="847"/>
    </row>
    <row r="623" spans="5:15">
      <c r="E623" s="735"/>
      <c r="O623" s="847"/>
    </row>
    <row r="624" spans="5:15">
      <c r="E624" s="735"/>
      <c r="O624" s="847"/>
    </row>
    <row r="625" spans="5:15">
      <c r="E625" s="735"/>
      <c r="O625" s="847"/>
    </row>
    <row r="626" spans="5:15">
      <c r="E626" s="735"/>
      <c r="O626" s="847"/>
    </row>
    <row r="627" spans="5:15">
      <c r="E627" s="735"/>
      <c r="O627" s="847"/>
    </row>
    <row r="628" spans="5:15">
      <c r="E628" s="735"/>
      <c r="O628" s="847"/>
    </row>
    <row r="629" spans="5:15">
      <c r="E629" s="735"/>
      <c r="O629" s="847"/>
    </row>
    <row r="630" spans="5:15">
      <c r="E630" s="735"/>
      <c r="O630" s="847"/>
    </row>
    <row r="631" spans="5:15">
      <c r="E631" s="735"/>
      <c r="O631" s="847"/>
    </row>
    <row r="632" spans="5:15">
      <c r="E632" s="735"/>
      <c r="O632" s="847"/>
    </row>
  </sheetData>
  <mergeCells count="158">
    <mergeCell ref="A209:A220"/>
    <mergeCell ref="A200:A208"/>
    <mergeCell ref="O200:O205"/>
    <mergeCell ref="C202:C205"/>
    <mergeCell ref="M206:M208"/>
    <mergeCell ref="N206:N208"/>
    <mergeCell ref="O206:O208"/>
    <mergeCell ref="C207:C208"/>
    <mergeCell ref="O209:O215"/>
    <mergeCell ref="C211:C215"/>
    <mergeCell ref="M216:M220"/>
    <mergeCell ref="N216:N220"/>
    <mergeCell ref="O216:O220"/>
    <mergeCell ref="C217:C220"/>
    <mergeCell ref="A179:A187"/>
    <mergeCell ref="O179:O184"/>
    <mergeCell ref="C181:C184"/>
    <mergeCell ref="M185:M187"/>
    <mergeCell ref="N185:N187"/>
    <mergeCell ref="O185:O187"/>
    <mergeCell ref="C186:C187"/>
    <mergeCell ref="A188:A199"/>
    <mergeCell ref="O188:O194"/>
    <mergeCell ref="C190:C194"/>
    <mergeCell ref="M195:M199"/>
    <mergeCell ref="N195:N199"/>
    <mergeCell ref="O195:O199"/>
    <mergeCell ref="C196:C199"/>
    <mergeCell ref="O154:O156"/>
    <mergeCell ref="C155:C156"/>
    <mergeCell ref="A157:A165"/>
    <mergeCell ref="O157:O162"/>
    <mergeCell ref="C159:C162"/>
    <mergeCell ref="N163:N165"/>
    <mergeCell ref="O163:O165"/>
    <mergeCell ref="C164:C165"/>
    <mergeCell ref="A126:A134"/>
    <mergeCell ref="C128:C131"/>
    <mergeCell ref="N132:N134"/>
    <mergeCell ref="C133:C134"/>
    <mergeCell ref="A135:A143"/>
    <mergeCell ref="C137:C140"/>
    <mergeCell ref="N141:N143"/>
    <mergeCell ref="C142:C143"/>
    <mergeCell ref="O126:O131"/>
    <mergeCell ref="O132:O134"/>
    <mergeCell ref="O135:O140"/>
    <mergeCell ref="O141:O143"/>
    <mergeCell ref="A144:A156"/>
    <mergeCell ref="O144:O153"/>
    <mergeCell ref="C146:C153"/>
    <mergeCell ref="N154:N156"/>
    <mergeCell ref="A249:O250"/>
    <mergeCell ref="A241:A247"/>
    <mergeCell ref="O241:O247"/>
    <mergeCell ref="C243:C244"/>
    <mergeCell ref="C246:C247"/>
    <mergeCell ref="N245:N247"/>
    <mergeCell ref="A233:A236"/>
    <mergeCell ref="A166:A178"/>
    <mergeCell ref="O166:O175"/>
    <mergeCell ref="C168:C175"/>
    <mergeCell ref="N176:N178"/>
    <mergeCell ref="O176:O178"/>
    <mergeCell ref="C177:C178"/>
    <mergeCell ref="A237:A240"/>
    <mergeCell ref="O237:O240"/>
    <mergeCell ref="C239:C240"/>
    <mergeCell ref="O233:O236"/>
    <mergeCell ref="C235:C236"/>
    <mergeCell ref="C226:C229"/>
    <mergeCell ref="O222:O232"/>
    <mergeCell ref="N230:N232"/>
    <mergeCell ref="M176:M178"/>
    <mergeCell ref="M230:M232"/>
    <mergeCell ref="M245:M247"/>
    <mergeCell ref="M18:M24"/>
    <mergeCell ref="A70:A78"/>
    <mergeCell ref="C72:C75"/>
    <mergeCell ref="N76:N78"/>
    <mergeCell ref="C77:C78"/>
    <mergeCell ref="O25:O30"/>
    <mergeCell ref="O31:O33"/>
    <mergeCell ref="A61:A69"/>
    <mergeCell ref="N18:N24"/>
    <mergeCell ref="A25:A33"/>
    <mergeCell ref="C32:C33"/>
    <mergeCell ref="C27:C30"/>
    <mergeCell ref="N31:N33"/>
    <mergeCell ref="A34:A42"/>
    <mergeCell ref="O67:O69"/>
    <mergeCell ref="A3:O3"/>
    <mergeCell ref="B4:B5"/>
    <mergeCell ref="C4:C5"/>
    <mergeCell ref="D4:D5"/>
    <mergeCell ref="O4:O5"/>
    <mergeCell ref="N4:N5"/>
    <mergeCell ref="F4:F5"/>
    <mergeCell ref="G4:L4"/>
    <mergeCell ref="M4:M5"/>
    <mergeCell ref="A113:A125"/>
    <mergeCell ref="O113:O125"/>
    <mergeCell ref="C115:C120"/>
    <mergeCell ref="C93:C100"/>
    <mergeCell ref="C68:C69"/>
    <mergeCell ref="N67:N69"/>
    <mergeCell ref="O62:O66"/>
    <mergeCell ref="A43:A51"/>
    <mergeCell ref="O43:O48"/>
    <mergeCell ref="C45:C48"/>
    <mergeCell ref="N49:N51"/>
    <mergeCell ref="O49:O51"/>
    <mergeCell ref="C50:C51"/>
    <mergeCell ref="M49:M51"/>
    <mergeCell ref="M58:M60"/>
    <mergeCell ref="M67:M69"/>
    <mergeCell ref="C87:C90"/>
    <mergeCell ref="A52:A60"/>
    <mergeCell ref="O52:O57"/>
    <mergeCell ref="C54:C57"/>
    <mergeCell ref="N58:N60"/>
    <mergeCell ref="O58:O60"/>
    <mergeCell ref="C59:C60"/>
    <mergeCell ref="C63:C66"/>
    <mergeCell ref="A79:A90"/>
    <mergeCell ref="C81:C85"/>
    <mergeCell ref="N86:N90"/>
    <mergeCell ref="A91:A103"/>
    <mergeCell ref="N101:N103"/>
    <mergeCell ref="C102:C103"/>
    <mergeCell ref="A104:A112"/>
    <mergeCell ref="C106:C109"/>
    <mergeCell ref="M31:M33"/>
    <mergeCell ref="M40:M42"/>
    <mergeCell ref="M132:M134"/>
    <mergeCell ref="M141:M143"/>
    <mergeCell ref="M154:M156"/>
    <mergeCell ref="M163:M165"/>
    <mergeCell ref="N123:N125"/>
    <mergeCell ref="C124:C125"/>
    <mergeCell ref="C36:C39"/>
    <mergeCell ref="O34:O39"/>
    <mergeCell ref="O40:O42"/>
    <mergeCell ref="C41:C42"/>
    <mergeCell ref="N40:N42"/>
    <mergeCell ref="O76:O78"/>
    <mergeCell ref="O70:O75"/>
    <mergeCell ref="O79:O85"/>
    <mergeCell ref="O86:O90"/>
    <mergeCell ref="N110:N112"/>
    <mergeCell ref="C111:C112"/>
    <mergeCell ref="O91:O103"/>
    <mergeCell ref="O104:O112"/>
    <mergeCell ref="M76:M78"/>
    <mergeCell ref="M86:M90"/>
    <mergeCell ref="M101:M103"/>
    <mergeCell ref="M110:M112"/>
    <mergeCell ref="M123:M125"/>
  </mergeCells>
  <printOptions horizontalCentered="1"/>
  <pageMargins left="0.23622047244094491" right="0.23622047244094491" top="0.51181102362204722" bottom="0.35433070866141736" header="0.19685039370078741" footer="0.11811023622047245"/>
  <pageSetup paperSize="9" scale="67" firstPageNumber="30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</oddHeader>
    <oddFooter>&amp;C&amp;9&amp;P</oddFooter>
  </headerFooter>
  <rowBreaks count="4" manualBreakCount="4">
    <brk id="51" max="14" man="1"/>
    <brk id="90" max="14" man="1"/>
    <brk id="165" max="14" man="1"/>
    <brk id="20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19</vt:i4>
      </vt:variant>
    </vt:vector>
  </HeadingPairs>
  <TitlesOfParts>
    <vt:vector size="31" baseType="lpstr">
      <vt:lpstr>Tabela nr 6</vt:lpstr>
      <vt:lpstr>Tab. 6A -Drogi</vt:lpstr>
      <vt:lpstr>Tab. 6B Polit społ i rozwój prz</vt:lpstr>
      <vt:lpstr>Tab. 6C - Ochrona zdrowia</vt:lpstr>
      <vt:lpstr>Tab. 6D - Oświata</vt:lpstr>
      <vt:lpstr>Tab. 6E - Administracja</vt:lpstr>
      <vt:lpstr>Tab. 6F - Kultura</vt:lpstr>
      <vt:lpstr>Tab. 6G - Roln i ochrona środ.</vt:lpstr>
      <vt:lpstr>Tab. 6H - Kultura fiz. i turyst</vt:lpstr>
      <vt:lpstr>Tab.6I - Planow. przestrz.</vt:lpstr>
      <vt:lpstr>projekty UE</vt:lpstr>
      <vt:lpstr>Arkusz1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'Tab.6I - Planow. przestrz.'!Obszar_wydruku</vt:lpstr>
      <vt:lpstr>'Tabela nr 6'!Obszar_wydruku</vt:lpstr>
      <vt:lpstr>'Tab. 6A -Drogi'!Tytuły_wydruku</vt:lpstr>
      <vt:lpstr>'Tab. 6B Polit społ i rozwój prz'!Tytuły_wydruku</vt:lpstr>
      <vt:lpstr>'Tab. 6C - Ochrona zdrowia'!Tytuły_wydruku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mnowocien</cp:lastModifiedBy>
  <cp:lastPrinted>2018-02-16T09:15:21Z</cp:lastPrinted>
  <dcterms:created xsi:type="dcterms:W3CDTF">2015-01-20T07:24:04Z</dcterms:created>
  <dcterms:modified xsi:type="dcterms:W3CDTF">2018-02-28T07:10:25Z</dcterms:modified>
</cp:coreProperties>
</file>